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10.xml" ContentType="application/vnd.openxmlformats-officedocument.spreadsheetml.table+xml"/>
  <Override PartName="/xl/drawings/drawing13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11.xml" ContentType="application/vnd.openxmlformats-officedocument.spreadsheetml.table+xml"/>
  <Override PartName="/xl/drawings/drawing14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tables/table12.xml" ContentType="application/vnd.openxmlformats-officedocument.spreadsheetml.table+xml"/>
  <Override PartName="/xl/drawings/drawing15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HEURES MENSUELLES\"/>
    </mc:Choice>
  </mc:AlternateContent>
  <bookViews>
    <workbookView xWindow="0" yWindow="0" windowWidth="23040" windowHeight="9384" tabRatio="904" activeTab="3"/>
  </bookViews>
  <sheets>
    <sheet name="TOTAUX ANNUEL " sheetId="26" r:id="rId1"/>
    <sheet name="parametres " sheetId="3" r:id="rId2"/>
    <sheet name="JF " sheetId="2" r:id="rId3"/>
    <sheet name="Janvier 18" sheetId="13" r:id="rId4"/>
    <sheet name="Février 18" sheetId="14" r:id="rId5"/>
    <sheet name="Mars 18" sheetId="15" r:id="rId6"/>
    <sheet name="Avril 18" sheetId="16" r:id="rId7"/>
    <sheet name="Mai 18" sheetId="17" r:id="rId8"/>
    <sheet name="Juin 18" sheetId="19" r:id="rId9"/>
    <sheet name="Juillet 18" sheetId="20" r:id="rId10"/>
    <sheet name="Août 18" sheetId="25" r:id="rId11"/>
    <sheet name="Septembre 18" sheetId="24" r:id="rId12"/>
    <sheet name="Octobre 18" sheetId="23" r:id="rId13"/>
    <sheet name="Novembre 18" sheetId="22" r:id="rId14"/>
    <sheet name="Décembre 18" sheetId="21" r:id="rId15"/>
  </sheets>
  <definedNames>
    <definedName name="deb_dimJF">'parametres '!$B$3</definedName>
    <definedName name="deb_nuit">'parametres '!$B$1</definedName>
    <definedName name="fin_dimJF">'parametres '!$B$4</definedName>
    <definedName name="fin_nuit">'parametres '!$B$2</definedName>
    <definedName name="JF">'JF '!$D$1:$D$12</definedName>
    <definedName name="Maladie">'JF '!$A$20</definedName>
    <definedName name="Services">Codes[[#Headers],[Services]]</definedName>
    <definedName name="Vacances">'JF '!$A$19</definedName>
    <definedName name="_xlnm.Print_Area" localSheetId="10">'Août 18'!$A$1:$J$113</definedName>
    <definedName name="_xlnm.Print_Area" localSheetId="6">'Avril 18'!$A$1:$J$113</definedName>
    <definedName name="_xlnm.Print_Area" localSheetId="14">'Décembre 18'!$A$1:$J$113</definedName>
    <definedName name="_xlnm.Print_Area" localSheetId="4">'Février 18'!$A$1:$J$113</definedName>
    <definedName name="_xlnm.Print_Area" localSheetId="3">'Janvier 18'!$A$1:$J$113</definedName>
    <definedName name="_xlnm.Print_Area" localSheetId="9">'Juillet 18'!$A$1:$J$113</definedName>
    <definedName name="_xlnm.Print_Area" localSheetId="8">'Juin 18'!$A$1:$J$113</definedName>
    <definedName name="_xlnm.Print_Area" localSheetId="7">'Mai 18'!$A$1:$J$113</definedName>
    <definedName name="_xlnm.Print_Area" localSheetId="5">'Mars 18'!$A$1:$J$113</definedName>
    <definedName name="_xlnm.Print_Area" localSheetId="13">'Novembre 18'!$A$1:$J$113</definedName>
    <definedName name="_xlnm.Print_Area" localSheetId="12">'Octobre 18'!$A$3:$J$113</definedName>
    <definedName name="_xlnm.Print_Area" localSheetId="11">'Septembre 18'!$A$1:$J$113</definedName>
    <definedName name="_xlnm.Print_Area" localSheetId="0">'TOTAUX ANNUEL '!$A$1:$L$33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0" i="13" l="1"/>
  <c r="Y16" i="13" s="1"/>
  <c r="U9" i="13"/>
  <c r="W23" i="21" l="1"/>
  <c r="W21" i="21"/>
  <c r="W23" i="22"/>
  <c r="W21" i="22"/>
  <c r="W23" i="23"/>
  <c r="W21" i="23"/>
  <c r="W23" i="24"/>
  <c r="W21" i="24"/>
  <c r="W23" i="25"/>
  <c r="W21" i="25"/>
  <c r="W23" i="20"/>
  <c r="W21" i="20"/>
  <c r="W23" i="19"/>
  <c r="W21" i="19"/>
  <c r="W23" i="17"/>
  <c r="W21" i="17"/>
  <c r="W23" i="16"/>
  <c r="W21" i="16"/>
  <c r="W23" i="15"/>
  <c r="W21" i="15"/>
  <c r="W23" i="14"/>
  <c r="W21" i="14"/>
  <c r="W23" i="13"/>
  <c r="W21" i="13"/>
  <c r="E23" i="26"/>
  <c r="E29" i="26"/>
  <c r="B30" i="26"/>
  <c r="E24" i="26"/>
  <c r="E32" i="26"/>
  <c r="B33" i="26"/>
  <c r="E28" i="26"/>
  <c r="E31" i="26"/>
  <c r="E30" i="26"/>
  <c r="B31" i="26"/>
  <c r="E26" i="26"/>
  <c r="B32" i="26"/>
  <c r="B24" i="26"/>
  <c r="B28" i="26"/>
  <c r="E25" i="26"/>
  <c r="B25" i="26"/>
  <c r="B26" i="26"/>
  <c r="E33" i="26"/>
  <c r="B27" i="26"/>
  <c r="B22" i="26"/>
  <c r="E27" i="26"/>
  <c r="B29" i="26"/>
  <c r="J15" i="26" l="1"/>
  <c r="E22" i="26"/>
  <c r="B23" i="26"/>
  <c r="W19" i="13" l="1"/>
  <c r="H7" i="26"/>
  <c r="H6" i="26"/>
  <c r="H9" i="26"/>
  <c r="H10" i="26"/>
  <c r="H2" i="26"/>
  <c r="H8" i="26"/>
  <c r="H11" i="26"/>
  <c r="H12" i="26"/>
  <c r="H13" i="26"/>
  <c r="W19" i="24" l="1"/>
  <c r="W19" i="21"/>
  <c r="W19" i="22"/>
  <c r="W19" i="23"/>
  <c r="W19" i="25"/>
  <c r="W19" i="20"/>
  <c r="W19" i="19"/>
  <c r="W19" i="17"/>
  <c r="W19" i="16"/>
  <c r="W19" i="15"/>
  <c r="W19" i="14"/>
  <c r="H4" i="26"/>
  <c r="H5" i="26"/>
  <c r="H3" i="26"/>
  <c r="H15" i="26" l="1"/>
  <c r="W10" i="21"/>
  <c r="W10" i="22"/>
  <c r="W10" i="23"/>
  <c r="W10" i="24"/>
  <c r="W10" i="25"/>
  <c r="W10" i="20"/>
  <c r="W10" i="19"/>
  <c r="W10" i="17"/>
  <c r="K2" i="26" l="1"/>
  <c r="K13" i="2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38" i="21"/>
  <c r="K39" i="21"/>
  <c r="K40" i="21"/>
  <c r="K41" i="21"/>
  <c r="K42" i="21"/>
  <c r="K43" i="21"/>
  <c r="K44" i="21"/>
  <c r="K45" i="21"/>
  <c r="K46" i="21"/>
  <c r="K47" i="21"/>
  <c r="K48" i="21"/>
  <c r="K49" i="21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K41" i="22"/>
  <c r="K42" i="22"/>
  <c r="K43" i="22"/>
  <c r="K44" i="22"/>
  <c r="K45" i="22"/>
  <c r="K46" i="22"/>
  <c r="K47" i="22"/>
  <c r="K48" i="22"/>
  <c r="K49" i="22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K41" i="23"/>
  <c r="K42" i="23"/>
  <c r="K43" i="23"/>
  <c r="K44" i="23"/>
  <c r="K45" i="23"/>
  <c r="K46" i="23"/>
  <c r="K47" i="23"/>
  <c r="K48" i="23"/>
  <c r="K49" i="23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42" i="24"/>
  <c r="K43" i="24"/>
  <c r="K44" i="24"/>
  <c r="K45" i="24"/>
  <c r="K46" i="24"/>
  <c r="K47" i="24"/>
  <c r="K48" i="24"/>
  <c r="K49" i="24"/>
  <c r="K13" i="25"/>
  <c r="K14" i="25"/>
  <c r="K15" i="25"/>
  <c r="K16" i="25"/>
  <c r="K17" i="25"/>
  <c r="K18" i="25"/>
  <c r="K19" i="25"/>
  <c r="K20" i="25"/>
  <c r="K21" i="25"/>
  <c r="K22" i="25"/>
  <c r="K23" i="25"/>
  <c r="K24" i="25"/>
  <c r="K25" i="25"/>
  <c r="K26" i="25"/>
  <c r="K27" i="25"/>
  <c r="K28" i="25"/>
  <c r="K29" i="25"/>
  <c r="K30" i="25"/>
  <c r="K31" i="25"/>
  <c r="K32" i="25"/>
  <c r="K33" i="25"/>
  <c r="K34" i="25"/>
  <c r="K35" i="25"/>
  <c r="K36" i="25"/>
  <c r="K37" i="25"/>
  <c r="K38" i="25"/>
  <c r="K39" i="25"/>
  <c r="K40" i="25"/>
  <c r="K41" i="25"/>
  <c r="K42" i="25"/>
  <c r="K43" i="25"/>
  <c r="K44" i="25"/>
  <c r="K45" i="25"/>
  <c r="K46" i="25"/>
  <c r="K47" i="25"/>
  <c r="K48" i="25"/>
  <c r="K49" i="25"/>
  <c r="K13" i="20"/>
  <c r="K14" i="20"/>
  <c r="K15" i="20"/>
  <c r="K16" i="20"/>
  <c r="K17" i="20"/>
  <c r="K18" i="20"/>
  <c r="K19" i="20"/>
  <c r="K20" i="20"/>
  <c r="K21" i="20"/>
  <c r="K22" i="20"/>
  <c r="K23" i="20"/>
  <c r="K24" i="20"/>
  <c r="K25" i="20"/>
  <c r="K26" i="20"/>
  <c r="K27" i="20"/>
  <c r="K28" i="20"/>
  <c r="K29" i="20"/>
  <c r="K30" i="20"/>
  <c r="K31" i="20"/>
  <c r="K32" i="20"/>
  <c r="K33" i="20"/>
  <c r="K34" i="20"/>
  <c r="K35" i="20"/>
  <c r="K36" i="20"/>
  <c r="K37" i="20"/>
  <c r="K38" i="20"/>
  <c r="K39" i="20"/>
  <c r="K40" i="20"/>
  <c r="K41" i="20"/>
  <c r="K42" i="20"/>
  <c r="K43" i="20"/>
  <c r="K44" i="20"/>
  <c r="K45" i="20"/>
  <c r="K46" i="20"/>
  <c r="K47" i="20"/>
  <c r="K48" i="20"/>
  <c r="K49" i="20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35" i="19"/>
  <c r="K36" i="19"/>
  <c r="K37" i="19"/>
  <c r="K38" i="19"/>
  <c r="K39" i="19"/>
  <c r="K40" i="19"/>
  <c r="K41" i="19"/>
  <c r="K42" i="19"/>
  <c r="K43" i="19"/>
  <c r="K44" i="19"/>
  <c r="K45" i="19"/>
  <c r="K46" i="19"/>
  <c r="K47" i="19"/>
  <c r="K48" i="19"/>
  <c r="K49" i="19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5" i="17"/>
  <c r="K36" i="17"/>
  <c r="K37" i="17"/>
  <c r="K38" i="17"/>
  <c r="K39" i="17"/>
  <c r="K40" i="17"/>
  <c r="K41" i="17"/>
  <c r="K42" i="17"/>
  <c r="K43" i="17"/>
  <c r="K44" i="17"/>
  <c r="K45" i="17"/>
  <c r="K46" i="17"/>
  <c r="K47" i="17"/>
  <c r="K48" i="17"/>
  <c r="K49" i="17"/>
  <c r="J14" i="16"/>
  <c r="J15" i="16"/>
  <c r="J16" i="16"/>
  <c r="J17" i="16"/>
  <c r="J18" i="16"/>
  <c r="J19" i="16"/>
  <c r="J20" i="16"/>
  <c r="J21" i="16"/>
  <c r="J22" i="16"/>
  <c r="J23" i="16"/>
  <c r="J24" i="16"/>
  <c r="J25" i="16"/>
  <c r="J26" i="16"/>
  <c r="J27" i="16"/>
  <c r="J28" i="16"/>
  <c r="J29" i="16"/>
  <c r="J30" i="16"/>
  <c r="J31" i="16"/>
  <c r="J32" i="16"/>
  <c r="J33" i="16"/>
  <c r="J34" i="16"/>
  <c r="J35" i="16"/>
  <c r="J36" i="16"/>
  <c r="J37" i="16"/>
  <c r="J38" i="16"/>
  <c r="J39" i="16"/>
  <c r="J40" i="16"/>
  <c r="J41" i="16"/>
  <c r="J42" i="16"/>
  <c r="J43" i="16"/>
  <c r="J44" i="16"/>
  <c r="J45" i="16"/>
  <c r="J46" i="16"/>
  <c r="J47" i="16"/>
  <c r="J48" i="16"/>
  <c r="J49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13" i="15"/>
  <c r="K14" i="15"/>
  <c r="K15" i="15"/>
  <c r="K16" i="15"/>
  <c r="K17" i="15"/>
  <c r="K18" i="15"/>
  <c r="K19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K3" i="26" l="1"/>
  <c r="K4" i="26" s="1"/>
  <c r="I5" i="13"/>
  <c r="K5" i="26" l="1"/>
  <c r="B5" i="15"/>
  <c r="D5" i="15"/>
  <c r="B5" i="22"/>
  <c r="B7" i="22"/>
  <c r="E7" i="22"/>
  <c r="D5" i="22"/>
  <c r="B5" i="23"/>
  <c r="B7" i="23"/>
  <c r="E7" i="23"/>
  <c r="D5" i="23"/>
  <c r="B5" i="24"/>
  <c r="B7" i="24"/>
  <c r="E7" i="24"/>
  <c r="D5" i="24"/>
  <c r="B5" i="25"/>
  <c r="B7" i="25"/>
  <c r="E7" i="25"/>
  <c r="D5" i="25"/>
  <c r="B5" i="20"/>
  <c r="B7" i="20"/>
  <c r="E7" i="20"/>
  <c r="D5" i="20"/>
  <c r="B5" i="19"/>
  <c r="B7" i="19"/>
  <c r="E7" i="19"/>
  <c r="D5" i="19"/>
  <c r="E7" i="17"/>
  <c r="B7" i="17"/>
  <c r="B5" i="17"/>
  <c r="D5" i="17"/>
  <c r="E7" i="16"/>
  <c r="D5" i="16"/>
  <c r="B7" i="16"/>
  <c r="B5" i="16"/>
  <c r="E7" i="15"/>
  <c r="B7" i="15"/>
  <c r="E7" i="14"/>
  <c r="B7" i="14"/>
  <c r="D5" i="14"/>
  <c r="B5" i="14"/>
  <c r="K6" i="26" l="1"/>
  <c r="J13" i="13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I5" i="14"/>
  <c r="L14" i="14"/>
  <c r="M14" i="14"/>
  <c r="N14" i="14"/>
  <c r="P14" i="14" s="1"/>
  <c r="L15" i="14"/>
  <c r="M15" i="14"/>
  <c r="N15" i="14"/>
  <c r="Q15" i="14" s="1"/>
  <c r="L16" i="14"/>
  <c r="M16" i="14"/>
  <c r="N16" i="14"/>
  <c r="L17" i="14"/>
  <c r="M17" i="14"/>
  <c r="N17" i="14"/>
  <c r="P17" i="14" s="1"/>
  <c r="O17" i="14"/>
  <c r="L18" i="14"/>
  <c r="M18" i="14"/>
  <c r="N18" i="14"/>
  <c r="P18" i="14" s="1"/>
  <c r="O18" i="14"/>
  <c r="L19" i="14"/>
  <c r="M19" i="14"/>
  <c r="N19" i="14"/>
  <c r="Q19" i="14" s="1"/>
  <c r="O19" i="14"/>
  <c r="L20" i="14"/>
  <c r="M20" i="14"/>
  <c r="N20" i="14"/>
  <c r="O20" i="14" s="1"/>
  <c r="L21" i="14"/>
  <c r="M21" i="14"/>
  <c r="N21" i="14"/>
  <c r="O21" i="14"/>
  <c r="L22" i="14"/>
  <c r="M22" i="14"/>
  <c r="N22" i="14"/>
  <c r="P22" i="14" s="1"/>
  <c r="L23" i="14"/>
  <c r="M23" i="14"/>
  <c r="N23" i="14"/>
  <c r="Q23" i="14" s="1"/>
  <c r="O23" i="14"/>
  <c r="L24" i="14"/>
  <c r="M24" i="14"/>
  <c r="N24" i="14"/>
  <c r="O24" i="14" s="1"/>
  <c r="L25" i="14"/>
  <c r="M25" i="14"/>
  <c r="N25" i="14"/>
  <c r="O25" i="14"/>
  <c r="L26" i="14"/>
  <c r="M26" i="14"/>
  <c r="N26" i="14"/>
  <c r="P26" i="14" s="1"/>
  <c r="O26" i="14"/>
  <c r="L27" i="14"/>
  <c r="M27" i="14"/>
  <c r="N27" i="14"/>
  <c r="Q27" i="14" s="1"/>
  <c r="L28" i="14"/>
  <c r="M28" i="14"/>
  <c r="N28" i="14"/>
  <c r="O28" i="14"/>
  <c r="L29" i="14"/>
  <c r="M29" i="14"/>
  <c r="N29" i="14"/>
  <c r="O29" i="14"/>
  <c r="L30" i="14"/>
  <c r="M30" i="14"/>
  <c r="N30" i="14"/>
  <c r="P30" i="14" s="1"/>
  <c r="O30" i="14"/>
  <c r="L31" i="14"/>
  <c r="M31" i="14"/>
  <c r="N31" i="14"/>
  <c r="Q31" i="14" s="1"/>
  <c r="O31" i="14"/>
  <c r="L32" i="14"/>
  <c r="M32" i="14"/>
  <c r="N32" i="14"/>
  <c r="O32" i="14"/>
  <c r="L33" i="14"/>
  <c r="M33" i="14"/>
  <c r="N33" i="14"/>
  <c r="P33" i="14" s="1"/>
  <c r="O33" i="14"/>
  <c r="L34" i="14"/>
  <c r="M34" i="14"/>
  <c r="N34" i="14"/>
  <c r="P34" i="14" s="1"/>
  <c r="O34" i="14"/>
  <c r="L35" i="14"/>
  <c r="M35" i="14"/>
  <c r="N35" i="14"/>
  <c r="Q35" i="14" s="1"/>
  <c r="O35" i="14"/>
  <c r="L36" i="14"/>
  <c r="M36" i="14"/>
  <c r="N36" i="14"/>
  <c r="O36" i="14"/>
  <c r="L37" i="14"/>
  <c r="M37" i="14"/>
  <c r="N37" i="14"/>
  <c r="P37" i="14" s="1"/>
  <c r="O37" i="14"/>
  <c r="L38" i="14"/>
  <c r="M38" i="14"/>
  <c r="N38" i="14"/>
  <c r="P38" i="14" s="1"/>
  <c r="O38" i="14"/>
  <c r="L39" i="14"/>
  <c r="M39" i="14"/>
  <c r="N39" i="14"/>
  <c r="Q39" i="14" s="1"/>
  <c r="L40" i="14"/>
  <c r="M40" i="14"/>
  <c r="N40" i="14"/>
  <c r="O40" i="14"/>
  <c r="L41" i="14"/>
  <c r="M41" i="14"/>
  <c r="N41" i="14"/>
  <c r="P41" i="14" s="1"/>
  <c r="O41" i="14"/>
  <c r="L42" i="14"/>
  <c r="M42" i="14"/>
  <c r="N42" i="14"/>
  <c r="P42" i="14" s="1"/>
  <c r="O42" i="14"/>
  <c r="L43" i="14"/>
  <c r="M43" i="14"/>
  <c r="N43" i="14"/>
  <c r="Q43" i="14" s="1"/>
  <c r="O43" i="14"/>
  <c r="L44" i="14"/>
  <c r="M44" i="14"/>
  <c r="N44" i="14"/>
  <c r="O44" i="14"/>
  <c r="Q44" i="14"/>
  <c r="L45" i="14"/>
  <c r="M45" i="14"/>
  <c r="N45" i="14"/>
  <c r="O45" i="14"/>
  <c r="L46" i="14"/>
  <c r="M46" i="14"/>
  <c r="N46" i="14"/>
  <c r="P46" i="14" s="1"/>
  <c r="O46" i="14"/>
  <c r="L47" i="14"/>
  <c r="M47" i="14"/>
  <c r="N47" i="14"/>
  <c r="Q47" i="14" s="1"/>
  <c r="O47" i="14"/>
  <c r="L48" i="14"/>
  <c r="M48" i="14"/>
  <c r="N48" i="14"/>
  <c r="O48" i="14"/>
  <c r="L49" i="14"/>
  <c r="M49" i="14"/>
  <c r="N49" i="14"/>
  <c r="Q49" i="14" s="1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M14" i="13"/>
  <c r="N14" i="13"/>
  <c r="M15" i="13"/>
  <c r="N15" i="13"/>
  <c r="O15" i="13" s="1"/>
  <c r="M16" i="13"/>
  <c r="N16" i="13"/>
  <c r="O16" i="13" s="1"/>
  <c r="M17" i="13"/>
  <c r="N17" i="13"/>
  <c r="Q17" i="13" s="1"/>
  <c r="M18" i="13"/>
  <c r="N18" i="13"/>
  <c r="Q18" i="13" s="1"/>
  <c r="M19" i="13"/>
  <c r="N19" i="13"/>
  <c r="Q19" i="13" s="1"/>
  <c r="M20" i="13"/>
  <c r="N20" i="13"/>
  <c r="Q20" i="13" s="1"/>
  <c r="M21" i="13"/>
  <c r="N21" i="13"/>
  <c r="Q21" i="13" s="1"/>
  <c r="M22" i="13"/>
  <c r="N22" i="13"/>
  <c r="Q22" i="13" s="1"/>
  <c r="M23" i="13"/>
  <c r="N23" i="13"/>
  <c r="Q23" i="13" s="1"/>
  <c r="O23" i="13"/>
  <c r="M24" i="13"/>
  <c r="N24" i="13"/>
  <c r="Q24" i="13" s="1"/>
  <c r="M25" i="13"/>
  <c r="N25" i="13"/>
  <c r="Q25" i="13" s="1"/>
  <c r="M26" i="13"/>
  <c r="N26" i="13"/>
  <c r="Q26" i="13" s="1"/>
  <c r="M27" i="13"/>
  <c r="N27" i="13"/>
  <c r="Q27" i="13" s="1"/>
  <c r="M28" i="13"/>
  <c r="N28" i="13"/>
  <c r="Q28" i="13" s="1"/>
  <c r="M29" i="13"/>
  <c r="N29" i="13"/>
  <c r="Q29" i="13" s="1"/>
  <c r="M30" i="13"/>
  <c r="N30" i="13"/>
  <c r="Q30" i="13" s="1"/>
  <c r="O30" i="13"/>
  <c r="M31" i="13"/>
  <c r="N31" i="13"/>
  <c r="Q31" i="13" s="1"/>
  <c r="O31" i="13"/>
  <c r="M32" i="13"/>
  <c r="N32" i="13"/>
  <c r="Q32" i="13" s="1"/>
  <c r="M33" i="13"/>
  <c r="N33" i="13"/>
  <c r="Q33" i="13" s="1"/>
  <c r="O33" i="13"/>
  <c r="M34" i="13"/>
  <c r="N34" i="13"/>
  <c r="Q34" i="13" s="1"/>
  <c r="O34" i="13"/>
  <c r="M35" i="13"/>
  <c r="N35" i="13"/>
  <c r="Q35" i="13" s="1"/>
  <c r="M36" i="13"/>
  <c r="N36" i="13"/>
  <c r="Q36" i="13" s="1"/>
  <c r="O36" i="13"/>
  <c r="M37" i="13"/>
  <c r="N37" i="13"/>
  <c r="Q37" i="13" s="1"/>
  <c r="M38" i="13"/>
  <c r="N38" i="13"/>
  <c r="Q38" i="13" s="1"/>
  <c r="M39" i="13"/>
  <c r="N39" i="13"/>
  <c r="Q39" i="13" s="1"/>
  <c r="M40" i="13"/>
  <c r="N40" i="13"/>
  <c r="Q40" i="13" s="1"/>
  <c r="O40" i="13"/>
  <c r="M41" i="13"/>
  <c r="N41" i="13"/>
  <c r="Q41" i="13" s="1"/>
  <c r="O41" i="13"/>
  <c r="M42" i="13"/>
  <c r="N42" i="13"/>
  <c r="Q42" i="13" s="1"/>
  <c r="O42" i="13"/>
  <c r="M43" i="13"/>
  <c r="N43" i="13"/>
  <c r="Q43" i="13" s="1"/>
  <c r="O43" i="13"/>
  <c r="M44" i="13"/>
  <c r="N44" i="13"/>
  <c r="Q44" i="13" s="1"/>
  <c r="M45" i="13"/>
  <c r="N45" i="13"/>
  <c r="Q45" i="13" s="1"/>
  <c r="O45" i="13"/>
  <c r="M46" i="13"/>
  <c r="N46" i="13"/>
  <c r="Q46" i="13" s="1"/>
  <c r="O46" i="13"/>
  <c r="M47" i="13"/>
  <c r="N47" i="13"/>
  <c r="Q47" i="13" s="1"/>
  <c r="M48" i="13"/>
  <c r="N48" i="13"/>
  <c r="Q48" i="13" s="1"/>
  <c r="O48" i="13"/>
  <c r="M49" i="13"/>
  <c r="N49" i="13"/>
  <c r="Q49" i="13" s="1"/>
  <c r="O37" i="13" l="1"/>
  <c r="K7" i="26"/>
  <c r="O14" i="14"/>
  <c r="O28" i="13"/>
  <c r="P16" i="14"/>
  <c r="O22" i="14"/>
  <c r="O49" i="14"/>
  <c r="O39" i="14"/>
  <c r="O27" i="14"/>
  <c r="P21" i="14"/>
  <c r="O47" i="13"/>
  <c r="O44" i="13"/>
  <c r="O39" i="13"/>
  <c r="O38" i="13"/>
  <c r="O35" i="13"/>
  <c r="O32" i="13"/>
  <c r="O27" i="13"/>
  <c r="O22" i="13"/>
  <c r="O21" i="13"/>
  <c r="O17" i="13"/>
  <c r="O16" i="14"/>
  <c r="O15" i="14"/>
  <c r="P14" i="13"/>
  <c r="O29" i="13"/>
  <c r="O24" i="13"/>
  <c r="O19" i="13"/>
  <c r="P49" i="14"/>
  <c r="P47" i="13"/>
  <c r="O49" i="13"/>
  <c r="O20" i="13"/>
  <c r="O14" i="13"/>
  <c r="P30" i="13"/>
  <c r="P44" i="14"/>
  <c r="Q17" i="14"/>
  <c r="P32" i="13"/>
  <c r="P27" i="13"/>
  <c r="R43" i="14"/>
  <c r="R21" i="14"/>
  <c r="Q33" i="14"/>
  <c r="R22" i="14"/>
  <c r="R47" i="14"/>
  <c r="P40" i="14"/>
  <c r="Q20" i="14"/>
  <c r="Q36" i="14"/>
  <c r="Q24" i="14"/>
  <c r="Q21" i="14"/>
  <c r="R33" i="14"/>
  <c r="Q29" i="14"/>
  <c r="P24" i="14"/>
  <c r="R17" i="14"/>
  <c r="R27" i="14"/>
  <c r="P42" i="13"/>
  <c r="P38" i="13"/>
  <c r="R38" i="13"/>
  <c r="P43" i="13"/>
  <c r="P31" i="13"/>
  <c r="R44" i="13"/>
  <c r="R37" i="14"/>
  <c r="R49" i="14"/>
  <c r="Q40" i="14"/>
  <c r="R29" i="14"/>
  <c r="R18" i="14"/>
  <c r="Q37" i="14"/>
  <c r="R34" i="14"/>
  <c r="R31" i="14"/>
  <c r="Q28" i="14"/>
  <c r="R38" i="14"/>
  <c r="P28" i="14"/>
  <c r="P39" i="13"/>
  <c r="R36" i="13"/>
  <c r="R48" i="13"/>
  <c r="R42" i="13"/>
  <c r="R30" i="13"/>
  <c r="Q14" i="13"/>
  <c r="R34" i="13"/>
  <c r="R46" i="13"/>
  <c r="P34" i="13"/>
  <c r="R17" i="13"/>
  <c r="R14" i="13"/>
  <c r="R40" i="13"/>
  <c r="P46" i="13"/>
  <c r="P35" i="13"/>
  <c r="R32" i="13"/>
  <c r="P17" i="13"/>
  <c r="P24" i="13"/>
  <c r="P22" i="13"/>
  <c r="O26" i="13"/>
  <c r="O25" i="13"/>
  <c r="R24" i="13"/>
  <c r="R22" i="13"/>
  <c r="P19" i="13"/>
  <c r="R18" i="13"/>
  <c r="O18" i="13"/>
  <c r="R28" i="13"/>
  <c r="R26" i="13"/>
  <c r="P23" i="13"/>
  <c r="R20" i="13"/>
  <c r="P18" i="13"/>
  <c r="Q16" i="13"/>
  <c r="R16" i="13"/>
  <c r="P28" i="13"/>
  <c r="P26" i="13"/>
  <c r="P20" i="13"/>
  <c r="P16" i="13"/>
  <c r="Q45" i="14"/>
  <c r="Q48" i="14"/>
  <c r="R46" i="14"/>
  <c r="P45" i="14"/>
  <c r="Q41" i="14"/>
  <c r="R41" i="14"/>
  <c r="R39" i="14"/>
  <c r="P36" i="14"/>
  <c r="Q32" i="14"/>
  <c r="R30" i="14"/>
  <c r="P29" i="14"/>
  <c r="Q25" i="14"/>
  <c r="R25" i="14"/>
  <c r="R23" i="14"/>
  <c r="P20" i="14"/>
  <c r="Q16" i="14"/>
  <c r="R14" i="14"/>
  <c r="P48" i="14"/>
  <c r="R42" i="14"/>
  <c r="R35" i="14"/>
  <c r="P32" i="14"/>
  <c r="R26" i="14"/>
  <c r="P25" i="14"/>
  <c r="R19" i="14"/>
  <c r="R15" i="14"/>
  <c r="Q14" i="14"/>
  <c r="R45" i="14"/>
  <c r="R49" i="13"/>
  <c r="P48" i="13"/>
  <c r="R45" i="13"/>
  <c r="P44" i="13"/>
  <c r="R41" i="13"/>
  <c r="P40" i="13"/>
  <c r="R37" i="13"/>
  <c r="P36" i="13"/>
  <c r="R33" i="13"/>
  <c r="R29" i="13"/>
  <c r="R25" i="13"/>
  <c r="R21" i="13"/>
  <c r="Q15" i="13"/>
  <c r="R15" i="13"/>
  <c r="P49" i="13"/>
  <c r="P37" i="13"/>
  <c r="P33" i="13"/>
  <c r="P29" i="13"/>
  <c r="P25" i="13"/>
  <c r="P21" i="13"/>
  <c r="P15" i="13"/>
  <c r="P45" i="13"/>
  <c r="P41" i="13"/>
  <c r="R47" i="13"/>
  <c r="R43" i="13"/>
  <c r="R39" i="13"/>
  <c r="R35" i="13"/>
  <c r="R31" i="13"/>
  <c r="R27" i="13"/>
  <c r="R23" i="13"/>
  <c r="R19" i="13"/>
  <c r="P47" i="14"/>
  <c r="Q46" i="14"/>
  <c r="P43" i="14"/>
  <c r="Q42" i="14"/>
  <c r="P39" i="14"/>
  <c r="Q38" i="14"/>
  <c r="P35" i="14"/>
  <c r="Q34" i="14"/>
  <c r="P31" i="14"/>
  <c r="Q30" i="14"/>
  <c r="P27" i="14"/>
  <c r="Q26" i="14"/>
  <c r="P23" i="14"/>
  <c r="Q22" i="14"/>
  <c r="P19" i="14"/>
  <c r="Q18" i="14"/>
  <c r="P15" i="14"/>
  <c r="R48" i="14"/>
  <c r="R44" i="14"/>
  <c r="R40" i="14"/>
  <c r="R36" i="14"/>
  <c r="R32" i="14"/>
  <c r="R28" i="14"/>
  <c r="R24" i="14"/>
  <c r="R20" i="14"/>
  <c r="R16" i="14"/>
  <c r="O30" i="15"/>
  <c r="O31" i="15"/>
  <c r="O32" i="15"/>
  <c r="O33" i="15"/>
  <c r="O34" i="15"/>
  <c r="O35" i="15"/>
  <c r="O36" i="15"/>
  <c r="O37" i="15"/>
  <c r="O38" i="15"/>
  <c r="O39" i="15"/>
  <c r="O40" i="15"/>
  <c r="O41" i="15"/>
  <c r="O42" i="15"/>
  <c r="O43" i="15"/>
  <c r="O44" i="15"/>
  <c r="O45" i="15"/>
  <c r="O46" i="15"/>
  <c r="O47" i="15"/>
  <c r="O48" i="15"/>
  <c r="O49" i="15"/>
  <c r="O32" i="16"/>
  <c r="O33" i="16"/>
  <c r="O34" i="16"/>
  <c r="O35" i="16"/>
  <c r="O36" i="16"/>
  <c r="O37" i="16"/>
  <c r="O38" i="16"/>
  <c r="O39" i="16"/>
  <c r="O40" i="16"/>
  <c r="O41" i="16"/>
  <c r="O42" i="16"/>
  <c r="O43" i="16"/>
  <c r="O44" i="16"/>
  <c r="O45" i="16"/>
  <c r="O46" i="16"/>
  <c r="O47" i="16"/>
  <c r="O48" i="16"/>
  <c r="O49" i="16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42" i="17"/>
  <c r="O43" i="17"/>
  <c r="O44" i="17"/>
  <c r="O45" i="17"/>
  <c r="O46" i="17"/>
  <c r="O47" i="17"/>
  <c r="O48" i="17"/>
  <c r="O49" i="17"/>
  <c r="O14" i="19"/>
  <c r="O15" i="19"/>
  <c r="O16" i="19"/>
  <c r="O17" i="19"/>
  <c r="O18" i="19"/>
  <c r="O19" i="19"/>
  <c r="O20" i="19"/>
  <c r="O21" i="19"/>
  <c r="O22" i="19"/>
  <c r="O23" i="19"/>
  <c r="O24" i="19"/>
  <c r="O25" i="19"/>
  <c r="O26" i="19"/>
  <c r="O27" i="19"/>
  <c r="O28" i="19"/>
  <c r="O29" i="19"/>
  <c r="O30" i="19"/>
  <c r="O31" i="19"/>
  <c r="O32" i="19"/>
  <c r="O33" i="19"/>
  <c r="O34" i="19"/>
  <c r="O35" i="19"/>
  <c r="O36" i="19"/>
  <c r="O37" i="19"/>
  <c r="O38" i="19"/>
  <c r="O39" i="19"/>
  <c r="O40" i="19"/>
  <c r="O41" i="19"/>
  <c r="O42" i="19"/>
  <c r="O43" i="19"/>
  <c r="O44" i="19"/>
  <c r="O45" i="19"/>
  <c r="O46" i="19"/>
  <c r="O47" i="19"/>
  <c r="O48" i="19"/>
  <c r="O49" i="19"/>
  <c r="O14" i="20"/>
  <c r="O15" i="20"/>
  <c r="O16" i="20"/>
  <c r="O17" i="20"/>
  <c r="O18" i="20"/>
  <c r="O19" i="20"/>
  <c r="O20" i="20"/>
  <c r="O21" i="20"/>
  <c r="O22" i="20"/>
  <c r="O23" i="20"/>
  <c r="O24" i="20"/>
  <c r="O25" i="20"/>
  <c r="O26" i="20"/>
  <c r="O27" i="20"/>
  <c r="O28" i="20"/>
  <c r="O29" i="20"/>
  <c r="O30" i="20"/>
  <c r="O31" i="20"/>
  <c r="O32" i="20"/>
  <c r="O33" i="20"/>
  <c r="O34" i="20"/>
  <c r="O35" i="20"/>
  <c r="O36" i="20"/>
  <c r="O37" i="20"/>
  <c r="O38" i="20"/>
  <c r="O39" i="20"/>
  <c r="O40" i="20"/>
  <c r="O41" i="20"/>
  <c r="O42" i="20"/>
  <c r="O43" i="20"/>
  <c r="O44" i="20"/>
  <c r="O45" i="20"/>
  <c r="O46" i="20"/>
  <c r="O47" i="20"/>
  <c r="O48" i="20"/>
  <c r="O49" i="20"/>
  <c r="O14" i="25"/>
  <c r="O15" i="25"/>
  <c r="O16" i="25"/>
  <c r="O17" i="25"/>
  <c r="O18" i="25"/>
  <c r="O19" i="25"/>
  <c r="O20" i="25"/>
  <c r="O21" i="25"/>
  <c r="O22" i="25"/>
  <c r="O23" i="25"/>
  <c r="O24" i="25"/>
  <c r="O25" i="25"/>
  <c r="O26" i="25"/>
  <c r="O27" i="25"/>
  <c r="O28" i="25"/>
  <c r="O29" i="25"/>
  <c r="O30" i="25"/>
  <c r="O31" i="25"/>
  <c r="O32" i="25"/>
  <c r="O33" i="25"/>
  <c r="O34" i="25"/>
  <c r="O35" i="25"/>
  <c r="O36" i="25"/>
  <c r="O37" i="25"/>
  <c r="O38" i="25"/>
  <c r="O39" i="25"/>
  <c r="O40" i="25"/>
  <c r="O41" i="25"/>
  <c r="O42" i="25"/>
  <c r="O43" i="25"/>
  <c r="O44" i="25"/>
  <c r="O45" i="25"/>
  <c r="O46" i="25"/>
  <c r="O47" i="25"/>
  <c r="O48" i="25"/>
  <c r="O49" i="25"/>
  <c r="O14" i="24"/>
  <c r="O15" i="24"/>
  <c r="O16" i="24"/>
  <c r="O17" i="24"/>
  <c r="O18" i="24"/>
  <c r="O19" i="24"/>
  <c r="O20" i="24"/>
  <c r="O21" i="24"/>
  <c r="O22" i="24"/>
  <c r="O23" i="24"/>
  <c r="O24" i="24"/>
  <c r="O25" i="24"/>
  <c r="O26" i="24"/>
  <c r="O27" i="24"/>
  <c r="O28" i="24"/>
  <c r="O29" i="24"/>
  <c r="O30" i="24"/>
  <c r="O31" i="24"/>
  <c r="O32" i="24"/>
  <c r="O33" i="24"/>
  <c r="O34" i="24"/>
  <c r="O35" i="24"/>
  <c r="O36" i="24"/>
  <c r="O37" i="24"/>
  <c r="O38" i="24"/>
  <c r="O39" i="24"/>
  <c r="O40" i="24"/>
  <c r="O41" i="24"/>
  <c r="O42" i="24"/>
  <c r="O43" i="24"/>
  <c r="O44" i="24"/>
  <c r="O45" i="24"/>
  <c r="O46" i="24"/>
  <c r="O47" i="24"/>
  <c r="O48" i="24"/>
  <c r="O49" i="24"/>
  <c r="O14" i="23"/>
  <c r="O15" i="23"/>
  <c r="O17" i="23"/>
  <c r="O18" i="23"/>
  <c r="O19" i="23"/>
  <c r="O20" i="23"/>
  <c r="O21" i="23"/>
  <c r="O22" i="23"/>
  <c r="O23" i="23"/>
  <c r="O24" i="23"/>
  <c r="O25" i="23"/>
  <c r="O26" i="23"/>
  <c r="O27" i="23"/>
  <c r="O28" i="23"/>
  <c r="O29" i="23"/>
  <c r="O30" i="23"/>
  <c r="O31" i="23"/>
  <c r="O32" i="23"/>
  <c r="O33" i="23"/>
  <c r="O34" i="23"/>
  <c r="O35" i="23"/>
  <c r="O36" i="23"/>
  <c r="O37" i="23"/>
  <c r="O38" i="23"/>
  <c r="O39" i="23"/>
  <c r="O40" i="23"/>
  <c r="O41" i="23"/>
  <c r="O42" i="23"/>
  <c r="O43" i="23"/>
  <c r="O44" i="23"/>
  <c r="O45" i="23"/>
  <c r="O46" i="23"/>
  <c r="O47" i="23"/>
  <c r="O48" i="23"/>
  <c r="O49" i="23"/>
  <c r="O14" i="22"/>
  <c r="O15" i="22"/>
  <c r="O16" i="22"/>
  <c r="O17" i="22"/>
  <c r="O18" i="22"/>
  <c r="O19" i="22"/>
  <c r="O20" i="22"/>
  <c r="O21" i="22"/>
  <c r="O22" i="22"/>
  <c r="O23" i="22"/>
  <c r="O24" i="22"/>
  <c r="O25" i="22"/>
  <c r="O26" i="22"/>
  <c r="O27" i="22"/>
  <c r="O28" i="22"/>
  <c r="O29" i="22"/>
  <c r="O30" i="22"/>
  <c r="O31" i="22"/>
  <c r="O32" i="22"/>
  <c r="O33" i="22"/>
  <c r="O34" i="22"/>
  <c r="O35" i="22"/>
  <c r="O36" i="22"/>
  <c r="O37" i="22"/>
  <c r="O38" i="22"/>
  <c r="O39" i="22"/>
  <c r="O40" i="22"/>
  <c r="O41" i="22"/>
  <c r="O42" i="22"/>
  <c r="O43" i="22"/>
  <c r="O44" i="22"/>
  <c r="O45" i="22"/>
  <c r="O46" i="22"/>
  <c r="O47" i="22"/>
  <c r="O48" i="22"/>
  <c r="O49" i="22"/>
  <c r="O14" i="21"/>
  <c r="O15" i="21"/>
  <c r="O16" i="21"/>
  <c r="O17" i="21"/>
  <c r="O18" i="21"/>
  <c r="O19" i="21"/>
  <c r="O20" i="21"/>
  <c r="O21" i="21"/>
  <c r="O22" i="21"/>
  <c r="O23" i="21"/>
  <c r="O24" i="21"/>
  <c r="O25" i="21"/>
  <c r="O26" i="21"/>
  <c r="O27" i="21"/>
  <c r="O28" i="21"/>
  <c r="O29" i="21"/>
  <c r="O30" i="21"/>
  <c r="O31" i="21"/>
  <c r="O32" i="21"/>
  <c r="O33" i="21"/>
  <c r="O34" i="21"/>
  <c r="O35" i="21"/>
  <c r="O36" i="21"/>
  <c r="O37" i="21"/>
  <c r="O38" i="21"/>
  <c r="O39" i="21"/>
  <c r="O40" i="21"/>
  <c r="O41" i="21"/>
  <c r="O42" i="21"/>
  <c r="O43" i="21"/>
  <c r="O44" i="21"/>
  <c r="O45" i="21"/>
  <c r="O46" i="21"/>
  <c r="O47" i="21"/>
  <c r="O48" i="21"/>
  <c r="O49" i="21"/>
  <c r="O13" i="22"/>
  <c r="O13" i="23"/>
  <c r="O13" i="25"/>
  <c r="O13" i="20"/>
  <c r="O13" i="19"/>
  <c r="O13" i="16"/>
  <c r="K8" i="26" l="1"/>
  <c r="I5" i="22"/>
  <c r="I5" i="23"/>
  <c r="I5" i="24"/>
  <c r="I5" i="25"/>
  <c r="I5" i="20"/>
  <c r="I5" i="19"/>
  <c r="I5" i="17"/>
  <c r="I5" i="16"/>
  <c r="I5" i="15"/>
  <c r="K9" i="26" l="1"/>
  <c r="K10" i="26" s="1"/>
  <c r="K11" i="26" s="1"/>
  <c r="N49" i="25"/>
  <c r="M49" i="25"/>
  <c r="L49" i="25"/>
  <c r="J49" i="25"/>
  <c r="N48" i="25"/>
  <c r="Q48" i="25" s="1"/>
  <c r="M48" i="25"/>
  <c r="L48" i="25"/>
  <c r="J48" i="25"/>
  <c r="N47" i="25"/>
  <c r="M47" i="25"/>
  <c r="L47" i="25"/>
  <c r="J47" i="25"/>
  <c r="N46" i="25"/>
  <c r="M46" i="25"/>
  <c r="L46" i="25"/>
  <c r="J46" i="25"/>
  <c r="N45" i="25"/>
  <c r="M45" i="25"/>
  <c r="L45" i="25"/>
  <c r="J45" i="25"/>
  <c r="N44" i="25"/>
  <c r="M44" i="25"/>
  <c r="L44" i="25"/>
  <c r="J44" i="25"/>
  <c r="N43" i="25"/>
  <c r="P43" i="25" s="1"/>
  <c r="M43" i="25"/>
  <c r="L43" i="25"/>
  <c r="J43" i="25"/>
  <c r="N42" i="25"/>
  <c r="M42" i="25"/>
  <c r="L42" i="25"/>
  <c r="J42" i="25"/>
  <c r="N41" i="25"/>
  <c r="M41" i="25"/>
  <c r="L41" i="25"/>
  <c r="J41" i="25"/>
  <c r="N40" i="25"/>
  <c r="Q40" i="25" s="1"/>
  <c r="M40" i="25"/>
  <c r="L40" i="25"/>
  <c r="J40" i="25"/>
  <c r="N39" i="25"/>
  <c r="M39" i="25"/>
  <c r="L39" i="25"/>
  <c r="J39" i="25"/>
  <c r="N38" i="25"/>
  <c r="Q38" i="25" s="1"/>
  <c r="M38" i="25"/>
  <c r="L38" i="25"/>
  <c r="J38" i="25"/>
  <c r="N37" i="25"/>
  <c r="M37" i="25"/>
  <c r="L37" i="25"/>
  <c r="J37" i="25"/>
  <c r="N36" i="25"/>
  <c r="P36" i="25" s="1"/>
  <c r="M36" i="25"/>
  <c r="L36" i="25"/>
  <c r="J36" i="25"/>
  <c r="N35" i="25"/>
  <c r="P35" i="25" s="1"/>
  <c r="M35" i="25"/>
  <c r="L35" i="25"/>
  <c r="J35" i="25"/>
  <c r="N34" i="25"/>
  <c r="M34" i="25"/>
  <c r="L34" i="25"/>
  <c r="J34" i="25"/>
  <c r="N33" i="25"/>
  <c r="M33" i="25"/>
  <c r="L33" i="25"/>
  <c r="J33" i="25"/>
  <c r="N32" i="25"/>
  <c r="Q32" i="25" s="1"/>
  <c r="M32" i="25"/>
  <c r="L32" i="25"/>
  <c r="J32" i="25"/>
  <c r="N31" i="25"/>
  <c r="M31" i="25"/>
  <c r="L31" i="25"/>
  <c r="J31" i="25"/>
  <c r="N30" i="25"/>
  <c r="M30" i="25"/>
  <c r="L30" i="25"/>
  <c r="J30" i="25"/>
  <c r="N29" i="25"/>
  <c r="M29" i="25"/>
  <c r="L29" i="25"/>
  <c r="J29" i="25"/>
  <c r="N28" i="25"/>
  <c r="M28" i="25"/>
  <c r="L28" i="25"/>
  <c r="J28" i="25"/>
  <c r="N27" i="25"/>
  <c r="P27" i="25" s="1"/>
  <c r="M27" i="25"/>
  <c r="L27" i="25"/>
  <c r="J27" i="25"/>
  <c r="N26" i="25"/>
  <c r="M26" i="25"/>
  <c r="L26" i="25"/>
  <c r="J26" i="25"/>
  <c r="N25" i="25"/>
  <c r="Q25" i="25" s="1"/>
  <c r="M25" i="25"/>
  <c r="L25" i="25"/>
  <c r="J25" i="25"/>
  <c r="N24" i="25"/>
  <c r="Q24" i="25" s="1"/>
  <c r="M24" i="25"/>
  <c r="L24" i="25"/>
  <c r="J24" i="25"/>
  <c r="N23" i="25"/>
  <c r="M23" i="25"/>
  <c r="L23" i="25"/>
  <c r="J23" i="25"/>
  <c r="N22" i="25"/>
  <c r="M22" i="25"/>
  <c r="L22" i="25"/>
  <c r="J22" i="25"/>
  <c r="N21" i="25"/>
  <c r="M21" i="25"/>
  <c r="L21" i="25"/>
  <c r="J21" i="25"/>
  <c r="N20" i="25"/>
  <c r="M20" i="25"/>
  <c r="L20" i="25"/>
  <c r="J20" i="25"/>
  <c r="N19" i="25"/>
  <c r="P19" i="25" s="1"/>
  <c r="M19" i="25"/>
  <c r="L19" i="25"/>
  <c r="J19" i="25"/>
  <c r="N18" i="25"/>
  <c r="M18" i="25"/>
  <c r="L18" i="25"/>
  <c r="J18" i="25"/>
  <c r="N17" i="25"/>
  <c r="P17" i="25" s="1"/>
  <c r="M17" i="25"/>
  <c r="L17" i="25"/>
  <c r="J17" i="25"/>
  <c r="N16" i="25"/>
  <c r="Q16" i="25" s="1"/>
  <c r="M16" i="25"/>
  <c r="L16" i="25"/>
  <c r="J16" i="25"/>
  <c r="N15" i="25"/>
  <c r="M15" i="25"/>
  <c r="L15" i="25"/>
  <c r="J15" i="25"/>
  <c r="N14" i="25"/>
  <c r="Q14" i="25" s="1"/>
  <c r="M14" i="25"/>
  <c r="L14" i="25"/>
  <c r="J14" i="25"/>
  <c r="N13" i="25"/>
  <c r="M13" i="25"/>
  <c r="L13" i="25"/>
  <c r="J13" i="25"/>
  <c r="N49" i="24"/>
  <c r="M49" i="24"/>
  <c r="L49" i="24"/>
  <c r="J49" i="24"/>
  <c r="N48" i="24"/>
  <c r="Q48" i="24" s="1"/>
  <c r="M48" i="24"/>
  <c r="L48" i="24"/>
  <c r="J48" i="24"/>
  <c r="N47" i="24"/>
  <c r="M47" i="24"/>
  <c r="L47" i="24"/>
  <c r="J47" i="24"/>
  <c r="N46" i="24"/>
  <c r="P46" i="24" s="1"/>
  <c r="M46" i="24"/>
  <c r="L46" i="24"/>
  <c r="J46" i="24"/>
  <c r="N45" i="24"/>
  <c r="M45" i="24"/>
  <c r="L45" i="24"/>
  <c r="J45" i="24"/>
  <c r="N44" i="24"/>
  <c r="M44" i="24"/>
  <c r="L44" i="24"/>
  <c r="J44" i="24"/>
  <c r="N43" i="24"/>
  <c r="P43" i="24" s="1"/>
  <c r="M43" i="24"/>
  <c r="L43" i="24"/>
  <c r="J43" i="24"/>
  <c r="N42" i="24"/>
  <c r="M42" i="24"/>
  <c r="L42" i="24"/>
  <c r="J42" i="24"/>
  <c r="N41" i="24"/>
  <c r="M41" i="24"/>
  <c r="L41" i="24"/>
  <c r="J41" i="24"/>
  <c r="N40" i="24"/>
  <c r="Q40" i="24" s="1"/>
  <c r="M40" i="24"/>
  <c r="L40" i="24"/>
  <c r="J40" i="24"/>
  <c r="N39" i="24"/>
  <c r="M39" i="24"/>
  <c r="L39" i="24"/>
  <c r="J39" i="24"/>
  <c r="N38" i="24"/>
  <c r="M38" i="24"/>
  <c r="L38" i="24"/>
  <c r="J38" i="24"/>
  <c r="N37" i="24"/>
  <c r="M37" i="24"/>
  <c r="L37" i="24"/>
  <c r="J37" i="24"/>
  <c r="N36" i="24"/>
  <c r="M36" i="24"/>
  <c r="L36" i="24"/>
  <c r="J36" i="24"/>
  <c r="N35" i="24"/>
  <c r="P35" i="24" s="1"/>
  <c r="M35" i="24"/>
  <c r="L35" i="24"/>
  <c r="J35" i="24"/>
  <c r="N34" i="24"/>
  <c r="M34" i="24"/>
  <c r="L34" i="24"/>
  <c r="J34" i="24"/>
  <c r="N33" i="24"/>
  <c r="P33" i="24" s="1"/>
  <c r="M33" i="24"/>
  <c r="L33" i="24"/>
  <c r="J33" i="24"/>
  <c r="N32" i="24"/>
  <c r="Q32" i="24" s="1"/>
  <c r="M32" i="24"/>
  <c r="L32" i="24"/>
  <c r="J32" i="24"/>
  <c r="N31" i="24"/>
  <c r="M31" i="24"/>
  <c r="L31" i="24"/>
  <c r="J31" i="24"/>
  <c r="N30" i="24"/>
  <c r="M30" i="24"/>
  <c r="L30" i="24"/>
  <c r="J30" i="24"/>
  <c r="N29" i="24"/>
  <c r="M29" i="24"/>
  <c r="L29" i="24"/>
  <c r="J29" i="24"/>
  <c r="N28" i="24"/>
  <c r="P28" i="24" s="1"/>
  <c r="M28" i="24"/>
  <c r="L28" i="24"/>
  <c r="J28" i="24"/>
  <c r="N27" i="24"/>
  <c r="P27" i="24" s="1"/>
  <c r="M27" i="24"/>
  <c r="L27" i="24"/>
  <c r="J27" i="24"/>
  <c r="N26" i="24"/>
  <c r="M26" i="24"/>
  <c r="L26" i="24"/>
  <c r="J26" i="24"/>
  <c r="N25" i="24"/>
  <c r="P25" i="24" s="1"/>
  <c r="M25" i="24"/>
  <c r="L25" i="24"/>
  <c r="J25" i="24"/>
  <c r="N24" i="24"/>
  <c r="Q24" i="24" s="1"/>
  <c r="M24" i="24"/>
  <c r="L24" i="24"/>
  <c r="J24" i="24"/>
  <c r="N23" i="24"/>
  <c r="M23" i="24"/>
  <c r="L23" i="24"/>
  <c r="J23" i="24"/>
  <c r="N22" i="24"/>
  <c r="M22" i="24"/>
  <c r="L22" i="24"/>
  <c r="J22" i="24"/>
  <c r="N21" i="24"/>
  <c r="M21" i="24"/>
  <c r="L21" i="24"/>
  <c r="J21" i="24"/>
  <c r="N20" i="24"/>
  <c r="M20" i="24"/>
  <c r="L20" i="24"/>
  <c r="J20" i="24"/>
  <c r="N19" i="24"/>
  <c r="P19" i="24" s="1"/>
  <c r="M19" i="24"/>
  <c r="L19" i="24"/>
  <c r="J19" i="24"/>
  <c r="N18" i="24"/>
  <c r="M18" i="24"/>
  <c r="L18" i="24"/>
  <c r="J18" i="24"/>
  <c r="N17" i="24"/>
  <c r="M17" i="24"/>
  <c r="L17" i="24"/>
  <c r="J17" i="24"/>
  <c r="N16" i="24"/>
  <c r="Q16" i="24" s="1"/>
  <c r="M16" i="24"/>
  <c r="L16" i="24"/>
  <c r="J16" i="24"/>
  <c r="N15" i="24"/>
  <c r="M15" i="24"/>
  <c r="L15" i="24"/>
  <c r="J15" i="24"/>
  <c r="N14" i="24"/>
  <c r="M14" i="24"/>
  <c r="L14" i="24"/>
  <c r="J14" i="24"/>
  <c r="N13" i="24"/>
  <c r="O13" i="24" s="1"/>
  <c r="M13" i="24"/>
  <c r="L13" i="24"/>
  <c r="J13" i="24"/>
  <c r="N49" i="23"/>
  <c r="M49" i="23"/>
  <c r="L49" i="23"/>
  <c r="J49" i="23"/>
  <c r="N48" i="23"/>
  <c r="M48" i="23"/>
  <c r="L48" i="23"/>
  <c r="J48" i="23"/>
  <c r="N47" i="23"/>
  <c r="M47" i="23"/>
  <c r="L47" i="23"/>
  <c r="J47" i="23"/>
  <c r="N46" i="23"/>
  <c r="P46" i="23" s="1"/>
  <c r="M46" i="23"/>
  <c r="L46" i="23"/>
  <c r="J46" i="23"/>
  <c r="N45" i="23"/>
  <c r="M45" i="23"/>
  <c r="L45" i="23"/>
  <c r="J45" i="23"/>
  <c r="N44" i="23"/>
  <c r="M44" i="23"/>
  <c r="L44" i="23"/>
  <c r="J44" i="23"/>
  <c r="N43" i="23"/>
  <c r="P43" i="23" s="1"/>
  <c r="M43" i="23"/>
  <c r="L43" i="23"/>
  <c r="J43" i="23"/>
  <c r="N42" i="23"/>
  <c r="M42" i="23"/>
  <c r="L42" i="23"/>
  <c r="J42" i="23"/>
  <c r="N41" i="23"/>
  <c r="M41" i="23"/>
  <c r="L41" i="23"/>
  <c r="J41" i="23"/>
  <c r="N40" i="23"/>
  <c r="Q40" i="23" s="1"/>
  <c r="M40" i="23"/>
  <c r="L40" i="23"/>
  <c r="J40" i="23"/>
  <c r="N39" i="23"/>
  <c r="M39" i="23"/>
  <c r="L39" i="23"/>
  <c r="J39" i="23"/>
  <c r="N38" i="23"/>
  <c r="Q38" i="23" s="1"/>
  <c r="M38" i="23"/>
  <c r="L38" i="23"/>
  <c r="J38" i="23"/>
  <c r="N37" i="23"/>
  <c r="M37" i="23"/>
  <c r="L37" i="23"/>
  <c r="J37" i="23"/>
  <c r="N36" i="23"/>
  <c r="M36" i="23"/>
  <c r="L36" i="23"/>
  <c r="J36" i="23"/>
  <c r="N35" i="23"/>
  <c r="M35" i="23"/>
  <c r="L35" i="23"/>
  <c r="J35" i="23"/>
  <c r="N34" i="23"/>
  <c r="M34" i="23"/>
  <c r="L34" i="23"/>
  <c r="J34" i="23"/>
  <c r="N33" i="23"/>
  <c r="M33" i="23"/>
  <c r="L33" i="23"/>
  <c r="J33" i="23"/>
  <c r="N32" i="23"/>
  <c r="M32" i="23"/>
  <c r="L32" i="23"/>
  <c r="J32" i="23"/>
  <c r="N31" i="23"/>
  <c r="M31" i="23"/>
  <c r="L31" i="23"/>
  <c r="J31" i="23"/>
  <c r="N30" i="23"/>
  <c r="P30" i="23" s="1"/>
  <c r="M30" i="23"/>
  <c r="L30" i="23"/>
  <c r="J30" i="23"/>
  <c r="N29" i="23"/>
  <c r="Q29" i="23" s="1"/>
  <c r="M29" i="23"/>
  <c r="L29" i="23"/>
  <c r="J29" i="23"/>
  <c r="N28" i="23"/>
  <c r="M28" i="23"/>
  <c r="L28" i="23"/>
  <c r="J28" i="23"/>
  <c r="N27" i="23"/>
  <c r="P27" i="23" s="1"/>
  <c r="M27" i="23"/>
  <c r="L27" i="23"/>
  <c r="J27" i="23"/>
  <c r="N26" i="23"/>
  <c r="M26" i="23"/>
  <c r="L26" i="23"/>
  <c r="J26" i="23"/>
  <c r="N25" i="23"/>
  <c r="P25" i="23" s="1"/>
  <c r="M25" i="23"/>
  <c r="L25" i="23"/>
  <c r="J25" i="23"/>
  <c r="N24" i="23"/>
  <c r="Q24" i="23" s="1"/>
  <c r="M24" i="23"/>
  <c r="L24" i="23"/>
  <c r="J24" i="23"/>
  <c r="N23" i="23"/>
  <c r="M23" i="23"/>
  <c r="L23" i="23"/>
  <c r="J23" i="23"/>
  <c r="N22" i="23"/>
  <c r="M22" i="23"/>
  <c r="L22" i="23"/>
  <c r="J22" i="23"/>
  <c r="N21" i="23"/>
  <c r="Q21" i="23" s="1"/>
  <c r="M21" i="23"/>
  <c r="L21" i="23"/>
  <c r="J21" i="23"/>
  <c r="N20" i="23"/>
  <c r="M20" i="23"/>
  <c r="L20" i="23"/>
  <c r="J20" i="23"/>
  <c r="N19" i="23"/>
  <c r="M19" i="23"/>
  <c r="L19" i="23"/>
  <c r="J19" i="23"/>
  <c r="N18" i="23"/>
  <c r="M18" i="23"/>
  <c r="L18" i="23"/>
  <c r="J18" i="23"/>
  <c r="N17" i="23"/>
  <c r="Q17" i="23" s="1"/>
  <c r="M17" i="23"/>
  <c r="L17" i="23"/>
  <c r="J17" i="23"/>
  <c r="N16" i="23"/>
  <c r="O16" i="23" s="1"/>
  <c r="M16" i="23"/>
  <c r="L16" i="23"/>
  <c r="J16" i="23"/>
  <c r="N15" i="23"/>
  <c r="M15" i="23"/>
  <c r="L15" i="23"/>
  <c r="J15" i="23"/>
  <c r="N14" i="23"/>
  <c r="P14" i="23" s="1"/>
  <c r="M14" i="23"/>
  <c r="L14" i="23"/>
  <c r="J14" i="23"/>
  <c r="N13" i="23"/>
  <c r="M13" i="23"/>
  <c r="L13" i="23"/>
  <c r="J13" i="23"/>
  <c r="N49" i="22"/>
  <c r="M49" i="22"/>
  <c r="L49" i="22"/>
  <c r="J49" i="22"/>
  <c r="N48" i="22"/>
  <c r="M48" i="22"/>
  <c r="L48" i="22"/>
  <c r="J48" i="22"/>
  <c r="N47" i="22"/>
  <c r="M47" i="22"/>
  <c r="L47" i="22"/>
  <c r="J47" i="22"/>
  <c r="N46" i="22"/>
  <c r="P46" i="22" s="1"/>
  <c r="M46" i="22"/>
  <c r="L46" i="22"/>
  <c r="J46" i="22"/>
  <c r="N45" i="22"/>
  <c r="Q45" i="22" s="1"/>
  <c r="M45" i="22"/>
  <c r="L45" i="22"/>
  <c r="J45" i="22"/>
  <c r="N44" i="22"/>
  <c r="M44" i="22"/>
  <c r="L44" i="22"/>
  <c r="J44" i="22"/>
  <c r="N43" i="22"/>
  <c r="P43" i="22" s="1"/>
  <c r="M43" i="22"/>
  <c r="L43" i="22"/>
  <c r="J43" i="22"/>
  <c r="N42" i="22"/>
  <c r="M42" i="22"/>
  <c r="L42" i="22"/>
  <c r="J42" i="22"/>
  <c r="N41" i="22"/>
  <c r="P41" i="22" s="1"/>
  <c r="M41" i="22"/>
  <c r="L41" i="22"/>
  <c r="J41" i="22"/>
  <c r="N40" i="22"/>
  <c r="Q40" i="22" s="1"/>
  <c r="M40" i="22"/>
  <c r="L40" i="22"/>
  <c r="J40" i="22"/>
  <c r="N39" i="22"/>
  <c r="M39" i="22"/>
  <c r="L39" i="22"/>
  <c r="J39" i="22"/>
  <c r="N38" i="22"/>
  <c r="Q38" i="22" s="1"/>
  <c r="M38" i="22"/>
  <c r="L38" i="22"/>
  <c r="J38" i="22"/>
  <c r="N37" i="22"/>
  <c r="Q37" i="22" s="1"/>
  <c r="M37" i="22"/>
  <c r="L37" i="22"/>
  <c r="J37" i="22"/>
  <c r="N36" i="22"/>
  <c r="M36" i="22"/>
  <c r="L36" i="22"/>
  <c r="J36" i="22"/>
  <c r="N35" i="22"/>
  <c r="P35" i="22" s="1"/>
  <c r="M35" i="22"/>
  <c r="L35" i="22"/>
  <c r="J35" i="22"/>
  <c r="N34" i="22"/>
  <c r="M34" i="22"/>
  <c r="L34" i="22"/>
  <c r="J34" i="22"/>
  <c r="N33" i="22"/>
  <c r="Q33" i="22" s="1"/>
  <c r="M33" i="22"/>
  <c r="L33" i="22"/>
  <c r="J33" i="22"/>
  <c r="N32" i="22"/>
  <c r="Q32" i="22" s="1"/>
  <c r="M32" i="22"/>
  <c r="L32" i="22"/>
  <c r="J32" i="22"/>
  <c r="N31" i="22"/>
  <c r="M31" i="22"/>
  <c r="L31" i="22"/>
  <c r="J31" i="22"/>
  <c r="N30" i="22"/>
  <c r="P30" i="22" s="1"/>
  <c r="M30" i="22"/>
  <c r="L30" i="22"/>
  <c r="J30" i="22"/>
  <c r="N29" i="22"/>
  <c r="Q29" i="22" s="1"/>
  <c r="M29" i="22"/>
  <c r="L29" i="22"/>
  <c r="J29" i="22"/>
  <c r="N28" i="22"/>
  <c r="M28" i="22"/>
  <c r="L28" i="22"/>
  <c r="J28" i="22"/>
  <c r="N27" i="22"/>
  <c r="P27" i="22" s="1"/>
  <c r="M27" i="22"/>
  <c r="L27" i="22"/>
  <c r="J27" i="22"/>
  <c r="N26" i="22"/>
  <c r="M26" i="22"/>
  <c r="L26" i="22"/>
  <c r="J26" i="22"/>
  <c r="N25" i="22"/>
  <c r="P25" i="22" s="1"/>
  <c r="M25" i="22"/>
  <c r="L25" i="22"/>
  <c r="J25" i="22"/>
  <c r="N24" i="22"/>
  <c r="Q24" i="22" s="1"/>
  <c r="M24" i="22"/>
  <c r="L24" i="22"/>
  <c r="J24" i="22"/>
  <c r="N23" i="22"/>
  <c r="M23" i="22"/>
  <c r="L23" i="22"/>
  <c r="J23" i="22"/>
  <c r="N22" i="22"/>
  <c r="Q22" i="22" s="1"/>
  <c r="M22" i="22"/>
  <c r="L22" i="22"/>
  <c r="J22" i="22"/>
  <c r="N21" i="22"/>
  <c r="M21" i="22"/>
  <c r="L21" i="22"/>
  <c r="J21" i="22"/>
  <c r="N20" i="22"/>
  <c r="M20" i="22"/>
  <c r="L20" i="22"/>
  <c r="J20" i="22"/>
  <c r="N19" i="22"/>
  <c r="P19" i="22" s="1"/>
  <c r="M19" i="22"/>
  <c r="L19" i="22"/>
  <c r="J19" i="22"/>
  <c r="N18" i="22"/>
  <c r="M18" i="22"/>
  <c r="L18" i="22"/>
  <c r="J18" i="22"/>
  <c r="N17" i="22"/>
  <c r="Q17" i="22" s="1"/>
  <c r="M17" i="22"/>
  <c r="L17" i="22"/>
  <c r="J17" i="22"/>
  <c r="N16" i="22"/>
  <c r="Q16" i="22" s="1"/>
  <c r="M16" i="22"/>
  <c r="L16" i="22"/>
  <c r="J16" i="22"/>
  <c r="N15" i="22"/>
  <c r="M15" i="22"/>
  <c r="L15" i="22"/>
  <c r="J15" i="22"/>
  <c r="N14" i="22"/>
  <c r="P14" i="22" s="1"/>
  <c r="M14" i="22"/>
  <c r="L14" i="22"/>
  <c r="J14" i="22"/>
  <c r="N13" i="22"/>
  <c r="Q13" i="22" s="1"/>
  <c r="M13" i="22"/>
  <c r="L13" i="22"/>
  <c r="J13" i="22"/>
  <c r="N49" i="21"/>
  <c r="M49" i="21"/>
  <c r="L49" i="21"/>
  <c r="J49" i="21"/>
  <c r="N48" i="21"/>
  <c r="Q48" i="21" s="1"/>
  <c r="M48" i="21"/>
  <c r="L48" i="21"/>
  <c r="J48" i="21"/>
  <c r="N47" i="21"/>
  <c r="M47" i="21"/>
  <c r="L47" i="21"/>
  <c r="J47" i="21"/>
  <c r="N46" i="21"/>
  <c r="P46" i="21" s="1"/>
  <c r="M46" i="21"/>
  <c r="L46" i="21"/>
  <c r="J46" i="21"/>
  <c r="N45" i="21"/>
  <c r="Q45" i="21" s="1"/>
  <c r="M45" i="21"/>
  <c r="L45" i="21"/>
  <c r="J45" i="21"/>
  <c r="N44" i="21"/>
  <c r="M44" i="21"/>
  <c r="L44" i="21"/>
  <c r="J44" i="21"/>
  <c r="N43" i="21"/>
  <c r="P43" i="21" s="1"/>
  <c r="M43" i="21"/>
  <c r="L43" i="21"/>
  <c r="J43" i="21"/>
  <c r="N42" i="21"/>
  <c r="M42" i="21"/>
  <c r="L42" i="21"/>
  <c r="J42" i="21"/>
  <c r="N41" i="21"/>
  <c r="Q41" i="21" s="1"/>
  <c r="M41" i="21"/>
  <c r="L41" i="21"/>
  <c r="J41" i="21"/>
  <c r="N40" i="21"/>
  <c r="Q40" i="21" s="1"/>
  <c r="M40" i="21"/>
  <c r="L40" i="21"/>
  <c r="J40" i="21"/>
  <c r="N39" i="21"/>
  <c r="M39" i="21"/>
  <c r="L39" i="21"/>
  <c r="J39" i="21"/>
  <c r="N38" i="21"/>
  <c r="P38" i="21" s="1"/>
  <c r="M38" i="21"/>
  <c r="L38" i="21"/>
  <c r="J38" i="21"/>
  <c r="N37" i="21"/>
  <c r="P37" i="21" s="1"/>
  <c r="M37" i="21"/>
  <c r="L37" i="21"/>
  <c r="J37" i="21"/>
  <c r="N36" i="21"/>
  <c r="M36" i="21"/>
  <c r="L36" i="21"/>
  <c r="J36" i="21"/>
  <c r="N35" i="21"/>
  <c r="P35" i="21" s="1"/>
  <c r="M35" i="21"/>
  <c r="L35" i="21"/>
  <c r="J35" i="21"/>
  <c r="N34" i="21"/>
  <c r="M34" i="21"/>
  <c r="L34" i="21"/>
  <c r="J34" i="21"/>
  <c r="N33" i="21"/>
  <c r="M33" i="21"/>
  <c r="L33" i="21"/>
  <c r="J33" i="21"/>
  <c r="N32" i="21"/>
  <c r="Q32" i="21" s="1"/>
  <c r="M32" i="21"/>
  <c r="L32" i="21"/>
  <c r="J32" i="21"/>
  <c r="N31" i="21"/>
  <c r="M31" i="21"/>
  <c r="L31" i="21"/>
  <c r="J31" i="21"/>
  <c r="N30" i="21"/>
  <c r="P30" i="21" s="1"/>
  <c r="M30" i="21"/>
  <c r="L30" i="21"/>
  <c r="J30" i="21"/>
  <c r="N29" i="21"/>
  <c r="P29" i="21" s="1"/>
  <c r="M29" i="21"/>
  <c r="L29" i="21"/>
  <c r="J29" i="21"/>
  <c r="N28" i="21"/>
  <c r="M28" i="21"/>
  <c r="L28" i="21"/>
  <c r="J28" i="21"/>
  <c r="N27" i="21"/>
  <c r="P27" i="21" s="1"/>
  <c r="M27" i="21"/>
  <c r="L27" i="21"/>
  <c r="J27" i="21"/>
  <c r="N26" i="21"/>
  <c r="M26" i="21"/>
  <c r="L26" i="21"/>
  <c r="J26" i="21"/>
  <c r="N25" i="21"/>
  <c r="M25" i="21"/>
  <c r="L25" i="21"/>
  <c r="J25" i="21"/>
  <c r="N24" i="21"/>
  <c r="Q24" i="21" s="1"/>
  <c r="M24" i="21"/>
  <c r="L24" i="21"/>
  <c r="J24" i="21"/>
  <c r="N23" i="21"/>
  <c r="M23" i="21"/>
  <c r="L23" i="21"/>
  <c r="J23" i="21"/>
  <c r="N22" i="21"/>
  <c r="P22" i="21" s="1"/>
  <c r="M22" i="21"/>
  <c r="L22" i="21"/>
  <c r="J22" i="21"/>
  <c r="N21" i="21"/>
  <c r="P21" i="21" s="1"/>
  <c r="M21" i="21"/>
  <c r="L21" i="21"/>
  <c r="J21" i="21"/>
  <c r="N20" i="21"/>
  <c r="M20" i="21"/>
  <c r="L20" i="21"/>
  <c r="J20" i="21"/>
  <c r="N19" i="21"/>
  <c r="P19" i="21" s="1"/>
  <c r="M19" i="21"/>
  <c r="L19" i="21"/>
  <c r="J19" i="21"/>
  <c r="N18" i="21"/>
  <c r="M18" i="21"/>
  <c r="L18" i="21"/>
  <c r="J18" i="21"/>
  <c r="N17" i="21"/>
  <c r="P17" i="21" s="1"/>
  <c r="M17" i="21"/>
  <c r="L17" i="21"/>
  <c r="J17" i="21"/>
  <c r="N16" i="21"/>
  <c r="Q16" i="21" s="1"/>
  <c r="M16" i="21"/>
  <c r="L16" i="21"/>
  <c r="J16" i="21"/>
  <c r="N15" i="21"/>
  <c r="M15" i="21"/>
  <c r="L15" i="21"/>
  <c r="J15" i="21"/>
  <c r="N14" i="21"/>
  <c r="Q14" i="21" s="1"/>
  <c r="M14" i="21"/>
  <c r="L14" i="21"/>
  <c r="J14" i="21"/>
  <c r="N13" i="21"/>
  <c r="M13" i="21"/>
  <c r="L13" i="21"/>
  <c r="J13" i="21"/>
  <c r="N49" i="20"/>
  <c r="M49" i="20"/>
  <c r="L49" i="20"/>
  <c r="J49" i="20"/>
  <c r="N48" i="20"/>
  <c r="M48" i="20"/>
  <c r="R48" i="20" s="1"/>
  <c r="L48" i="20"/>
  <c r="J48" i="20"/>
  <c r="N47" i="20"/>
  <c r="M47" i="20"/>
  <c r="L47" i="20"/>
  <c r="J47" i="20"/>
  <c r="N46" i="20"/>
  <c r="Q46" i="20" s="1"/>
  <c r="M46" i="20"/>
  <c r="L46" i="20"/>
  <c r="J46" i="20"/>
  <c r="N45" i="20"/>
  <c r="M45" i="20"/>
  <c r="L45" i="20"/>
  <c r="J45" i="20"/>
  <c r="N44" i="20"/>
  <c r="M44" i="20"/>
  <c r="L44" i="20"/>
  <c r="J44" i="20"/>
  <c r="N43" i="20"/>
  <c r="P43" i="20" s="1"/>
  <c r="M43" i="20"/>
  <c r="L43" i="20"/>
  <c r="J43" i="20"/>
  <c r="N42" i="20"/>
  <c r="M42" i="20"/>
  <c r="L42" i="20"/>
  <c r="J42" i="20"/>
  <c r="N41" i="20"/>
  <c r="M41" i="20"/>
  <c r="L41" i="20"/>
  <c r="J41" i="20"/>
  <c r="N40" i="20"/>
  <c r="M40" i="20"/>
  <c r="L40" i="20"/>
  <c r="J40" i="20"/>
  <c r="N39" i="20"/>
  <c r="M39" i="20"/>
  <c r="L39" i="20"/>
  <c r="J39" i="20"/>
  <c r="N38" i="20"/>
  <c r="P38" i="20" s="1"/>
  <c r="M38" i="20"/>
  <c r="L38" i="20"/>
  <c r="J38" i="20"/>
  <c r="N37" i="20"/>
  <c r="M37" i="20"/>
  <c r="L37" i="20"/>
  <c r="J37" i="20"/>
  <c r="N36" i="20"/>
  <c r="M36" i="20"/>
  <c r="L36" i="20"/>
  <c r="J36" i="20"/>
  <c r="N35" i="20"/>
  <c r="P35" i="20" s="1"/>
  <c r="M35" i="20"/>
  <c r="L35" i="20"/>
  <c r="J35" i="20"/>
  <c r="N34" i="20"/>
  <c r="M34" i="20"/>
  <c r="L34" i="20"/>
  <c r="J34" i="20"/>
  <c r="N33" i="20"/>
  <c r="M33" i="20"/>
  <c r="L33" i="20"/>
  <c r="J33" i="20"/>
  <c r="N32" i="20"/>
  <c r="P32" i="20" s="1"/>
  <c r="M32" i="20"/>
  <c r="L32" i="20"/>
  <c r="J32" i="20"/>
  <c r="N31" i="20"/>
  <c r="M31" i="20"/>
  <c r="L31" i="20"/>
  <c r="J31" i="20"/>
  <c r="N30" i="20"/>
  <c r="Q30" i="20" s="1"/>
  <c r="M30" i="20"/>
  <c r="L30" i="20"/>
  <c r="J30" i="20"/>
  <c r="N29" i="20"/>
  <c r="M29" i="20"/>
  <c r="L29" i="20"/>
  <c r="J29" i="20"/>
  <c r="N28" i="20"/>
  <c r="M28" i="20"/>
  <c r="L28" i="20"/>
  <c r="J28" i="20"/>
  <c r="N27" i="20"/>
  <c r="P27" i="20" s="1"/>
  <c r="M27" i="20"/>
  <c r="L27" i="20"/>
  <c r="J27" i="20"/>
  <c r="N26" i="20"/>
  <c r="M26" i="20"/>
  <c r="L26" i="20"/>
  <c r="J26" i="20"/>
  <c r="N25" i="20"/>
  <c r="M25" i="20"/>
  <c r="L25" i="20"/>
  <c r="J25" i="20"/>
  <c r="N24" i="20"/>
  <c r="Q24" i="20" s="1"/>
  <c r="M24" i="20"/>
  <c r="L24" i="20"/>
  <c r="J24" i="20"/>
  <c r="N23" i="20"/>
  <c r="M23" i="20"/>
  <c r="L23" i="20"/>
  <c r="J23" i="20"/>
  <c r="N22" i="20"/>
  <c r="M22" i="20"/>
  <c r="L22" i="20"/>
  <c r="J22" i="20"/>
  <c r="N21" i="20"/>
  <c r="Q21" i="20" s="1"/>
  <c r="M21" i="20"/>
  <c r="L21" i="20"/>
  <c r="J21" i="20"/>
  <c r="N20" i="20"/>
  <c r="M20" i="20"/>
  <c r="L20" i="20"/>
  <c r="J20" i="20"/>
  <c r="N19" i="20"/>
  <c r="P19" i="20" s="1"/>
  <c r="M19" i="20"/>
  <c r="L19" i="20"/>
  <c r="J19" i="20"/>
  <c r="N18" i="20"/>
  <c r="M18" i="20"/>
  <c r="L18" i="20"/>
  <c r="J18" i="20"/>
  <c r="N17" i="20"/>
  <c r="M17" i="20"/>
  <c r="L17" i="20"/>
  <c r="J17" i="20"/>
  <c r="N16" i="20"/>
  <c r="M16" i="20"/>
  <c r="L16" i="20"/>
  <c r="J16" i="20"/>
  <c r="N15" i="20"/>
  <c r="M15" i="20"/>
  <c r="L15" i="20"/>
  <c r="J15" i="20"/>
  <c r="N14" i="20"/>
  <c r="M14" i="20"/>
  <c r="L14" i="20"/>
  <c r="J14" i="20"/>
  <c r="N13" i="20"/>
  <c r="M13" i="20"/>
  <c r="L13" i="20"/>
  <c r="J13" i="20"/>
  <c r="N49" i="19"/>
  <c r="M49" i="19"/>
  <c r="R49" i="19" s="1"/>
  <c r="L49" i="19"/>
  <c r="J49" i="19"/>
  <c r="N48" i="19"/>
  <c r="Q48" i="19" s="1"/>
  <c r="M48" i="19"/>
  <c r="L48" i="19"/>
  <c r="J48" i="19"/>
  <c r="N47" i="19"/>
  <c r="M47" i="19"/>
  <c r="L47" i="19"/>
  <c r="J47" i="19"/>
  <c r="N46" i="19"/>
  <c r="M46" i="19"/>
  <c r="L46" i="19"/>
  <c r="J46" i="19"/>
  <c r="N45" i="19"/>
  <c r="M45" i="19"/>
  <c r="L45" i="19"/>
  <c r="J45" i="19"/>
  <c r="N44" i="19"/>
  <c r="M44" i="19"/>
  <c r="L44" i="19"/>
  <c r="J44" i="19"/>
  <c r="N43" i="19"/>
  <c r="P43" i="19" s="1"/>
  <c r="M43" i="19"/>
  <c r="L43" i="19"/>
  <c r="J43" i="19"/>
  <c r="N42" i="19"/>
  <c r="M42" i="19"/>
  <c r="L42" i="19"/>
  <c r="J42" i="19"/>
  <c r="N41" i="19"/>
  <c r="P41" i="19" s="1"/>
  <c r="M41" i="19"/>
  <c r="L41" i="19"/>
  <c r="J41" i="19"/>
  <c r="N40" i="19"/>
  <c r="M40" i="19"/>
  <c r="L40" i="19"/>
  <c r="J40" i="19"/>
  <c r="N39" i="19"/>
  <c r="M39" i="19"/>
  <c r="L39" i="19"/>
  <c r="J39" i="19"/>
  <c r="N38" i="19"/>
  <c r="Q38" i="19" s="1"/>
  <c r="M38" i="19"/>
  <c r="L38" i="19"/>
  <c r="J38" i="19"/>
  <c r="N37" i="19"/>
  <c r="M37" i="19"/>
  <c r="L37" i="19"/>
  <c r="J37" i="19"/>
  <c r="N36" i="19"/>
  <c r="M36" i="19"/>
  <c r="L36" i="19"/>
  <c r="J36" i="19"/>
  <c r="N35" i="19"/>
  <c r="M35" i="19"/>
  <c r="L35" i="19"/>
  <c r="J35" i="19"/>
  <c r="N34" i="19"/>
  <c r="M34" i="19"/>
  <c r="L34" i="19"/>
  <c r="J34" i="19"/>
  <c r="N33" i="19"/>
  <c r="M33" i="19"/>
  <c r="L33" i="19"/>
  <c r="J33" i="19"/>
  <c r="N32" i="19"/>
  <c r="M32" i="19"/>
  <c r="L32" i="19"/>
  <c r="J32" i="19"/>
  <c r="N31" i="19"/>
  <c r="M31" i="19"/>
  <c r="L31" i="19"/>
  <c r="J31" i="19"/>
  <c r="N30" i="19"/>
  <c r="P30" i="19" s="1"/>
  <c r="M30" i="19"/>
  <c r="L30" i="19"/>
  <c r="J30" i="19"/>
  <c r="N29" i="19"/>
  <c r="M29" i="19"/>
  <c r="L29" i="19"/>
  <c r="J29" i="19"/>
  <c r="N28" i="19"/>
  <c r="M28" i="19"/>
  <c r="L28" i="19"/>
  <c r="J28" i="19"/>
  <c r="N27" i="19"/>
  <c r="Q27" i="19" s="1"/>
  <c r="M27" i="19"/>
  <c r="L27" i="19"/>
  <c r="J27" i="19"/>
  <c r="N26" i="19"/>
  <c r="M26" i="19"/>
  <c r="L26" i="19"/>
  <c r="J26" i="19"/>
  <c r="N25" i="19"/>
  <c r="M25" i="19"/>
  <c r="L25" i="19"/>
  <c r="J25" i="19"/>
  <c r="N24" i="19"/>
  <c r="Q24" i="19" s="1"/>
  <c r="M24" i="19"/>
  <c r="L24" i="19"/>
  <c r="J24" i="19"/>
  <c r="N23" i="19"/>
  <c r="M23" i="19"/>
  <c r="L23" i="19"/>
  <c r="J23" i="19"/>
  <c r="N22" i="19"/>
  <c r="M22" i="19"/>
  <c r="L22" i="19"/>
  <c r="J22" i="19"/>
  <c r="N21" i="19"/>
  <c r="M21" i="19"/>
  <c r="L21" i="19"/>
  <c r="J21" i="19"/>
  <c r="N20" i="19"/>
  <c r="P20" i="19" s="1"/>
  <c r="M20" i="19"/>
  <c r="L20" i="19"/>
  <c r="J20" i="19"/>
  <c r="N19" i="19"/>
  <c r="M19" i="19"/>
  <c r="L19" i="19"/>
  <c r="J19" i="19"/>
  <c r="N18" i="19"/>
  <c r="M18" i="19"/>
  <c r="L18" i="19"/>
  <c r="J18" i="19"/>
  <c r="N17" i="19"/>
  <c r="M17" i="19"/>
  <c r="L17" i="19"/>
  <c r="J17" i="19"/>
  <c r="N16" i="19"/>
  <c r="M16" i="19"/>
  <c r="L16" i="19"/>
  <c r="J16" i="19"/>
  <c r="N15" i="19"/>
  <c r="M15" i="19"/>
  <c r="L15" i="19"/>
  <c r="J15" i="19"/>
  <c r="N14" i="19"/>
  <c r="P14" i="19" s="1"/>
  <c r="M14" i="19"/>
  <c r="L14" i="19"/>
  <c r="J14" i="19"/>
  <c r="N13" i="19"/>
  <c r="M13" i="19"/>
  <c r="L13" i="19"/>
  <c r="J13" i="19"/>
  <c r="N49" i="17"/>
  <c r="M49" i="17"/>
  <c r="L49" i="17"/>
  <c r="J49" i="17"/>
  <c r="N48" i="17"/>
  <c r="M48" i="17"/>
  <c r="L48" i="17"/>
  <c r="J48" i="17"/>
  <c r="N47" i="17"/>
  <c r="M47" i="17"/>
  <c r="L47" i="17"/>
  <c r="J47" i="17"/>
  <c r="N46" i="17"/>
  <c r="Q46" i="17" s="1"/>
  <c r="M46" i="17"/>
  <c r="L46" i="17"/>
  <c r="J46" i="17"/>
  <c r="N45" i="17"/>
  <c r="M45" i="17"/>
  <c r="L45" i="17"/>
  <c r="J45" i="17"/>
  <c r="N44" i="17"/>
  <c r="M44" i="17"/>
  <c r="L44" i="17"/>
  <c r="J44" i="17"/>
  <c r="N43" i="17"/>
  <c r="M43" i="17"/>
  <c r="L43" i="17"/>
  <c r="J43" i="17"/>
  <c r="N42" i="17"/>
  <c r="M42" i="17"/>
  <c r="L42" i="17"/>
  <c r="J42" i="17"/>
  <c r="N41" i="17"/>
  <c r="M41" i="17"/>
  <c r="L41" i="17"/>
  <c r="J41" i="17"/>
  <c r="N40" i="17"/>
  <c r="Q40" i="17" s="1"/>
  <c r="M40" i="17"/>
  <c r="L40" i="17"/>
  <c r="J40" i="17"/>
  <c r="N39" i="17"/>
  <c r="M39" i="17"/>
  <c r="L39" i="17"/>
  <c r="J39" i="17"/>
  <c r="N38" i="17"/>
  <c r="Q38" i="17" s="1"/>
  <c r="M38" i="17"/>
  <c r="L38" i="17"/>
  <c r="J38" i="17"/>
  <c r="N37" i="17"/>
  <c r="M37" i="17"/>
  <c r="L37" i="17"/>
  <c r="J37" i="17"/>
  <c r="N36" i="17"/>
  <c r="M36" i="17"/>
  <c r="L36" i="17"/>
  <c r="J36" i="17"/>
  <c r="N35" i="17"/>
  <c r="M35" i="17"/>
  <c r="L35" i="17"/>
  <c r="J35" i="17"/>
  <c r="N34" i="17"/>
  <c r="M34" i="17"/>
  <c r="L34" i="17"/>
  <c r="J34" i="17"/>
  <c r="N33" i="17"/>
  <c r="M33" i="17"/>
  <c r="L33" i="17"/>
  <c r="J33" i="17"/>
  <c r="N32" i="17"/>
  <c r="Q32" i="17" s="1"/>
  <c r="M32" i="17"/>
  <c r="L32" i="17"/>
  <c r="J32" i="17"/>
  <c r="N31" i="17"/>
  <c r="M31" i="17"/>
  <c r="L31" i="17"/>
  <c r="J31" i="17"/>
  <c r="N30" i="17"/>
  <c r="Q30" i="17" s="1"/>
  <c r="M30" i="17"/>
  <c r="L30" i="17"/>
  <c r="J30" i="17"/>
  <c r="N29" i="17"/>
  <c r="M29" i="17"/>
  <c r="L29" i="17"/>
  <c r="J29" i="17"/>
  <c r="N28" i="17"/>
  <c r="M28" i="17"/>
  <c r="L28" i="17"/>
  <c r="J28" i="17"/>
  <c r="N27" i="17"/>
  <c r="P27" i="17" s="1"/>
  <c r="M27" i="17"/>
  <c r="L27" i="17"/>
  <c r="J27" i="17"/>
  <c r="N26" i="17"/>
  <c r="M26" i="17"/>
  <c r="L26" i="17"/>
  <c r="J26" i="17"/>
  <c r="N25" i="17"/>
  <c r="Q25" i="17" s="1"/>
  <c r="M25" i="17"/>
  <c r="L25" i="17"/>
  <c r="J25" i="17"/>
  <c r="N24" i="17"/>
  <c r="M24" i="17"/>
  <c r="L24" i="17"/>
  <c r="J24" i="17"/>
  <c r="N23" i="17"/>
  <c r="M23" i="17"/>
  <c r="L23" i="17"/>
  <c r="J23" i="17"/>
  <c r="N22" i="17"/>
  <c r="P22" i="17" s="1"/>
  <c r="M22" i="17"/>
  <c r="L22" i="17"/>
  <c r="J22" i="17"/>
  <c r="N21" i="17"/>
  <c r="M21" i="17"/>
  <c r="L21" i="17"/>
  <c r="J21" i="17"/>
  <c r="N20" i="17"/>
  <c r="M20" i="17"/>
  <c r="L20" i="17"/>
  <c r="J20" i="17"/>
  <c r="N19" i="17"/>
  <c r="P19" i="17" s="1"/>
  <c r="M19" i="17"/>
  <c r="L19" i="17"/>
  <c r="J19" i="17"/>
  <c r="N18" i="17"/>
  <c r="M18" i="17"/>
  <c r="L18" i="17"/>
  <c r="J18" i="17"/>
  <c r="N17" i="17"/>
  <c r="M17" i="17"/>
  <c r="L17" i="17"/>
  <c r="J17" i="17"/>
  <c r="N16" i="17"/>
  <c r="M16" i="17"/>
  <c r="L16" i="17"/>
  <c r="J16" i="17"/>
  <c r="N15" i="17"/>
  <c r="M15" i="17"/>
  <c r="L15" i="17"/>
  <c r="J15" i="17"/>
  <c r="N14" i="17"/>
  <c r="Q14" i="17" s="1"/>
  <c r="M14" i="17"/>
  <c r="L14" i="17"/>
  <c r="J14" i="17"/>
  <c r="N13" i="17"/>
  <c r="O13" i="17" s="1"/>
  <c r="M13" i="17"/>
  <c r="L13" i="17"/>
  <c r="J13" i="17"/>
  <c r="N49" i="16"/>
  <c r="M49" i="16"/>
  <c r="L49" i="16"/>
  <c r="N48" i="16"/>
  <c r="Q48" i="16" s="1"/>
  <c r="M48" i="16"/>
  <c r="L48" i="16"/>
  <c r="N47" i="16"/>
  <c r="M47" i="16"/>
  <c r="L47" i="16"/>
  <c r="N46" i="16"/>
  <c r="M46" i="16"/>
  <c r="L46" i="16"/>
  <c r="N45" i="16"/>
  <c r="M45" i="16"/>
  <c r="L45" i="16"/>
  <c r="N44" i="16"/>
  <c r="M44" i="16"/>
  <c r="L44" i="16"/>
  <c r="N43" i="16"/>
  <c r="P43" i="16" s="1"/>
  <c r="M43" i="16"/>
  <c r="L43" i="16"/>
  <c r="N42" i="16"/>
  <c r="M42" i="16"/>
  <c r="L42" i="16"/>
  <c r="N41" i="16"/>
  <c r="P41" i="16" s="1"/>
  <c r="M41" i="16"/>
  <c r="L41" i="16"/>
  <c r="N40" i="16"/>
  <c r="Q40" i="16" s="1"/>
  <c r="M40" i="16"/>
  <c r="L40" i="16"/>
  <c r="N39" i="16"/>
  <c r="M39" i="16"/>
  <c r="L39" i="16"/>
  <c r="N38" i="16"/>
  <c r="M38" i="16"/>
  <c r="L38" i="16"/>
  <c r="N37" i="16"/>
  <c r="M37" i="16"/>
  <c r="L37" i="16"/>
  <c r="N36" i="16"/>
  <c r="M36" i="16"/>
  <c r="L36" i="16"/>
  <c r="N35" i="16"/>
  <c r="P35" i="16" s="1"/>
  <c r="M35" i="16"/>
  <c r="L35" i="16"/>
  <c r="N34" i="16"/>
  <c r="M34" i="16"/>
  <c r="L34" i="16"/>
  <c r="N33" i="16"/>
  <c r="M33" i="16"/>
  <c r="L33" i="16"/>
  <c r="N32" i="16"/>
  <c r="Q32" i="16" s="1"/>
  <c r="M32" i="16"/>
  <c r="L32" i="16"/>
  <c r="N31" i="16"/>
  <c r="O31" i="16" s="1"/>
  <c r="M31" i="16"/>
  <c r="L31" i="16"/>
  <c r="N30" i="16"/>
  <c r="M30" i="16"/>
  <c r="L30" i="16"/>
  <c r="N29" i="16"/>
  <c r="O29" i="16" s="1"/>
  <c r="M29" i="16"/>
  <c r="L29" i="16"/>
  <c r="N28" i="16"/>
  <c r="O28" i="16" s="1"/>
  <c r="M28" i="16"/>
  <c r="L28" i="16"/>
  <c r="N27" i="16"/>
  <c r="M27" i="16"/>
  <c r="L27" i="16"/>
  <c r="N26" i="16"/>
  <c r="O26" i="16" s="1"/>
  <c r="M26" i="16"/>
  <c r="L26" i="16"/>
  <c r="N25" i="16"/>
  <c r="O25" i="16" s="1"/>
  <c r="M25" i="16"/>
  <c r="L25" i="16"/>
  <c r="N24" i="16"/>
  <c r="M24" i="16"/>
  <c r="L24" i="16"/>
  <c r="N23" i="16"/>
  <c r="O23" i="16" s="1"/>
  <c r="M23" i="16"/>
  <c r="L23" i="16"/>
  <c r="N22" i="16"/>
  <c r="O22" i="16" s="1"/>
  <c r="M22" i="16"/>
  <c r="L22" i="16"/>
  <c r="N21" i="16"/>
  <c r="O21" i="16" s="1"/>
  <c r="M21" i="16"/>
  <c r="L21" i="16"/>
  <c r="N20" i="16"/>
  <c r="O20" i="16" s="1"/>
  <c r="M20" i="16"/>
  <c r="L20" i="16"/>
  <c r="N19" i="16"/>
  <c r="M19" i="16"/>
  <c r="L19" i="16"/>
  <c r="N18" i="16"/>
  <c r="O18" i="16" s="1"/>
  <c r="M18" i="16"/>
  <c r="L18" i="16"/>
  <c r="N17" i="16"/>
  <c r="O17" i="16" s="1"/>
  <c r="M17" i="16"/>
  <c r="L17" i="16"/>
  <c r="N16" i="16"/>
  <c r="M16" i="16"/>
  <c r="L16" i="16"/>
  <c r="N15" i="16"/>
  <c r="O15" i="16" s="1"/>
  <c r="M15" i="16"/>
  <c r="L15" i="16"/>
  <c r="N14" i="16"/>
  <c r="O14" i="16" s="1"/>
  <c r="M14" i="16"/>
  <c r="L14" i="16"/>
  <c r="N13" i="16"/>
  <c r="P13" i="16" s="1"/>
  <c r="M13" i="16"/>
  <c r="L13" i="16"/>
  <c r="J13" i="16"/>
  <c r="N49" i="15"/>
  <c r="M49" i="15"/>
  <c r="L49" i="15"/>
  <c r="J49" i="15"/>
  <c r="N48" i="15"/>
  <c r="M48" i="15"/>
  <c r="L48" i="15"/>
  <c r="J48" i="15"/>
  <c r="N47" i="15"/>
  <c r="M47" i="15"/>
  <c r="L47" i="15"/>
  <c r="J47" i="15"/>
  <c r="N46" i="15"/>
  <c r="P46" i="15" s="1"/>
  <c r="M46" i="15"/>
  <c r="L46" i="15"/>
  <c r="J46" i="15"/>
  <c r="N45" i="15"/>
  <c r="M45" i="15"/>
  <c r="L45" i="15"/>
  <c r="J45" i="15"/>
  <c r="N44" i="15"/>
  <c r="M44" i="15"/>
  <c r="L44" i="15"/>
  <c r="J44" i="15"/>
  <c r="N43" i="15"/>
  <c r="M43" i="15"/>
  <c r="L43" i="15"/>
  <c r="J43" i="15"/>
  <c r="N42" i="15"/>
  <c r="M42" i="15"/>
  <c r="L42" i="15"/>
  <c r="J42" i="15"/>
  <c r="N41" i="15"/>
  <c r="Q41" i="15" s="1"/>
  <c r="M41" i="15"/>
  <c r="L41" i="15"/>
  <c r="J41" i="15"/>
  <c r="N40" i="15"/>
  <c r="M40" i="15"/>
  <c r="L40" i="15"/>
  <c r="J40" i="15"/>
  <c r="N39" i="15"/>
  <c r="M39" i="15"/>
  <c r="L39" i="15"/>
  <c r="J39" i="15"/>
  <c r="N38" i="15"/>
  <c r="Q38" i="15" s="1"/>
  <c r="M38" i="15"/>
  <c r="L38" i="15"/>
  <c r="J38" i="15"/>
  <c r="N37" i="15"/>
  <c r="Q37" i="15" s="1"/>
  <c r="M37" i="15"/>
  <c r="L37" i="15"/>
  <c r="J37" i="15"/>
  <c r="N36" i="15"/>
  <c r="M36" i="15"/>
  <c r="L36" i="15"/>
  <c r="J36" i="15"/>
  <c r="N35" i="15"/>
  <c r="Q35" i="15" s="1"/>
  <c r="M35" i="15"/>
  <c r="L35" i="15"/>
  <c r="J35" i="15"/>
  <c r="N34" i="15"/>
  <c r="M34" i="15"/>
  <c r="L34" i="15"/>
  <c r="J34" i="15"/>
  <c r="N33" i="15"/>
  <c r="Q33" i="15" s="1"/>
  <c r="M33" i="15"/>
  <c r="L33" i="15"/>
  <c r="J33" i="15"/>
  <c r="N32" i="15"/>
  <c r="Q32" i="15" s="1"/>
  <c r="M32" i="15"/>
  <c r="L32" i="15"/>
  <c r="J32" i="15"/>
  <c r="N31" i="15"/>
  <c r="M31" i="15"/>
  <c r="L31" i="15"/>
  <c r="J31" i="15"/>
  <c r="N20" i="15"/>
  <c r="M20" i="15"/>
  <c r="L20" i="15"/>
  <c r="J20" i="15"/>
  <c r="N30" i="15"/>
  <c r="M30" i="15"/>
  <c r="L30" i="15"/>
  <c r="J30" i="15"/>
  <c r="N29" i="15"/>
  <c r="O29" i="15" s="1"/>
  <c r="M29" i="15"/>
  <c r="L29" i="15"/>
  <c r="J29" i="15"/>
  <c r="N28" i="15"/>
  <c r="O28" i="15" s="1"/>
  <c r="M28" i="15"/>
  <c r="L28" i="15"/>
  <c r="J28" i="15"/>
  <c r="N27" i="15"/>
  <c r="O27" i="15" s="1"/>
  <c r="M27" i="15"/>
  <c r="L27" i="15"/>
  <c r="J27" i="15"/>
  <c r="N26" i="15"/>
  <c r="M26" i="15"/>
  <c r="L26" i="15"/>
  <c r="J26" i="15"/>
  <c r="N25" i="15"/>
  <c r="O25" i="15" s="1"/>
  <c r="M25" i="15"/>
  <c r="L25" i="15"/>
  <c r="J25" i="15"/>
  <c r="N24" i="15"/>
  <c r="O24" i="15" s="1"/>
  <c r="M24" i="15"/>
  <c r="L24" i="15"/>
  <c r="J24" i="15"/>
  <c r="N23" i="15"/>
  <c r="O23" i="15" s="1"/>
  <c r="M23" i="15"/>
  <c r="L23" i="15"/>
  <c r="J23" i="15"/>
  <c r="N22" i="15"/>
  <c r="O22" i="15" s="1"/>
  <c r="M22" i="15"/>
  <c r="L22" i="15"/>
  <c r="J22" i="15"/>
  <c r="N21" i="15"/>
  <c r="O21" i="15" s="1"/>
  <c r="M21" i="15"/>
  <c r="L21" i="15"/>
  <c r="J21" i="15"/>
  <c r="N19" i="15"/>
  <c r="M19" i="15"/>
  <c r="L19" i="15"/>
  <c r="J19" i="15"/>
  <c r="N18" i="15"/>
  <c r="O18" i="15" s="1"/>
  <c r="M18" i="15"/>
  <c r="L18" i="15"/>
  <c r="J18" i="15"/>
  <c r="N17" i="15"/>
  <c r="O17" i="15" s="1"/>
  <c r="M17" i="15"/>
  <c r="L17" i="15"/>
  <c r="J17" i="15"/>
  <c r="N16" i="15"/>
  <c r="O16" i="15" s="1"/>
  <c r="M16" i="15"/>
  <c r="L16" i="15"/>
  <c r="J16" i="15"/>
  <c r="N15" i="15"/>
  <c r="O15" i="15" s="1"/>
  <c r="M15" i="15"/>
  <c r="L15" i="15"/>
  <c r="J15" i="15"/>
  <c r="N14" i="15"/>
  <c r="O14" i="15" s="1"/>
  <c r="M14" i="15"/>
  <c r="L14" i="15"/>
  <c r="J14" i="15"/>
  <c r="N13" i="15"/>
  <c r="O13" i="15" s="1"/>
  <c r="M13" i="15"/>
  <c r="L13" i="15"/>
  <c r="J13" i="15"/>
  <c r="B13" i="26"/>
  <c r="B12" i="26"/>
  <c r="B5" i="26"/>
  <c r="B6" i="26"/>
  <c r="B10" i="26"/>
  <c r="B9" i="26"/>
  <c r="B2" i="26"/>
  <c r="B4" i="26"/>
  <c r="B3" i="26"/>
  <c r="B8" i="26"/>
  <c r="B11" i="26"/>
  <c r="B7" i="26"/>
  <c r="K12" i="26" l="1"/>
  <c r="R25" i="24"/>
  <c r="P13" i="21"/>
  <c r="O13" i="21"/>
  <c r="R14" i="17"/>
  <c r="P30" i="16"/>
  <c r="O30" i="16"/>
  <c r="P27" i="16"/>
  <c r="O27" i="16"/>
  <c r="Q24" i="16"/>
  <c r="O24" i="16"/>
  <c r="P19" i="16"/>
  <c r="O19" i="16"/>
  <c r="Q16" i="16"/>
  <c r="O16" i="16"/>
  <c r="Q20" i="15"/>
  <c r="O20" i="15"/>
  <c r="P19" i="15"/>
  <c r="O19" i="15"/>
  <c r="Q26" i="15"/>
  <c r="O26" i="15"/>
  <c r="R24" i="22"/>
  <c r="R41" i="17"/>
  <c r="R17" i="16"/>
  <c r="P33" i="22"/>
  <c r="P25" i="25"/>
  <c r="R33" i="25"/>
  <c r="R48" i="17"/>
  <c r="R24" i="16"/>
  <c r="P16" i="22"/>
  <c r="R30" i="23"/>
  <c r="R30" i="24"/>
  <c r="Q43" i="24"/>
  <c r="R17" i="24"/>
  <c r="R41" i="24"/>
  <c r="R22" i="25"/>
  <c r="P49" i="20"/>
  <c r="Q17" i="20"/>
  <c r="Q49" i="20"/>
  <c r="R38" i="20"/>
  <c r="R27" i="19"/>
  <c r="R35" i="19"/>
  <c r="R33" i="19"/>
  <c r="R37" i="16"/>
  <c r="R45" i="16"/>
  <c r="P25" i="16"/>
  <c r="P28" i="15"/>
  <c r="Q28" i="15"/>
  <c r="R34" i="21"/>
  <c r="R22" i="22"/>
  <c r="P22" i="22"/>
  <c r="R40" i="22"/>
  <c r="P49" i="22"/>
  <c r="Q25" i="24"/>
  <c r="Q30" i="24"/>
  <c r="P38" i="25"/>
  <c r="R38" i="25"/>
  <c r="Q37" i="20"/>
  <c r="P30" i="20"/>
  <c r="P33" i="20"/>
  <c r="Q38" i="20"/>
  <c r="P38" i="19"/>
  <c r="Q49" i="19"/>
  <c r="Q35" i="19"/>
  <c r="P25" i="17"/>
  <c r="R43" i="17"/>
  <c r="Q49" i="16"/>
  <c r="R49" i="16"/>
  <c r="R23" i="15"/>
  <c r="R30" i="15"/>
  <c r="R35" i="15"/>
  <c r="R41" i="15"/>
  <c r="R45" i="21"/>
  <c r="R24" i="21"/>
  <c r="P41" i="21"/>
  <c r="P16" i="21"/>
  <c r="R16" i="21"/>
  <c r="Q35" i="21"/>
  <c r="Q49" i="21"/>
  <c r="P49" i="21"/>
  <c r="P40" i="21"/>
  <c r="Q27" i="21"/>
  <c r="Q46" i="21"/>
  <c r="P33" i="21"/>
  <c r="Q17" i="21"/>
  <c r="R23" i="21"/>
  <c r="Q19" i="22"/>
  <c r="P48" i="22"/>
  <c r="R21" i="22"/>
  <c r="R38" i="22"/>
  <c r="P38" i="22"/>
  <c r="Q25" i="23"/>
  <c r="Q46" i="23"/>
  <c r="Q13" i="23"/>
  <c r="P38" i="23"/>
  <c r="P40" i="23"/>
  <c r="R40" i="23"/>
  <c r="Q45" i="23"/>
  <c r="R24" i="23"/>
  <c r="P41" i="23"/>
  <c r="P24" i="23"/>
  <c r="Q41" i="23"/>
  <c r="R46" i="23"/>
  <c r="Q17" i="24"/>
  <c r="P16" i="24"/>
  <c r="R21" i="24"/>
  <c r="R29" i="24"/>
  <c r="R24" i="24"/>
  <c r="P17" i="24"/>
  <c r="R16" i="24"/>
  <c r="Q38" i="24"/>
  <c r="R28" i="25"/>
  <c r="P30" i="25"/>
  <c r="P41" i="25"/>
  <c r="Q41" i="25"/>
  <c r="R45" i="25"/>
  <c r="P22" i="25"/>
  <c r="R32" i="25"/>
  <c r="R44" i="25"/>
  <c r="Q32" i="20"/>
  <c r="Q41" i="20"/>
  <c r="Q48" i="20"/>
  <c r="R45" i="20"/>
  <c r="Q13" i="20"/>
  <c r="P24" i="20"/>
  <c r="R30" i="20"/>
  <c r="P46" i="20"/>
  <c r="R46" i="20"/>
  <c r="Q17" i="19"/>
  <c r="R48" i="19"/>
  <c r="P46" i="19"/>
  <c r="R24" i="19"/>
  <c r="R29" i="19"/>
  <c r="P17" i="19"/>
  <c r="R14" i="19"/>
  <c r="R16" i="19"/>
  <c r="P40" i="17"/>
  <c r="Q22" i="17"/>
  <c r="P46" i="17"/>
  <c r="Q29" i="17"/>
  <c r="R46" i="17"/>
  <c r="R33" i="17"/>
  <c r="R40" i="17"/>
  <c r="R35" i="17"/>
  <c r="Q13" i="17"/>
  <c r="P22" i="16"/>
  <c r="P29" i="16"/>
  <c r="P24" i="16"/>
  <c r="P33" i="16"/>
  <c r="Q33" i="16"/>
  <c r="P16" i="16"/>
  <c r="Q27" i="16"/>
  <c r="R16" i="16"/>
  <c r="R27" i="16"/>
  <c r="R22" i="15"/>
  <c r="Q48" i="15"/>
  <c r="P26" i="15"/>
  <c r="P33" i="15"/>
  <c r="R14" i="15"/>
  <c r="Q16" i="15"/>
  <c r="Q25" i="15"/>
  <c r="R28" i="15"/>
  <c r="R33" i="15"/>
  <c r="Q19" i="21"/>
  <c r="P25" i="21"/>
  <c r="P32" i="21"/>
  <c r="Q33" i="21"/>
  <c r="R40" i="21"/>
  <c r="Q42" i="21"/>
  <c r="P48" i="21"/>
  <c r="P14" i="21"/>
  <c r="R15" i="21"/>
  <c r="P24" i="21"/>
  <c r="Q25" i="21"/>
  <c r="R26" i="21"/>
  <c r="R32" i="21"/>
  <c r="R39" i="21"/>
  <c r="R18" i="21"/>
  <c r="R31" i="21"/>
  <c r="R42" i="21"/>
  <c r="Q21" i="22"/>
  <c r="Q25" i="22"/>
  <c r="R27" i="22"/>
  <c r="P32" i="22"/>
  <c r="Q41" i="22"/>
  <c r="R43" i="22"/>
  <c r="P17" i="22"/>
  <c r="Q35" i="22"/>
  <c r="R37" i="22"/>
  <c r="Q49" i="22"/>
  <c r="P16" i="23"/>
  <c r="R22" i="23"/>
  <c r="Q27" i="23"/>
  <c r="Q43" i="23"/>
  <c r="Q22" i="23"/>
  <c r="R27" i="23"/>
  <c r="Q30" i="23"/>
  <c r="R43" i="23"/>
  <c r="Q14" i="24"/>
  <c r="Q22" i="24"/>
  <c r="R37" i="24"/>
  <c r="R38" i="24"/>
  <c r="Q41" i="24"/>
  <c r="R14" i="24"/>
  <c r="R22" i="24"/>
  <c r="P24" i="24"/>
  <c r="R33" i="24"/>
  <c r="R40" i="24"/>
  <c r="P14" i="24"/>
  <c r="P22" i="24"/>
  <c r="R32" i="24"/>
  <c r="Q33" i="24"/>
  <c r="R19" i="25"/>
  <c r="Q30" i="25"/>
  <c r="P33" i="25"/>
  <c r="R40" i="25"/>
  <c r="R41" i="25"/>
  <c r="Q43" i="25"/>
  <c r="R30" i="25"/>
  <c r="Q33" i="25"/>
  <c r="R43" i="25"/>
  <c r="P14" i="25"/>
  <c r="R16" i="20"/>
  <c r="R32" i="20"/>
  <c r="Q35" i="20"/>
  <c r="Q45" i="20"/>
  <c r="Q27" i="20"/>
  <c r="R29" i="20"/>
  <c r="R35" i="20"/>
  <c r="Q16" i="20"/>
  <c r="P17" i="20"/>
  <c r="R19" i="20"/>
  <c r="Q29" i="20"/>
  <c r="Q14" i="19"/>
  <c r="P22" i="19"/>
  <c r="R17" i="19"/>
  <c r="Q22" i="19"/>
  <c r="R25" i="19"/>
  <c r="Q30" i="19"/>
  <c r="R43" i="19"/>
  <c r="Q46" i="19"/>
  <c r="Q25" i="19"/>
  <c r="P24" i="17"/>
  <c r="P49" i="17"/>
  <c r="Q27" i="17"/>
  <c r="Q41" i="17"/>
  <c r="R21" i="17"/>
  <c r="R22" i="17"/>
  <c r="Q24" i="17"/>
  <c r="R27" i="17"/>
  <c r="P32" i="17"/>
  <c r="P48" i="17"/>
  <c r="R24" i="17"/>
  <c r="Q48" i="17"/>
  <c r="P48" i="16"/>
  <c r="R48" i="16"/>
  <c r="P14" i="16"/>
  <c r="Q14" i="16"/>
  <c r="Q19" i="16"/>
  <c r="Q22" i="16"/>
  <c r="Q25" i="16"/>
  <c r="P37" i="16"/>
  <c r="R38" i="16"/>
  <c r="P46" i="16"/>
  <c r="P49" i="16"/>
  <c r="R14" i="16"/>
  <c r="R19" i="16"/>
  <c r="Q46" i="16"/>
  <c r="P16" i="15"/>
  <c r="Q19" i="15"/>
  <c r="P25" i="15"/>
  <c r="Q30" i="15"/>
  <c r="R20" i="15"/>
  <c r="R32" i="15"/>
  <c r="P23" i="15"/>
  <c r="R25" i="15"/>
  <c r="P20" i="15"/>
  <c r="R38" i="15"/>
  <c r="R40" i="15"/>
  <c r="P48" i="15"/>
  <c r="Q23" i="15"/>
  <c r="R13" i="15"/>
  <c r="P14" i="15"/>
  <c r="Q22" i="15"/>
  <c r="P40" i="15"/>
  <c r="J50" i="15"/>
  <c r="W10" i="15" s="1"/>
  <c r="Q13" i="15"/>
  <c r="Q14" i="15"/>
  <c r="R16" i="15"/>
  <c r="Q17" i="15"/>
  <c r="R19" i="15"/>
  <c r="R26" i="15"/>
  <c r="P32" i="15"/>
  <c r="P35" i="15"/>
  <c r="R37" i="15"/>
  <c r="P38" i="15"/>
  <c r="Q40" i="15"/>
  <c r="P41" i="15"/>
  <c r="Q43" i="15"/>
  <c r="Q45" i="15"/>
  <c r="Q46" i="15"/>
  <c r="R48" i="15"/>
  <c r="Q49" i="15"/>
  <c r="P17" i="16"/>
  <c r="P21" i="16"/>
  <c r="R22" i="16"/>
  <c r="R25" i="16"/>
  <c r="R29" i="16"/>
  <c r="Q30" i="16"/>
  <c r="R32" i="16"/>
  <c r="R33" i="16"/>
  <c r="R35" i="16"/>
  <c r="P38" i="16"/>
  <c r="P40" i="16"/>
  <c r="Q41" i="16"/>
  <c r="Q43" i="16"/>
  <c r="R46" i="16"/>
  <c r="R13" i="17"/>
  <c r="P14" i="17"/>
  <c r="Q16" i="17"/>
  <c r="P17" i="17"/>
  <c r="R19" i="17"/>
  <c r="R29" i="17"/>
  <c r="P30" i="17"/>
  <c r="R32" i="17"/>
  <c r="R37" i="17"/>
  <c r="Q37" i="17"/>
  <c r="R38" i="17"/>
  <c r="P43" i="17"/>
  <c r="Q43" i="17"/>
  <c r="Q49" i="17"/>
  <c r="R13" i="19"/>
  <c r="Q16" i="19"/>
  <c r="Q19" i="19"/>
  <c r="R30" i="19"/>
  <c r="P35" i="19"/>
  <c r="Q41" i="19"/>
  <c r="R41" i="19"/>
  <c r="R45" i="19"/>
  <c r="R17" i="15"/>
  <c r="R43" i="15"/>
  <c r="R46" i="15"/>
  <c r="R49" i="15"/>
  <c r="Q17" i="16"/>
  <c r="R30" i="16"/>
  <c r="Q38" i="16"/>
  <c r="R40" i="16"/>
  <c r="R41" i="16"/>
  <c r="R43" i="16"/>
  <c r="J50" i="17"/>
  <c r="R16" i="17"/>
  <c r="Q17" i="17"/>
  <c r="R30" i="17"/>
  <c r="P35" i="17"/>
  <c r="Q35" i="17"/>
  <c r="P41" i="17"/>
  <c r="P25" i="19"/>
  <c r="P27" i="19"/>
  <c r="Q32" i="19"/>
  <c r="R32" i="19"/>
  <c r="Q33" i="19"/>
  <c r="P25" i="20"/>
  <c r="Q25" i="20"/>
  <c r="P33" i="17"/>
  <c r="R45" i="17"/>
  <c r="R21" i="19"/>
  <c r="R22" i="19"/>
  <c r="R38" i="19"/>
  <c r="P17" i="15"/>
  <c r="P43" i="15"/>
  <c r="R45" i="15"/>
  <c r="P49" i="15"/>
  <c r="P32" i="16"/>
  <c r="Q35" i="16"/>
  <c r="P45" i="16"/>
  <c r="P16" i="17"/>
  <c r="Q19" i="17"/>
  <c r="Q21" i="17"/>
  <c r="Q33" i="17"/>
  <c r="P38" i="17"/>
  <c r="Q45" i="17"/>
  <c r="P19" i="19"/>
  <c r="R19" i="19"/>
  <c r="P33" i="19"/>
  <c r="Q40" i="19"/>
  <c r="R40" i="19"/>
  <c r="P22" i="20"/>
  <c r="R22" i="20"/>
  <c r="Q22" i="20"/>
  <c r="J50" i="19"/>
  <c r="R37" i="19"/>
  <c r="Q43" i="19"/>
  <c r="P49" i="19"/>
  <c r="P16" i="20"/>
  <c r="Q19" i="20"/>
  <c r="R24" i="20"/>
  <c r="R37" i="20"/>
  <c r="Q40" i="20"/>
  <c r="P41" i="20"/>
  <c r="R43" i="20"/>
  <c r="P48" i="20"/>
  <c r="R17" i="21"/>
  <c r="Q18" i="21"/>
  <c r="Q21" i="21"/>
  <c r="Q22" i="21"/>
  <c r="R25" i="21"/>
  <c r="Q26" i="21"/>
  <c r="Q29" i="21"/>
  <c r="Q30" i="21"/>
  <c r="R33" i="21"/>
  <c r="Q34" i="21"/>
  <c r="Q37" i="21"/>
  <c r="Q38" i="21"/>
  <c r="R41" i="21"/>
  <c r="P45" i="21"/>
  <c r="R47" i="21"/>
  <c r="R49" i="21"/>
  <c r="J50" i="22"/>
  <c r="Q14" i="22"/>
  <c r="P24" i="22"/>
  <c r="Q27" i="22"/>
  <c r="Q30" i="22"/>
  <c r="P40" i="22"/>
  <c r="Q43" i="22"/>
  <c r="Q46" i="22"/>
  <c r="J50" i="23"/>
  <c r="R14" i="23"/>
  <c r="Q16" i="23"/>
  <c r="R16" i="23"/>
  <c r="P17" i="23"/>
  <c r="P22" i="23"/>
  <c r="P33" i="23"/>
  <c r="Q33" i="23"/>
  <c r="Q48" i="23"/>
  <c r="P48" i="23"/>
  <c r="R48" i="23"/>
  <c r="R40" i="20"/>
  <c r="R13" i="21"/>
  <c r="R21" i="21"/>
  <c r="R29" i="21"/>
  <c r="R37" i="21"/>
  <c r="R14" i="22"/>
  <c r="R30" i="22"/>
  <c r="R46" i="22"/>
  <c r="Q48" i="22"/>
  <c r="R21" i="23"/>
  <c r="P35" i="23"/>
  <c r="Q35" i="23"/>
  <c r="R35" i="23"/>
  <c r="P49" i="23"/>
  <c r="R49" i="23"/>
  <c r="Q49" i="23"/>
  <c r="P19" i="23"/>
  <c r="R19" i="23"/>
  <c r="Q32" i="23"/>
  <c r="P32" i="23"/>
  <c r="R32" i="23"/>
  <c r="R37" i="23"/>
  <c r="Q37" i="23"/>
  <c r="R46" i="19"/>
  <c r="R21" i="20"/>
  <c r="R27" i="20"/>
  <c r="Q33" i="20"/>
  <c r="P40" i="20"/>
  <c r="Q43" i="20"/>
  <c r="J50" i="21"/>
  <c r="Q13" i="21"/>
  <c r="Q43" i="21"/>
  <c r="R48" i="21"/>
  <c r="R13" i="22"/>
  <c r="R16" i="22"/>
  <c r="R19" i="22"/>
  <c r="R29" i="22"/>
  <c r="R32" i="22"/>
  <c r="R35" i="22"/>
  <c r="R45" i="22"/>
  <c r="R48" i="22"/>
  <c r="R49" i="22"/>
  <c r="Q14" i="23"/>
  <c r="Q19" i="23"/>
  <c r="R13" i="23"/>
  <c r="R29" i="23"/>
  <c r="R38" i="23"/>
  <c r="R45" i="23"/>
  <c r="R19" i="24"/>
  <c r="R27" i="24"/>
  <c r="P30" i="24"/>
  <c r="P32" i="24"/>
  <c r="R35" i="24"/>
  <c r="P38" i="24"/>
  <c r="P40" i="24"/>
  <c r="P41" i="24"/>
  <c r="R45" i="24"/>
  <c r="Q46" i="24"/>
  <c r="R48" i="24"/>
  <c r="Q49" i="24"/>
  <c r="J50" i="25"/>
  <c r="R14" i="25"/>
  <c r="Q17" i="25"/>
  <c r="Q19" i="25"/>
  <c r="R25" i="25"/>
  <c r="R27" i="25"/>
  <c r="R35" i="25"/>
  <c r="P46" i="25"/>
  <c r="P49" i="25"/>
  <c r="R46" i="24"/>
  <c r="R49" i="24"/>
  <c r="R17" i="25"/>
  <c r="Q46" i="25"/>
  <c r="R48" i="25"/>
  <c r="Q49" i="25"/>
  <c r="R29" i="25"/>
  <c r="R37" i="25"/>
  <c r="R46" i="25"/>
  <c r="R49" i="25"/>
  <c r="J50" i="24"/>
  <c r="Q19" i="24"/>
  <c r="Q27" i="24"/>
  <c r="Q35" i="24"/>
  <c r="R43" i="24"/>
  <c r="P48" i="24"/>
  <c r="P49" i="24"/>
  <c r="R13" i="25"/>
  <c r="R16" i="25"/>
  <c r="R21" i="25"/>
  <c r="Q22" i="25"/>
  <c r="R24" i="25"/>
  <c r="Q27" i="25"/>
  <c r="Q35" i="25"/>
  <c r="R13" i="24"/>
  <c r="R14" i="20"/>
  <c r="Q14" i="20"/>
  <c r="P14" i="20"/>
  <c r="J50" i="20"/>
  <c r="R13" i="20"/>
  <c r="B15" i="26"/>
  <c r="P20" i="25"/>
  <c r="Q20" i="25"/>
  <c r="Q28" i="25"/>
  <c r="P31" i="25"/>
  <c r="Q36" i="25"/>
  <c r="Q15" i="25"/>
  <c r="R20" i="25"/>
  <c r="Q39" i="25"/>
  <c r="P42" i="25"/>
  <c r="P13" i="25"/>
  <c r="R15" i="25"/>
  <c r="Q18" i="25"/>
  <c r="P21" i="25"/>
  <c r="R23" i="25"/>
  <c r="Q26" i="25"/>
  <c r="P29" i="25"/>
  <c r="R31" i="25"/>
  <c r="Q34" i="25"/>
  <c r="P37" i="25"/>
  <c r="R39" i="25"/>
  <c r="Q42" i="25"/>
  <c r="P45" i="25"/>
  <c r="R47" i="25"/>
  <c r="P28" i="25"/>
  <c r="P44" i="25"/>
  <c r="P15" i="25"/>
  <c r="P39" i="25"/>
  <c r="P18" i="25"/>
  <c r="Q23" i="25"/>
  <c r="P26" i="25"/>
  <c r="Q31" i="25"/>
  <c r="R36" i="25"/>
  <c r="Q13" i="25"/>
  <c r="P16" i="25"/>
  <c r="R18" i="25"/>
  <c r="Q21" i="25"/>
  <c r="P24" i="25"/>
  <c r="R26" i="25"/>
  <c r="Q29" i="25"/>
  <c r="P32" i="25"/>
  <c r="R34" i="25"/>
  <c r="Q37" i="25"/>
  <c r="P40" i="25"/>
  <c r="R42" i="25"/>
  <c r="Q45" i="25"/>
  <c r="P48" i="25"/>
  <c r="P23" i="25"/>
  <c r="Q44" i="25"/>
  <c r="P47" i="25"/>
  <c r="P34" i="25"/>
  <c r="Q47" i="25"/>
  <c r="Q20" i="24"/>
  <c r="P23" i="24"/>
  <c r="Q28" i="24"/>
  <c r="P31" i="24"/>
  <c r="Q36" i="24"/>
  <c r="P39" i="24"/>
  <c r="Q44" i="24"/>
  <c r="P47" i="24"/>
  <c r="Q15" i="24"/>
  <c r="P18" i="24"/>
  <c r="R20" i="24"/>
  <c r="Q23" i="24"/>
  <c r="P26" i="24"/>
  <c r="R28" i="24"/>
  <c r="Q31" i="24"/>
  <c r="P34" i="24"/>
  <c r="R36" i="24"/>
  <c r="Q39" i="24"/>
  <c r="P42" i="24"/>
  <c r="R44" i="24"/>
  <c r="Q47" i="24"/>
  <c r="P20" i="24"/>
  <c r="P36" i="24"/>
  <c r="P29" i="24"/>
  <c r="R31" i="24"/>
  <c r="Q34" i="24"/>
  <c r="Q13" i="24"/>
  <c r="R18" i="24"/>
  <c r="Q21" i="24"/>
  <c r="R26" i="24"/>
  <c r="Q29" i="24"/>
  <c r="R34" i="24"/>
  <c r="Q37" i="24"/>
  <c r="R42" i="24"/>
  <c r="Q45" i="24"/>
  <c r="P44" i="24"/>
  <c r="P15" i="24"/>
  <c r="P13" i="24"/>
  <c r="R15" i="24"/>
  <c r="Q18" i="24"/>
  <c r="P21" i="24"/>
  <c r="R23" i="24"/>
  <c r="Q26" i="24"/>
  <c r="P37" i="24"/>
  <c r="R39" i="24"/>
  <c r="Q42" i="24"/>
  <c r="P45" i="24"/>
  <c r="R47" i="24"/>
  <c r="P20" i="23"/>
  <c r="P15" i="23"/>
  <c r="P39" i="23"/>
  <c r="R41" i="23"/>
  <c r="Q44" i="23"/>
  <c r="Q15" i="23"/>
  <c r="P18" i="23"/>
  <c r="R20" i="23"/>
  <c r="Q23" i="23"/>
  <c r="P26" i="23"/>
  <c r="R28" i="23"/>
  <c r="Q31" i="23"/>
  <c r="P34" i="23"/>
  <c r="R36" i="23"/>
  <c r="Q39" i="23"/>
  <c r="P42" i="23"/>
  <c r="R44" i="23"/>
  <c r="Q47" i="23"/>
  <c r="P28" i="23"/>
  <c r="P36" i="23"/>
  <c r="P44" i="23"/>
  <c r="R17" i="23"/>
  <c r="Q20" i="23"/>
  <c r="P23" i="23"/>
  <c r="R25" i="23"/>
  <c r="Q28" i="23"/>
  <c r="P31" i="23"/>
  <c r="R33" i="23"/>
  <c r="Q36" i="23"/>
  <c r="P47" i="23"/>
  <c r="P13" i="23"/>
  <c r="R15" i="23"/>
  <c r="Q18" i="23"/>
  <c r="P21" i="23"/>
  <c r="R23" i="23"/>
  <c r="Q26" i="23"/>
  <c r="P29" i="23"/>
  <c r="R31" i="23"/>
  <c r="Q34" i="23"/>
  <c r="P37" i="23"/>
  <c r="R39" i="23"/>
  <c r="Q42" i="23"/>
  <c r="P45" i="23"/>
  <c r="R47" i="23"/>
  <c r="R18" i="23"/>
  <c r="R26" i="23"/>
  <c r="R34" i="23"/>
  <c r="R42" i="23"/>
  <c r="P36" i="22"/>
  <c r="P44" i="22"/>
  <c r="P15" i="22"/>
  <c r="P23" i="22"/>
  <c r="R25" i="22"/>
  <c r="Q28" i="22"/>
  <c r="P31" i="22"/>
  <c r="R33" i="22"/>
  <c r="Q36" i="22"/>
  <c r="P47" i="22"/>
  <c r="Q15" i="22"/>
  <c r="P18" i="22"/>
  <c r="R20" i="22"/>
  <c r="Q23" i="22"/>
  <c r="P26" i="22"/>
  <c r="R28" i="22"/>
  <c r="Q31" i="22"/>
  <c r="P34" i="22"/>
  <c r="R36" i="22"/>
  <c r="Q39" i="22"/>
  <c r="P42" i="22"/>
  <c r="R44" i="22"/>
  <c r="Q47" i="22"/>
  <c r="P20" i="22"/>
  <c r="P28" i="22"/>
  <c r="R17" i="22"/>
  <c r="Q20" i="22"/>
  <c r="P39" i="22"/>
  <c r="R41" i="22"/>
  <c r="Q44" i="22"/>
  <c r="P13" i="22"/>
  <c r="R15" i="22"/>
  <c r="Q18" i="22"/>
  <c r="P21" i="22"/>
  <c r="R23" i="22"/>
  <c r="Q26" i="22"/>
  <c r="P29" i="22"/>
  <c r="R31" i="22"/>
  <c r="Q34" i="22"/>
  <c r="P37" i="22"/>
  <c r="R39" i="22"/>
  <c r="Q42" i="22"/>
  <c r="P45" i="22"/>
  <c r="R47" i="22"/>
  <c r="R18" i="22"/>
  <c r="R26" i="22"/>
  <c r="R34" i="22"/>
  <c r="R42" i="22"/>
  <c r="R27" i="21"/>
  <c r="R35" i="21"/>
  <c r="R43" i="21"/>
  <c r="P20" i="21"/>
  <c r="R22" i="21"/>
  <c r="P44" i="21"/>
  <c r="R46" i="21"/>
  <c r="P15" i="21"/>
  <c r="Q20" i="21"/>
  <c r="P23" i="21"/>
  <c r="Q28" i="21"/>
  <c r="P31" i="21"/>
  <c r="Q36" i="21"/>
  <c r="P39" i="21"/>
  <c r="Q44" i="21"/>
  <c r="P47" i="21"/>
  <c r="R19" i="21"/>
  <c r="R14" i="21"/>
  <c r="P28" i="21"/>
  <c r="R30" i="21"/>
  <c r="P36" i="21"/>
  <c r="R38" i="21"/>
  <c r="Q15" i="21"/>
  <c r="P18" i="21"/>
  <c r="R20" i="21"/>
  <c r="Q23" i="21"/>
  <c r="P26" i="21"/>
  <c r="R28" i="21"/>
  <c r="Q31" i="21"/>
  <c r="P34" i="21"/>
  <c r="R36" i="21"/>
  <c r="Q39" i="21"/>
  <c r="P42" i="21"/>
  <c r="R44" i="21"/>
  <c r="Q47" i="21"/>
  <c r="P28" i="20"/>
  <c r="P15" i="20"/>
  <c r="R17" i="20"/>
  <c r="Q20" i="20"/>
  <c r="P23" i="20"/>
  <c r="R25" i="20"/>
  <c r="Q28" i="20"/>
  <c r="R41" i="20"/>
  <c r="Q44" i="20"/>
  <c r="P47" i="20"/>
  <c r="R49" i="20"/>
  <c r="Q15" i="20"/>
  <c r="P18" i="20"/>
  <c r="R20" i="20"/>
  <c r="Q23" i="20"/>
  <c r="P26" i="20"/>
  <c r="R28" i="20"/>
  <c r="Q31" i="20"/>
  <c r="P34" i="20"/>
  <c r="R36" i="20"/>
  <c r="Q39" i="20"/>
  <c r="P42" i="20"/>
  <c r="R44" i="20"/>
  <c r="Q47" i="20"/>
  <c r="P36" i="20"/>
  <c r="P44" i="20"/>
  <c r="P31" i="20"/>
  <c r="R33" i="20"/>
  <c r="Q36" i="20"/>
  <c r="P39" i="20"/>
  <c r="P13" i="20"/>
  <c r="R15" i="20"/>
  <c r="Q18" i="20"/>
  <c r="P21" i="20"/>
  <c r="R23" i="20"/>
  <c r="Q26" i="20"/>
  <c r="P29" i="20"/>
  <c r="R31" i="20"/>
  <c r="Q34" i="20"/>
  <c r="P37" i="20"/>
  <c r="R39" i="20"/>
  <c r="Q42" i="20"/>
  <c r="P45" i="20"/>
  <c r="R47" i="20"/>
  <c r="P20" i="20"/>
  <c r="R18" i="20"/>
  <c r="R26" i="20"/>
  <c r="R34" i="20"/>
  <c r="R42" i="20"/>
  <c r="P44" i="19"/>
  <c r="Q20" i="19"/>
  <c r="Q36" i="19"/>
  <c r="P39" i="19"/>
  <c r="Q44" i="19"/>
  <c r="P47" i="19"/>
  <c r="Q15" i="19"/>
  <c r="P18" i="19"/>
  <c r="R20" i="19"/>
  <c r="Q23" i="19"/>
  <c r="P26" i="19"/>
  <c r="R28" i="19"/>
  <c r="Q31" i="19"/>
  <c r="P34" i="19"/>
  <c r="R36" i="19"/>
  <c r="Q39" i="19"/>
  <c r="P42" i="19"/>
  <c r="R44" i="19"/>
  <c r="Q47" i="19"/>
  <c r="P28" i="19"/>
  <c r="P36" i="19"/>
  <c r="P23" i="19"/>
  <c r="Q28" i="19"/>
  <c r="P31" i="19"/>
  <c r="P13" i="19"/>
  <c r="R15" i="19"/>
  <c r="Q18" i="19"/>
  <c r="P21" i="19"/>
  <c r="R23" i="19"/>
  <c r="Q26" i="19"/>
  <c r="P37" i="19"/>
  <c r="R39" i="19"/>
  <c r="Q42" i="19"/>
  <c r="P45" i="19"/>
  <c r="R47" i="19"/>
  <c r="Q13" i="19"/>
  <c r="P16" i="19"/>
  <c r="R18" i="19"/>
  <c r="Q21" i="19"/>
  <c r="P24" i="19"/>
  <c r="R26" i="19"/>
  <c r="Q29" i="19"/>
  <c r="P32" i="19"/>
  <c r="R34" i="19"/>
  <c r="Q37" i="19"/>
  <c r="P40" i="19"/>
  <c r="R42" i="19"/>
  <c r="Q45" i="19"/>
  <c r="P48" i="19"/>
  <c r="P15" i="19"/>
  <c r="P29" i="19"/>
  <c r="R31" i="19"/>
  <c r="Q34" i="19"/>
  <c r="P44" i="17"/>
  <c r="R17" i="17"/>
  <c r="Q20" i="17"/>
  <c r="Q36" i="17"/>
  <c r="P39" i="17"/>
  <c r="Q44" i="17"/>
  <c r="P47" i="17"/>
  <c r="R49" i="17"/>
  <c r="Q15" i="17"/>
  <c r="P18" i="17"/>
  <c r="R20" i="17"/>
  <c r="Q23" i="17"/>
  <c r="P26" i="17"/>
  <c r="R28" i="17"/>
  <c r="Q31" i="17"/>
  <c r="P34" i="17"/>
  <c r="R36" i="17"/>
  <c r="Q39" i="17"/>
  <c r="P42" i="17"/>
  <c r="R44" i="17"/>
  <c r="Q47" i="17"/>
  <c r="P20" i="17"/>
  <c r="P28" i="17"/>
  <c r="P15" i="17"/>
  <c r="P23" i="17"/>
  <c r="R25" i="17"/>
  <c r="Q28" i="17"/>
  <c r="P31" i="17"/>
  <c r="P13" i="17"/>
  <c r="R15" i="17"/>
  <c r="Q18" i="17"/>
  <c r="P21" i="17"/>
  <c r="R23" i="17"/>
  <c r="Q26" i="17"/>
  <c r="P29" i="17"/>
  <c r="R31" i="17"/>
  <c r="Q34" i="17"/>
  <c r="P37" i="17"/>
  <c r="R39" i="17"/>
  <c r="Q42" i="17"/>
  <c r="P45" i="17"/>
  <c r="R47" i="17"/>
  <c r="P36" i="17"/>
  <c r="R18" i="17"/>
  <c r="R26" i="17"/>
  <c r="R34" i="17"/>
  <c r="R42" i="17"/>
  <c r="R39" i="16"/>
  <c r="Q39" i="16"/>
  <c r="P39" i="16"/>
  <c r="J50" i="16"/>
  <c r="W10" i="16" s="1"/>
  <c r="R20" i="16"/>
  <c r="Q20" i="16"/>
  <c r="R44" i="16"/>
  <c r="Q44" i="16"/>
  <c r="P44" i="16"/>
  <c r="R36" i="16"/>
  <c r="Q36" i="16"/>
  <c r="P36" i="16"/>
  <c r="P20" i="16"/>
  <c r="R28" i="16"/>
  <c r="Q28" i="16"/>
  <c r="P28" i="16"/>
  <c r="R13" i="16"/>
  <c r="R15" i="16"/>
  <c r="Q15" i="16"/>
  <c r="P15" i="16"/>
  <c r="R18" i="16"/>
  <c r="Q18" i="16"/>
  <c r="P18" i="16"/>
  <c r="R47" i="16"/>
  <c r="Q47" i="16"/>
  <c r="P47" i="16"/>
  <c r="R21" i="16"/>
  <c r="R23" i="16"/>
  <c r="Q23" i="16"/>
  <c r="P23" i="16"/>
  <c r="R31" i="16"/>
  <c r="Q31" i="16"/>
  <c r="P31" i="16"/>
  <c r="P26" i="16"/>
  <c r="P34" i="16"/>
  <c r="P42" i="16"/>
  <c r="Q26" i="16"/>
  <c r="Q34" i="16"/>
  <c r="Q42" i="16"/>
  <c r="Q13" i="16"/>
  <c r="Q21" i="16"/>
  <c r="R26" i="16"/>
  <c r="Q29" i="16"/>
  <c r="R34" i="16"/>
  <c r="Q37" i="16"/>
  <c r="R42" i="16"/>
  <c r="Q45" i="16"/>
  <c r="P21" i="15"/>
  <c r="P29" i="15"/>
  <c r="P36" i="15"/>
  <c r="P44" i="15"/>
  <c r="P24" i="15"/>
  <c r="Q29" i="15"/>
  <c r="P39" i="15"/>
  <c r="Q44" i="15"/>
  <c r="P47" i="15"/>
  <c r="Q15" i="15"/>
  <c r="P18" i="15"/>
  <c r="R21" i="15"/>
  <c r="Q24" i="15"/>
  <c r="P27" i="15"/>
  <c r="R29" i="15"/>
  <c r="Q31" i="15"/>
  <c r="P34" i="15"/>
  <c r="R36" i="15"/>
  <c r="Q39" i="15"/>
  <c r="P42" i="15"/>
  <c r="R44" i="15"/>
  <c r="Q47" i="15"/>
  <c r="P15" i="15"/>
  <c r="Q21" i="15"/>
  <c r="P31" i="15"/>
  <c r="Q36" i="15"/>
  <c r="P13" i="15"/>
  <c r="R15" i="15"/>
  <c r="Q18" i="15"/>
  <c r="P22" i="15"/>
  <c r="R24" i="15"/>
  <c r="Q27" i="15"/>
  <c r="P30" i="15"/>
  <c r="R31" i="15"/>
  <c r="Q34" i="15"/>
  <c r="P37" i="15"/>
  <c r="R39" i="15"/>
  <c r="Q42" i="15"/>
  <c r="P45" i="15"/>
  <c r="R47" i="15"/>
  <c r="R18" i="15"/>
  <c r="R27" i="15"/>
  <c r="R34" i="15"/>
  <c r="R42" i="15"/>
  <c r="N13" i="14"/>
  <c r="O13" i="14" s="1"/>
  <c r="M13" i="14"/>
  <c r="L13" i="14"/>
  <c r="J13" i="14"/>
  <c r="J50" i="14" s="1"/>
  <c r="W10" i="14" s="1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N13" i="13"/>
  <c r="O13" i="13" s="1"/>
  <c r="M13" i="13"/>
  <c r="L13" i="13"/>
  <c r="F5" i="26"/>
  <c r="F13" i="26"/>
  <c r="F8" i="26"/>
  <c r="F3" i="26"/>
  <c r="F9" i="26"/>
  <c r="F11" i="26"/>
  <c r="F12" i="26"/>
  <c r="F10" i="26"/>
  <c r="F6" i="26"/>
  <c r="F4" i="26"/>
  <c r="F7" i="26"/>
  <c r="K13" i="26" l="1"/>
  <c r="K15" i="26" s="1"/>
  <c r="E5" i="26"/>
  <c r="E11" i="26"/>
  <c r="E12" i="26"/>
  <c r="E6" i="26"/>
  <c r="E13" i="26"/>
  <c r="E4" i="26"/>
  <c r="E8" i="26"/>
  <c r="E10" i="26"/>
  <c r="E3" i="26"/>
  <c r="E7" i="26"/>
  <c r="E9" i="26"/>
  <c r="R13" i="13"/>
  <c r="R13" i="14"/>
  <c r="J50" i="13"/>
  <c r="W10" i="13" s="1"/>
  <c r="P13" i="13"/>
  <c r="Q13" i="14"/>
  <c r="P13" i="14"/>
  <c r="Q13" i="13"/>
  <c r="D2" i="2" l="1"/>
  <c r="D3" i="2"/>
  <c r="D4" i="2"/>
  <c r="D5" i="2"/>
  <c r="D8" i="2"/>
  <c r="D9" i="2"/>
  <c r="D10" i="2"/>
  <c r="D11" i="2"/>
  <c r="D12" i="2"/>
  <c r="D1" i="2"/>
  <c r="D7" i="2" l="1"/>
  <c r="D6" i="2"/>
  <c r="S14" i="14" l="1"/>
  <c r="I14" i="14" s="1"/>
  <c r="T14" i="14"/>
  <c r="S16" i="13"/>
  <c r="I16" i="13" s="1"/>
  <c r="T20" i="14"/>
  <c r="S29" i="13"/>
  <c r="I29" i="13" s="1"/>
  <c r="S33" i="13"/>
  <c r="I33" i="13" s="1"/>
  <c r="T36" i="13"/>
  <c r="T22" i="13"/>
  <c r="S26" i="14"/>
  <c r="I26" i="14" s="1"/>
  <c r="T31" i="13"/>
  <c r="T27" i="14"/>
  <c r="T22" i="14"/>
  <c r="S24" i="13"/>
  <c r="I24" i="13" s="1"/>
  <c r="T27" i="13"/>
  <c r="T19" i="14"/>
  <c r="S19" i="14"/>
  <c r="I19" i="14" s="1"/>
  <c r="S40" i="13"/>
  <c r="I40" i="13" s="1"/>
  <c r="S15" i="13"/>
  <c r="I15" i="13" s="1"/>
  <c r="T18" i="14"/>
  <c r="T29" i="14"/>
  <c r="T30" i="13"/>
  <c r="S38" i="14"/>
  <c r="I38" i="14" s="1"/>
  <c r="T44" i="13"/>
  <c r="S23" i="13"/>
  <c r="I23" i="13" s="1"/>
  <c r="T17" i="14"/>
  <c r="T41" i="13"/>
  <c r="T31" i="14"/>
  <c r="S31" i="14"/>
  <c r="I31" i="14" s="1"/>
  <c r="S21" i="13"/>
  <c r="I21" i="13" s="1"/>
  <c r="S20" i="14"/>
  <c r="I20" i="14" s="1"/>
  <c r="S41" i="14"/>
  <c r="I41" i="14" s="1"/>
  <c r="T39" i="14"/>
  <c r="S25" i="14"/>
  <c r="I25" i="14" s="1"/>
  <c r="S31" i="13"/>
  <c r="I31" i="13" s="1"/>
  <c r="S49" i="14"/>
  <c r="I49" i="14" s="1"/>
  <c r="S34" i="14"/>
  <c r="I34" i="14" s="1"/>
  <c r="T29" i="13"/>
  <c r="S24" i="19"/>
  <c r="I24" i="19" s="1"/>
  <c r="S46" i="16"/>
  <c r="I46" i="16" s="1"/>
  <c r="S45" i="24"/>
  <c r="I45" i="24" s="1"/>
  <c r="S42" i="23"/>
  <c r="I42" i="23" s="1"/>
  <c r="S37" i="17"/>
  <c r="I37" i="17" s="1"/>
  <c r="S30" i="15"/>
  <c r="I30" i="15" s="1"/>
  <c r="S32" i="19"/>
  <c r="I32" i="19" s="1"/>
  <c r="S49" i="20"/>
  <c r="I49" i="20" s="1"/>
  <c r="S45" i="22"/>
  <c r="I45" i="22" s="1"/>
  <c r="T43" i="17"/>
  <c r="T31" i="22"/>
  <c r="T48" i="23"/>
  <c r="T16" i="16"/>
  <c r="T25" i="22"/>
  <c r="S32" i="24"/>
  <c r="I32" i="24" s="1"/>
  <c r="T13" i="25"/>
  <c r="T41" i="20"/>
  <c r="T19" i="19"/>
  <c r="T37" i="17"/>
  <c r="T25" i="15"/>
  <c r="S25" i="16"/>
  <c r="I25" i="16" s="1"/>
  <c r="S34" i="24"/>
  <c r="I34" i="24" s="1"/>
  <c r="S17" i="16"/>
  <c r="I17" i="16" s="1"/>
  <c r="T45" i="25"/>
  <c r="S22" i="19"/>
  <c r="I22" i="19" s="1"/>
  <c r="S49" i="23"/>
  <c r="I49" i="23" s="1"/>
  <c r="S26" i="20"/>
  <c r="I26" i="20" s="1"/>
  <c r="S26" i="22"/>
  <c r="I26" i="22" s="1"/>
  <c r="S38" i="19"/>
  <c r="I38" i="19" s="1"/>
  <c r="S45" i="21"/>
  <c r="I45" i="21" s="1"/>
  <c r="T19" i="23"/>
  <c r="S43" i="19"/>
  <c r="I43" i="19" s="1"/>
  <c r="T28" i="15"/>
  <c r="T15" i="22"/>
  <c r="S29" i="23"/>
  <c r="I29" i="23" s="1"/>
  <c r="T21" i="25"/>
  <c r="T21" i="20"/>
  <c r="T22" i="19"/>
  <c r="S26" i="16"/>
  <c r="I26" i="16" s="1"/>
  <c r="S36" i="24"/>
  <c r="I36" i="24" s="1"/>
  <c r="S42" i="22"/>
  <c r="I42" i="22" s="1"/>
  <c r="S22" i="16"/>
  <c r="I22" i="16" s="1"/>
  <c r="S26" i="25"/>
  <c r="I26" i="25" s="1"/>
  <c r="S16" i="15"/>
  <c r="I16" i="15" s="1"/>
  <c r="S33" i="20"/>
  <c r="I33" i="20" s="1"/>
  <c r="S46" i="25"/>
  <c r="I46" i="25" s="1"/>
  <c r="T37" i="19"/>
  <c r="T47" i="21"/>
  <c r="T18" i="24"/>
  <c r="T32" i="20"/>
  <c r="S40" i="21"/>
  <c r="I40" i="21" s="1"/>
  <c r="S43" i="22"/>
  <c r="I43" i="22" s="1"/>
  <c r="S40" i="24"/>
  <c r="I40" i="24" s="1"/>
  <c r="T13" i="20"/>
  <c r="T41" i="19"/>
  <c r="S37" i="16"/>
  <c r="I37" i="16" s="1"/>
  <c r="T40" i="15"/>
  <c r="T32" i="16"/>
  <c r="T37" i="15"/>
  <c r="S49" i="25"/>
  <c r="I49" i="25" s="1"/>
  <c r="T44" i="19"/>
  <c r="T34" i="24"/>
  <c r="T26" i="20"/>
  <c r="T49" i="15"/>
  <c r="S21" i="17"/>
  <c r="I21" i="17" s="1"/>
  <c r="S35" i="19"/>
  <c r="I35" i="19" s="1"/>
  <c r="T40" i="16"/>
  <c r="T31" i="19"/>
  <c r="T41" i="15"/>
  <c r="S32" i="20"/>
  <c r="I32" i="20" s="1"/>
  <c r="T39" i="21"/>
  <c r="S19" i="23"/>
  <c r="I19" i="23" s="1"/>
  <c r="T19" i="22"/>
  <c r="S35" i="17"/>
  <c r="I35" i="17" s="1"/>
  <c r="T26" i="25"/>
  <c r="T29" i="25"/>
  <c r="T23" i="25"/>
  <c r="T16" i="15"/>
  <c r="T23" i="17"/>
  <c r="S14" i="19"/>
  <c r="I14" i="19" s="1"/>
  <c r="T21" i="17"/>
  <c r="S27" i="19"/>
  <c r="I27" i="19" s="1"/>
  <c r="T49" i="19"/>
  <c r="T40" i="21"/>
  <c r="T18" i="21"/>
  <c r="T15" i="20"/>
  <c r="T27" i="22"/>
  <c r="T23" i="23"/>
  <c r="T35" i="24"/>
  <c r="S25" i="25"/>
  <c r="I25" i="25" s="1"/>
  <c r="S21" i="25"/>
  <c r="I21" i="25" s="1"/>
  <c r="S37" i="19"/>
  <c r="I37" i="19" s="1"/>
  <c r="S16" i="16"/>
  <c r="I16" i="16" s="1"/>
  <c r="T17" i="17"/>
  <c r="T43" i="15"/>
  <c r="T25" i="17"/>
  <c r="T22" i="15"/>
  <c r="T40" i="17"/>
  <c r="S45" i="17"/>
  <c r="I45" i="17" s="1"/>
  <c r="T34" i="20"/>
  <c r="S48" i="21"/>
  <c r="I48" i="21" s="1"/>
  <c r="T37" i="22"/>
  <c r="T32" i="22"/>
  <c r="T17" i="20"/>
  <c r="T39" i="22"/>
  <c r="T42" i="23"/>
  <c r="S16" i="25"/>
  <c r="I16" i="25" s="1"/>
  <c r="S48" i="24"/>
  <c r="I48" i="24" s="1"/>
  <c r="T35" i="25"/>
  <c r="S43" i="15"/>
  <c r="I43" i="15" s="1"/>
  <c r="S16" i="20"/>
  <c r="I16" i="20" s="1"/>
  <c r="S48" i="25"/>
  <c r="I48" i="25" s="1"/>
  <c r="S40" i="23"/>
  <c r="I40" i="23" s="1"/>
  <c r="T16" i="17"/>
  <c r="S22" i="15"/>
  <c r="I22" i="15" s="1"/>
  <c r="T42" i="17"/>
  <c r="T24" i="16"/>
  <c r="S33" i="17"/>
  <c r="I33" i="17" s="1"/>
  <c r="T14" i="19"/>
  <c r="T35" i="20"/>
  <c r="T17" i="22"/>
  <c r="T25" i="20"/>
  <c r="T35" i="22"/>
  <c r="T46" i="19"/>
  <c r="T24" i="22"/>
  <c r="T43" i="23"/>
  <c r="T40" i="25"/>
  <c r="T27" i="24"/>
  <c r="T29" i="24"/>
  <c r="T20" i="25"/>
  <c r="T14" i="23"/>
  <c r="T46" i="23"/>
  <c r="S44" i="23"/>
  <c r="I44" i="23" s="1"/>
  <c r="T46" i="22"/>
  <c r="S41" i="13"/>
  <c r="I41" i="13" s="1"/>
  <c r="S36" i="13"/>
  <c r="I36" i="13" s="1"/>
  <c r="S42" i="13"/>
  <c r="I42" i="13" s="1"/>
  <c r="T16" i="14"/>
  <c r="S45" i="13"/>
  <c r="I45" i="13" s="1"/>
  <c r="S44" i="13"/>
  <c r="I44" i="13" s="1"/>
  <c r="S25" i="13"/>
  <c r="I25" i="13" s="1"/>
  <c r="S46" i="14"/>
  <c r="I46" i="14" s="1"/>
  <c r="T23" i="13"/>
  <c r="S43" i="14"/>
  <c r="I43" i="14" s="1"/>
  <c r="S49" i="13"/>
  <c r="I49" i="13" s="1"/>
  <c r="T18" i="13"/>
  <c r="T19" i="13"/>
  <c r="T15" i="14"/>
  <c r="S36" i="14"/>
  <c r="I36" i="14" s="1"/>
  <c r="S37" i="13"/>
  <c r="I37" i="13" s="1"/>
  <c r="T45" i="13"/>
  <c r="S45" i="14"/>
  <c r="I45" i="14" s="1"/>
  <c r="S33" i="14"/>
  <c r="I33" i="14" s="1"/>
  <c r="S30" i="13"/>
  <c r="I30" i="13" s="1"/>
  <c r="T36" i="14"/>
  <c r="T16" i="13"/>
  <c r="T28" i="13"/>
  <c r="T24" i="14"/>
  <c r="T33" i="13"/>
  <c r="S16" i="14"/>
  <c r="I16" i="14" s="1"/>
  <c r="T26" i="14"/>
  <c r="T20" i="13"/>
  <c r="S22" i="14"/>
  <c r="I22" i="14" s="1"/>
  <c r="S26" i="13"/>
  <c r="I26" i="13" s="1"/>
  <c r="T34" i="14"/>
  <c r="S17" i="14"/>
  <c r="I17" i="14" s="1"/>
  <c r="T40" i="13"/>
  <c r="T33" i="14"/>
  <c r="S34" i="13"/>
  <c r="I34" i="13" s="1"/>
  <c r="T23" i="14"/>
  <c r="S19" i="16"/>
  <c r="I19" i="16" s="1"/>
  <c r="S18" i="17"/>
  <c r="I18" i="17" s="1"/>
  <c r="S25" i="15"/>
  <c r="I25" i="15" s="1"/>
  <c r="S18" i="24"/>
  <c r="I18" i="24" s="1"/>
  <c r="S49" i="17"/>
  <c r="I49" i="17" s="1"/>
  <c r="T48" i="17"/>
  <c r="S46" i="19"/>
  <c r="I46" i="19" s="1"/>
  <c r="S33" i="21"/>
  <c r="I33" i="21" s="1"/>
  <c r="T32" i="23"/>
  <c r="T28" i="21"/>
  <c r="S24" i="23"/>
  <c r="I24" i="23" s="1"/>
  <c r="S19" i="25"/>
  <c r="I19" i="25" s="1"/>
  <c r="T33" i="21"/>
  <c r="T13" i="23"/>
  <c r="S16" i="24"/>
  <c r="I16" i="24" s="1"/>
  <c r="T31" i="25"/>
  <c r="T39" i="20"/>
  <c r="T15" i="17"/>
  <c r="T33" i="16"/>
  <c r="T39" i="15"/>
  <c r="S34" i="16"/>
  <c r="I34" i="16" s="1"/>
  <c r="S41" i="24"/>
  <c r="I41" i="24" s="1"/>
  <c r="S26" i="23"/>
  <c r="I26" i="23" s="1"/>
  <c r="S29" i="17"/>
  <c r="I29" i="17" s="1"/>
  <c r="S41" i="25"/>
  <c r="I41" i="25" s="1"/>
  <c r="S25" i="19"/>
  <c r="I25" i="19" s="1"/>
  <c r="S41" i="20"/>
  <c r="I41" i="20" s="1"/>
  <c r="T47" i="22"/>
  <c r="T49" i="16"/>
  <c r="T36" i="21"/>
  <c r="S25" i="23"/>
  <c r="I25" i="23" s="1"/>
  <c r="T35" i="19"/>
  <c r="T42" i="15"/>
  <c r="S25" i="22"/>
  <c r="I25" i="22" s="1"/>
  <c r="T33" i="23"/>
  <c r="S33" i="25"/>
  <c r="I33" i="25" s="1"/>
  <c r="S35" i="20"/>
  <c r="I35" i="20" s="1"/>
  <c r="T26" i="19"/>
  <c r="S38" i="16"/>
  <c r="I38" i="16" s="1"/>
  <c r="S42" i="24"/>
  <c r="I42" i="24" s="1"/>
  <c r="S34" i="23"/>
  <c r="I34" i="23" s="1"/>
  <c r="S34" i="17"/>
  <c r="I34" i="17" s="1"/>
  <c r="S42" i="25"/>
  <c r="I42" i="25" s="1"/>
  <c r="S26" i="19"/>
  <c r="I26" i="19" s="1"/>
  <c r="S42" i="20"/>
  <c r="I42" i="20" s="1"/>
  <c r="T19" i="15"/>
  <c r="T18" i="16"/>
  <c r="T29" i="22"/>
  <c r="T26" i="24"/>
  <c r="T32" i="17"/>
  <c r="S32" i="21"/>
  <c r="I32" i="21" s="1"/>
  <c r="T17" i="23"/>
  <c r="T22" i="25"/>
  <c r="T23" i="20"/>
  <c r="S29" i="19"/>
  <c r="I29" i="19" s="1"/>
  <c r="T48" i="15"/>
  <c r="T24" i="15"/>
  <c r="S29" i="16"/>
  <c r="I29" i="16" s="1"/>
  <c r="S30" i="25"/>
  <c r="I30" i="25" s="1"/>
  <c r="S19" i="20"/>
  <c r="I19" i="20" s="1"/>
  <c r="S16" i="21"/>
  <c r="I16" i="21" s="1"/>
  <c r="S48" i="19"/>
  <c r="I48" i="19" s="1"/>
  <c r="T38" i="19"/>
  <c r="T15" i="15"/>
  <c r="T27" i="17"/>
  <c r="S45" i="19"/>
  <c r="I45" i="19" s="1"/>
  <c r="T45" i="16"/>
  <c r="S25" i="20"/>
  <c r="I25" i="20" s="1"/>
  <c r="T42" i="19"/>
  <c r="T36" i="20"/>
  <c r="S17" i="22"/>
  <c r="I17" i="22" s="1"/>
  <c r="T27" i="20"/>
  <c r="S42" i="16"/>
  <c r="I42" i="16" s="1"/>
  <c r="S27" i="15"/>
  <c r="I27" i="15" s="1"/>
  <c r="S24" i="21"/>
  <c r="I24" i="21" s="1"/>
  <c r="T18" i="15"/>
  <c r="T30" i="25"/>
  <c r="T30" i="15"/>
  <c r="T28" i="17"/>
  <c r="T45" i="19"/>
  <c r="S32" i="17"/>
  <c r="I32" i="17" s="1"/>
  <c r="S16" i="17"/>
  <c r="I16" i="17" s="1"/>
  <c r="T33" i="20"/>
  <c r="S19" i="22"/>
  <c r="I19" i="22" s="1"/>
  <c r="S37" i="21"/>
  <c r="I37" i="21" s="1"/>
  <c r="T47" i="20"/>
  <c r="T43" i="22"/>
  <c r="T28" i="23"/>
  <c r="S24" i="25"/>
  <c r="I24" i="25" s="1"/>
  <c r="S46" i="24"/>
  <c r="I46" i="24" s="1"/>
  <c r="S48" i="14"/>
  <c r="I48" i="14" s="1"/>
  <c r="S18" i="14"/>
  <c r="I18" i="14" s="1"/>
  <c r="S38" i="13"/>
  <c r="I38" i="13" s="1"/>
  <c r="T41" i="14"/>
  <c r="T32" i="13"/>
  <c r="S22" i="13"/>
  <c r="I22" i="13" s="1"/>
  <c r="T26" i="13"/>
  <c r="T40" i="14"/>
  <c r="S17" i="13"/>
  <c r="I17" i="13" s="1"/>
  <c r="T38" i="14"/>
  <c r="S32" i="13"/>
  <c r="I32" i="13" s="1"/>
  <c r="T44" i="14"/>
  <c r="T14" i="13"/>
  <c r="T46" i="14"/>
  <c r="S30" i="14"/>
  <c r="I30" i="14" s="1"/>
  <c r="T37" i="14"/>
  <c r="T21" i="13"/>
  <c r="S28" i="14"/>
  <c r="I28" i="14" s="1"/>
  <c r="T49" i="14"/>
  <c r="T38" i="13"/>
  <c r="S48" i="13"/>
  <c r="I48" i="13" s="1"/>
  <c r="T46" i="13"/>
  <c r="T24" i="13"/>
  <c r="T47" i="13"/>
  <c r="T25" i="13"/>
  <c r="S47" i="14"/>
  <c r="I47" i="14" s="1"/>
  <c r="S15" i="14"/>
  <c r="I15" i="14" s="1"/>
  <c r="T28" i="14"/>
  <c r="S20" i="13"/>
  <c r="I20" i="13" s="1"/>
  <c r="T39" i="13"/>
  <c r="S44" i="14"/>
  <c r="I44" i="14" s="1"/>
  <c r="S39" i="13"/>
  <c r="I39" i="13" s="1"/>
  <c r="T42" i="13"/>
  <c r="S14" i="13"/>
  <c r="I14" i="13" s="1"/>
  <c r="S42" i="14"/>
  <c r="I42" i="14" s="1"/>
  <c r="S23" i="14"/>
  <c r="I23" i="14" s="1"/>
  <c r="S21" i="16"/>
  <c r="I21" i="16" s="1"/>
  <c r="S30" i="24"/>
  <c r="I30" i="24" s="1"/>
  <c r="S48" i="15"/>
  <c r="I48" i="15" s="1"/>
  <c r="T41" i="25"/>
  <c r="S21" i="19"/>
  <c r="I21" i="19" s="1"/>
  <c r="S18" i="23"/>
  <c r="I18" i="23" s="1"/>
  <c r="S17" i="20"/>
  <c r="I17" i="20" s="1"/>
  <c r="S18" i="22"/>
  <c r="I18" i="22" s="1"/>
  <c r="T49" i="24"/>
  <c r="S37" i="22"/>
  <c r="I37" i="22" s="1"/>
  <c r="T34" i="23"/>
  <c r="T37" i="20"/>
  <c r="T45" i="21"/>
  <c r="T16" i="23"/>
  <c r="T15" i="25"/>
  <c r="T48" i="25"/>
  <c r="T13" i="19"/>
  <c r="T20" i="17"/>
  <c r="T21" i="16"/>
  <c r="S35" i="15"/>
  <c r="I35" i="15" s="1"/>
  <c r="S49" i="16"/>
  <c r="I49" i="16" s="1"/>
  <c r="S13" i="25"/>
  <c r="I13" i="25" s="1"/>
  <c r="S45" i="23"/>
  <c r="I45" i="23" s="1"/>
  <c r="S42" i="17"/>
  <c r="I42" i="17" s="1"/>
  <c r="S42" i="15"/>
  <c r="I42" i="15" s="1"/>
  <c r="S34" i="19"/>
  <c r="I34" i="19" s="1"/>
  <c r="S18" i="21"/>
  <c r="I18" i="21" s="1"/>
  <c r="T47" i="24"/>
  <c r="T21" i="15"/>
  <c r="S24" i="22"/>
  <c r="I24" i="22" s="1"/>
  <c r="T42" i="24"/>
  <c r="T35" i="17"/>
  <c r="T20" i="21"/>
  <c r="S27" i="22"/>
  <c r="I27" i="22" s="1"/>
  <c r="S43" i="23"/>
  <c r="I43" i="23" s="1"/>
  <c r="T28" i="20"/>
  <c r="T27" i="19"/>
  <c r="T29" i="17"/>
  <c r="S13" i="17"/>
  <c r="I13" i="17" s="1"/>
  <c r="S18" i="25"/>
  <c r="I18" i="25" s="1"/>
  <c r="S14" i="24"/>
  <c r="I14" i="24" s="1"/>
  <c r="S43" i="17"/>
  <c r="I43" i="17" s="1"/>
  <c r="S45" i="15"/>
  <c r="I45" i="15" s="1"/>
  <c r="S36" i="19"/>
  <c r="I36" i="19" s="1"/>
  <c r="S25" i="21"/>
  <c r="I25" i="21" s="1"/>
  <c r="T42" i="20"/>
  <c r="T49" i="21"/>
  <c r="T20" i="22"/>
  <c r="T34" i="25"/>
  <c r="S40" i="16"/>
  <c r="I40" i="16" s="1"/>
  <c r="T18" i="22"/>
  <c r="T36" i="23"/>
  <c r="S40" i="25"/>
  <c r="I40" i="25" s="1"/>
  <c r="T17" i="19"/>
  <c r="T13" i="17"/>
  <c r="T17" i="15"/>
  <c r="T35" i="15"/>
  <c r="S37" i="24"/>
  <c r="I37" i="24" s="1"/>
  <c r="S18" i="15"/>
  <c r="I18" i="15" s="1"/>
  <c r="T48" i="16"/>
  <c r="T17" i="21"/>
  <c r="S29" i="24"/>
  <c r="I29" i="24" s="1"/>
  <c r="T34" i="17"/>
  <c r="T33" i="15"/>
  <c r="S13" i="19"/>
  <c r="I13" i="19" s="1"/>
  <c r="S40" i="15"/>
  <c r="I40" i="15" s="1"/>
  <c r="S19" i="17"/>
  <c r="I19" i="17" s="1"/>
  <c r="S41" i="16"/>
  <c r="I41" i="16" s="1"/>
  <c r="T47" i="17"/>
  <c r="T43" i="20"/>
  <c r="S33" i="22"/>
  <c r="I33" i="22" s="1"/>
  <c r="T13" i="21"/>
  <c r="S44" i="24"/>
  <c r="I44" i="24" s="1"/>
  <c r="S28" i="19"/>
  <c r="I28" i="19" s="1"/>
  <c r="S27" i="23"/>
  <c r="I27" i="23" s="1"/>
  <c r="T42" i="21"/>
  <c r="S21" i="20"/>
  <c r="I21" i="20" s="1"/>
  <c r="S27" i="16"/>
  <c r="I27" i="16" s="1"/>
  <c r="T36" i="17"/>
  <c r="T17" i="16"/>
  <c r="S38" i="17"/>
  <c r="I38" i="17" s="1"/>
  <c r="T33" i="19"/>
  <c r="S13" i="21"/>
  <c r="I13" i="21" s="1"/>
  <c r="S35" i="22"/>
  <c r="I35" i="22" s="1"/>
  <c r="T21" i="21"/>
  <c r="T15" i="21"/>
  <c r="T49" i="22"/>
  <c r="T40" i="23"/>
  <c r="T49" i="23"/>
  <c r="T31" i="24"/>
  <c r="S48" i="17"/>
  <c r="I48" i="17" s="1"/>
  <c r="T34" i="22"/>
  <c r="T20" i="23"/>
  <c r="T24" i="19"/>
  <c r="T36" i="15"/>
  <c r="T15" i="19"/>
  <c r="T24" i="17"/>
  <c r="T30" i="19"/>
  <c r="S40" i="19"/>
  <c r="I40" i="19" s="1"/>
  <c r="T16" i="21"/>
  <c r="T21" i="22"/>
  <c r="S43" i="20"/>
  <c r="I43" i="20" s="1"/>
  <c r="T29" i="21"/>
  <c r="T23" i="22"/>
  <c r="S32" i="23"/>
  <c r="I32" i="23" s="1"/>
  <c r="T23" i="24"/>
  <c r="T46" i="25"/>
  <c r="T49" i="25"/>
  <c r="S32" i="14"/>
  <c r="I32" i="14" s="1"/>
  <c r="S35" i="13"/>
  <c r="I35" i="13" s="1"/>
  <c r="T43" i="14"/>
  <c r="T35" i="14"/>
  <c r="S39" i="14"/>
  <c r="I39" i="14" s="1"/>
  <c r="T17" i="13"/>
  <c r="T47" i="14"/>
  <c r="T21" i="14"/>
  <c r="S37" i="14"/>
  <c r="I37" i="14" s="1"/>
  <c r="S33" i="16"/>
  <c r="I33" i="16" s="1"/>
  <c r="S34" i="25"/>
  <c r="I34" i="25" s="1"/>
  <c r="T48" i="19"/>
  <c r="S13" i="22"/>
  <c r="I13" i="22" s="1"/>
  <c r="T34" i="19"/>
  <c r="S24" i="17"/>
  <c r="I24" i="17" s="1"/>
  <c r="S34" i="22"/>
  <c r="I34" i="22" s="1"/>
  <c r="T41" i="21"/>
  <c r="T25" i="21"/>
  <c r="S41" i="19"/>
  <c r="I41" i="19" s="1"/>
  <c r="S22" i="24"/>
  <c r="I22" i="24" s="1"/>
  <c r="S42" i="21"/>
  <c r="I42" i="21" s="1"/>
  <c r="T39" i="25"/>
  <c r="T42" i="25"/>
  <c r="T26" i="16"/>
  <c r="T45" i="22"/>
  <c r="T16" i="19"/>
  <c r="T23" i="19"/>
  <c r="S41" i="23"/>
  <c r="I41" i="23" s="1"/>
  <c r="T29" i="16"/>
  <c r="S19" i="19"/>
  <c r="I19" i="19" s="1"/>
  <c r="S13" i="24"/>
  <c r="I13" i="24" s="1"/>
  <c r="T16" i="25"/>
  <c r="S26" i="21"/>
  <c r="I26" i="21" s="1"/>
  <c r="T47" i="23"/>
  <c r="T41" i="17"/>
  <c r="T25" i="19"/>
  <c r="T45" i="20"/>
  <c r="S24" i="20"/>
  <c r="I24" i="20" s="1"/>
  <c r="T49" i="20"/>
  <c r="T15" i="24"/>
  <c r="S27" i="25"/>
  <c r="I27" i="25" s="1"/>
  <c r="S26" i="24"/>
  <c r="I26" i="24" s="1"/>
  <c r="S49" i="21"/>
  <c r="I49" i="21" s="1"/>
  <c r="T45" i="15"/>
  <c r="T14" i="25"/>
  <c r="T32" i="15"/>
  <c r="T26" i="15"/>
  <c r="S30" i="16"/>
  <c r="I30" i="16" s="1"/>
  <c r="T47" i="19"/>
  <c r="T32" i="21"/>
  <c r="S48" i="23"/>
  <c r="I48" i="23" s="1"/>
  <c r="S35" i="23"/>
  <c r="I35" i="23" s="1"/>
  <c r="S29" i="20"/>
  <c r="I29" i="20" s="1"/>
  <c r="T26" i="23"/>
  <c r="S40" i="20"/>
  <c r="I40" i="20" s="1"/>
  <c r="T24" i="25"/>
  <c r="S29" i="25"/>
  <c r="I29" i="25" s="1"/>
  <c r="T22" i="23"/>
  <c r="S28" i="23"/>
  <c r="I28" i="23" s="1"/>
  <c r="T38" i="22"/>
  <c r="T43" i="21"/>
  <c r="T38" i="21"/>
  <c r="S14" i="20"/>
  <c r="I14" i="20" s="1"/>
  <c r="T38" i="20"/>
  <c r="T36" i="19"/>
  <c r="T47" i="16"/>
  <c r="S14" i="15"/>
  <c r="I14" i="15" s="1"/>
  <c r="S41" i="15"/>
  <c r="I41" i="15" s="1"/>
  <c r="T38" i="16"/>
  <c r="S47" i="17"/>
  <c r="I47" i="17" s="1"/>
  <c r="S46" i="15"/>
  <c r="I46" i="15" s="1"/>
  <c r="T48" i="21"/>
  <c r="S27" i="24"/>
  <c r="I27" i="24" s="1"/>
  <c r="T32" i="24"/>
  <c r="S15" i="25"/>
  <c r="I15" i="25" s="1"/>
  <c r="T28" i="24"/>
  <c r="S46" i="22"/>
  <c r="I46" i="22" s="1"/>
  <c r="S19" i="21"/>
  <c r="I19" i="21" s="1"/>
  <c r="S44" i="21"/>
  <c r="I44" i="21" s="1"/>
  <c r="S39" i="20"/>
  <c r="I39" i="20" s="1"/>
  <c r="S39" i="17"/>
  <c r="I39" i="17" s="1"/>
  <c r="S47" i="16"/>
  <c r="I47" i="16" s="1"/>
  <c r="T26" i="22"/>
  <c r="T43" i="24"/>
  <c r="S20" i="25"/>
  <c r="I20" i="25" s="1"/>
  <c r="T14" i="24"/>
  <c r="T46" i="24"/>
  <c r="S22" i="23"/>
  <c r="I22" i="23" s="1"/>
  <c r="S36" i="22"/>
  <c r="I36" i="22" s="1"/>
  <c r="S27" i="21"/>
  <c r="I27" i="21" s="1"/>
  <c r="S20" i="19"/>
  <c r="I20" i="19" s="1"/>
  <c r="S47" i="19"/>
  <c r="I47" i="19" s="1"/>
  <c r="T36" i="16"/>
  <c r="T14" i="15"/>
  <c r="S15" i="15"/>
  <c r="I15" i="15" s="1"/>
  <c r="S23" i="21"/>
  <c r="I23" i="21" s="1"/>
  <c r="T22" i="17"/>
  <c r="S15" i="17"/>
  <c r="I15" i="17" s="1"/>
  <c r="T37" i="24"/>
  <c r="S23" i="24"/>
  <c r="I23" i="24" s="1"/>
  <c r="S39" i="22"/>
  <c r="I39" i="22" s="1"/>
  <c r="T45" i="14"/>
  <c r="S19" i="13"/>
  <c r="I19" i="13" s="1"/>
  <c r="S27" i="14"/>
  <c r="I27" i="14" s="1"/>
  <c r="S35" i="14"/>
  <c r="I35" i="14" s="1"/>
  <c r="S40" i="14"/>
  <c r="I40" i="14" s="1"/>
  <c r="T48" i="13"/>
  <c r="T42" i="14"/>
  <c r="T37" i="13"/>
  <c r="T15" i="13"/>
  <c r="S38" i="24"/>
  <c r="I38" i="24" s="1"/>
  <c r="S19" i="15"/>
  <c r="I19" i="15" s="1"/>
  <c r="S41" i="22"/>
  <c r="I41" i="22" s="1"/>
  <c r="T17" i="24"/>
  <c r="T39" i="17"/>
  <c r="S28" i="15"/>
  <c r="I28" i="15" s="1"/>
  <c r="S49" i="19"/>
  <c r="I49" i="19" s="1"/>
  <c r="T31" i="23"/>
  <c r="T41" i="22"/>
  <c r="T44" i="17"/>
  <c r="S17" i="19"/>
  <c r="I17" i="19" s="1"/>
  <c r="T40" i="19"/>
  <c r="S37" i="15"/>
  <c r="I37" i="15" s="1"/>
  <c r="T29" i="19"/>
  <c r="S49" i="22"/>
  <c r="I49" i="22" s="1"/>
  <c r="S35" i="25"/>
  <c r="I35" i="25" s="1"/>
  <c r="T29" i="15"/>
  <c r="T48" i="20"/>
  <c r="S48" i="20"/>
  <c r="I48" i="20" s="1"/>
  <c r="T41" i="16"/>
  <c r="T49" i="17"/>
  <c r="S21" i="22"/>
  <c r="I21" i="22" s="1"/>
  <c r="S17" i="17"/>
  <c r="I17" i="17" s="1"/>
  <c r="T45" i="24"/>
  <c r="T18" i="17"/>
  <c r="S18" i="20"/>
  <c r="I18" i="20" s="1"/>
  <c r="T19" i="17"/>
  <c r="T31" i="21"/>
  <c r="S29" i="21"/>
  <c r="I29" i="21" s="1"/>
  <c r="T28" i="22"/>
  <c r="T41" i="24"/>
  <c r="T48" i="24"/>
  <c r="S25" i="24"/>
  <c r="I25" i="24" s="1"/>
  <c r="T32" i="19"/>
  <c r="T13" i="15"/>
  <c r="S27" i="17"/>
  <c r="I27" i="17" s="1"/>
  <c r="S24" i="16"/>
  <c r="I24" i="16" s="1"/>
  <c r="T47" i="15"/>
  <c r="T42" i="16"/>
  <c r="T16" i="20"/>
  <c r="S41" i="21"/>
  <c r="I41" i="21" s="1"/>
  <c r="S21" i="21"/>
  <c r="I21" i="21" s="1"/>
  <c r="T37" i="21"/>
  <c r="T44" i="21"/>
  <c r="T16" i="24"/>
  <c r="S37" i="23"/>
  <c r="I37" i="23" s="1"/>
  <c r="T41" i="23"/>
  <c r="S39" i="25"/>
  <c r="I39" i="25" s="1"/>
  <c r="T30" i="23"/>
  <c r="S36" i="23"/>
  <c r="I36" i="23" s="1"/>
  <c r="S14" i="22"/>
  <c r="I14" i="22" s="1"/>
  <c r="T14" i="21"/>
  <c r="T46" i="21"/>
  <c r="S22" i="20"/>
  <c r="I22" i="20" s="1"/>
  <c r="T46" i="20"/>
  <c r="S39" i="16"/>
  <c r="I39" i="16" s="1"/>
  <c r="S31" i="16"/>
  <c r="I31" i="16" s="1"/>
  <c r="S38" i="15"/>
  <c r="I38" i="15" s="1"/>
  <c r="T46" i="15"/>
  <c r="T20" i="15"/>
  <c r="S36" i="16"/>
  <c r="I36" i="16" s="1"/>
  <c r="S21" i="23"/>
  <c r="I21" i="23" s="1"/>
  <c r="T27" i="23"/>
  <c r="S14" i="25"/>
  <c r="I14" i="25" s="1"/>
  <c r="T40" i="24"/>
  <c r="T28" i="25"/>
  <c r="S14" i="23"/>
  <c r="I14" i="23" s="1"/>
  <c r="S15" i="22"/>
  <c r="I15" i="22" s="1"/>
  <c r="S30" i="21"/>
  <c r="I30" i="21" s="1"/>
  <c r="S39" i="21"/>
  <c r="I39" i="21" s="1"/>
  <c r="S44" i="19"/>
  <c r="I44" i="19" s="1"/>
  <c r="T20" i="16"/>
  <c r="T27" i="16"/>
  <c r="T42" i="22"/>
  <c r="T19" i="25"/>
  <c r="S28" i="25"/>
  <c r="I28" i="25" s="1"/>
  <c r="T22" i="24"/>
  <c r="S28" i="24"/>
  <c r="I28" i="24" s="1"/>
  <c r="S38" i="23"/>
  <c r="I38" i="23" s="1"/>
  <c r="S44" i="22"/>
  <c r="I44" i="22" s="1"/>
  <c r="S20" i="21"/>
  <c r="I20" i="21" s="1"/>
  <c r="S23" i="19"/>
  <c r="I23" i="19" s="1"/>
  <c r="S22" i="17"/>
  <c r="I22" i="17" s="1"/>
  <c r="T15" i="16"/>
  <c r="S26" i="15"/>
  <c r="I26" i="15" s="1"/>
  <c r="S31" i="15"/>
  <c r="I31" i="15" s="1"/>
  <c r="T14" i="20"/>
  <c r="S31" i="20"/>
  <c r="I31" i="20" s="1"/>
  <c r="T38" i="17"/>
  <c r="T39" i="16"/>
  <c r="T47" i="25"/>
  <c r="S37" i="25"/>
  <c r="I37" i="25" s="1"/>
  <c r="S31" i="25"/>
  <c r="I31" i="25" s="1"/>
  <c r="S31" i="24"/>
  <c r="I31" i="24" s="1"/>
  <c r="S31" i="23"/>
  <c r="I31" i="23" s="1"/>
  <c r="T30" i="22"/>
  <c r="S14" i="21"/>
  <c r="I14" i="21" s="1"/>
  <c r="S20" i="20"/>
  <c r="I20" i="20" s="1"/>
  <c r="S30" i="17"/>
  <c r="I30" i="17" s="1"/>
  <c r="S44" i="17"/>
  <c r="I44" i="17" s="1"/>
  <c r="S20" i="15"/>
  <c r="I20" i="15" s="1"/>
  <c r="S44" i="15"/>
  <c r="I44" i="15" s="1"/>
  <c r="T43" i="13"/>
  <c r="T49" i="13"/>
  <c r="S28" i="13"/>
  <c r="I28" i="13" s="1"/>
  <c r="S26" i="17"/>
  <c r="I26" i="17" s="1"/>
  <c r="T18" i="19"/>
  <c r="T27" i="15"/>
  <c r="T44" i="20"/>
  <c r="T40" i="20"/>
  <c r="S13" i="20"/>
  <c r="I13" i="20" s="1"/>
  <c r="S24" i="24"/>
  <c r="I24" i="24" s="1"/>
  <c r="S43" i="16"/>
  <c r="I43" i="16" s="1"/>
  <c r="T21" i="19"/>
  <c r="T36" i="22"/>
  <c r="T21" i="24"/>
  <c r="T39" i="19"/>
  <c r="T33" i="17"/>
  <c r="S32" i="22"/>
  <c r="I32" i="22" s="1"/>
  <c r="T24" i="23"/>
  <c r="S21" i="24"/>
  <c r="I21" i="24" s="1"/>
  <c r="T24" i="20"/>
  <c r="T34" i="15"/>
  <c r="S30" i="19"/>
  <c r="I30" i="19" s="1"/>
  <c r="T23" i="21"/>
  <c r="T16" i="22"/>
  <c r="T45" i="23"/>
  <c r="S33" i="24"/>
  <c r="I33" i="24" s="1"/>
  <c r="S47" i="24"/>
  <c r="I47" i="24" s="1"/>
  <c r="S38" i="22"/>
  <c r="I38" i="22" s="1"/>
  <c r="T30" i="21"/>
  <c r="S46" i="20"/>
  <c r="I46" i="20" s="1"/>
  <c r="S18" i="16"/>
  <c r="I18" i="16" s="1"/>
  <c r="S39" i="15"/>
  <c r="I39" i="15" s="1"/>
  <c r="T30" i="16"/>
  <c r="S43" i="25"/>
  <c r="I43" i="25" s="1"/>
  <c r="S32" i="25"/>
  <c r="I32" i="25" s="1"/>
  <c r="S39" i="23"/>
  <c r="I39" i="23" s="1"/>
  <c r="S35" i="21"/>
  <c r="I35" i="21" s="1"/>
  <c r="S23" i="17"/>
  <c r="I23" i="17" s="1"/>
  <c r="S49" i="24"/>
  <c r="I49" i="24" s="1"/>
  <c r="T36" i="25"/>
  <c r="T44" i="24"/>
  <c r="S46" i="21"/>
  <c r="I46" i="21" s="1"/>
  <c r="S44" i="16"/>
  <c r="I44" i="16" s="1"/>
  <c r="S49" i="15"/>
  <c r="I49" i="15" s="1"/>
  <c r="S28" i="20"/>
  <c r="I28" i="20" s="1"/>
  <c r="S28" i="17"/>
  <c r="I28" i="17" s="1"/>
  <c r="T27" i="25"/>
  <c r="S15" i="24"/>
  <c r="I15" i="24" s="1"/>
  <c r="T14" i="22"/>
  <c r="S28" i="21"/>
  <c r="I28" i="21" s="1"/>
  <c r="T30" i="17"/>
  <c r="S29" i="15"/>
  <c r="I29" i="15" s="1"/>
  <c r="S44" i="20"/>
  <c r="I44" i="20" s="1"/>
  <c r="T32" i="25"/>
  <c r="S44" i="25"/>
  <c r="I44" i="25" s="1"/>
  <c r="S15" i="23"/>
  <c r="I15" i="23" s="1"/>
  <c r="T22" i="20"/>
  <c r="S43" i="13"/>
  <c r="I43" i="13" s="1"/>
  <c r="T48" i="14"/>
  <c r="S46" i="13"/>
  <c r="I46" i="13" s="1"/>
  <c r="S21" i="14"/>
  <c r="I21" i="14" s="1"/>
  <c r="S29" i="14"/>
  <c r="I29" i="14" s="1"/>
  <c r="T32" i="14"/>
  <c r="S47" i="13"/>
  <c r="I47" i="13" s="1"/>
  <c r="S24" i="14"/>
  <c r="I24" i="14" s="1"/>
  <c r="S18" i="13"/>
  <c r="I18" i="13" s="1"/>
  <c r="S16" i="23"/>
  <c r="I16" i="23" s="1"/>
  <c r="S37" i="20"/>
  <c r="I37" i="20" s="1"/>
  <c r="T18" i="23"/>
  <c r="T37" i="25"/>
  <c r="S13" i="15"/>
  <c r="I13" i="15" s="1"/>
  <c r="S20" i="24"/>
  <c r="I20" i="24" s="1"/>
  <c r="S34" i="21"/>
  <c r="I34" i="21" s="1"/>
  <c r="S17" i="25"/>
  <c r="I17" i="25" s="1"/>
  <c r="T33" i="25"/>
  <c r="S25" i="17"/>
  <c r="I25" i="17" s="1"/>
  <c r="S48" i="22"/>
  <c r="I48" i="22" s="1"/>
  <c r="S17" i="21"/>
  <c r="I17" i="21" s="1"/>
  <c r="T13" i="22"/>
  <c r="T45" i="17"/>
  <c r="S34" i="20"/>
  <c r="I34" i="20" s="1"/>
  <c r="T37" i="16"/>
  <c r="T31" i="17"/>
  <c r="T15" i="23"/>
  <c r="T33" i="24"/>
  <c r="S40" i="17"/>
  <c r="I40" i="17" s="1"/>
  <c r="T24" i="21"/>
  <c r="T21" i="23"/>
  <c r="S17" i="24"/>
  <c r="I17" i="24" s="1"/>
  <c r="S17" i="23"/>
  <c r="I17" i="23" s="1"/>
  <c r="T31" i="15"/>
  <c r="S35" i="16"/>
  <c r="I35" i="16" s="1"/>
  <c r="T44" i="15"/>
  <c r="S16" i="22"/>
  <c r="I16" i="22" s="1"/>
  <c r="T48" i="22"/>
  <c r="T44" i="22"/>
  <c r="S38" i="25"/>
  <c r="I38" i="25" s="1"/>
  <c r="T25" i="23"/>
  <c r="S18" i="19"/>
  <c r="I18" i="19" s="1"/>
  <c r="S29" i="22"/>
  <c r="I29" i="22" s="1"/>
  <c r="T29" i="23"/>
  <c r="T25" i="16"/>
  <c r="T26" i="17"/>
  <c r="S41" i="17"/>
  <c r="I41" i="17" s="1"/>
  <c r="S33" i="19"/>
  <c r="I33" i="19" s="1"/>
  <c r="T29" i="20"/>
  <c r="T33" i="22"/>
  <c r="T34" i="21"/>
  <c r="T37" i="23"/>
  <c r="T40" i="22"/>
  <c r="T24" i="24"/>
  <c r="T39" i="23"/>
  <c r="T39" i="24"/>
  <c r="S39" i="24"/>
  <c r="I39" i="24" s="1"/>
  <c r="T38" i="23"/>
  <c r="S30" i="22"/>
  <c r="I30" i="22" s="1"/>
  <c r="S43" i="21"/>
  <c r="I43" i="21" s="1"/>
  <c r="T22" i="21"/>
  <c r="S36" i="21"/>
  <c r="I36" i="21" s="1"/>
  <c r="S30" i="20"/>
  <c r="I30" i="20" s="1"/>
  <c r="T20" i="19"/>
  <c r="T28" i="16"/>
  <c r="T19" i="16"/>
  <c r="S17" i="15"/>
  <c r="I17" i="15" s="1"/>
  <c r="S24" i="15"/>
  <c r="I24" i="15" s="1"/>
  <c r="S23" i="15"/>
  <c r="I23" i="15" s="1"/>
  <c r="S23" i="16"/>
  <c r="I23" i="16" s="1"/>
  <c r="T31" i="20"/>
  <c r="T44" i="23"/>
  <c r="T43" i="25"/>
  <c r="T18" i="25"/>
  <c r="S47" i="25"/>
  <c r="I47" i="25" s="1"/>
  <c r="S23" i="23"/>
  <c r="I23" i="23" s="1"/>
  <c r="S31" i="22"/>
  <c r="I31" i="22" s="1"/>
  <c r="S38" i="21"/>
  <c r="I38" i="21" s="1"/>
  <c r="S38" i="20"/>
  <c r="I38" i="20" s="1"/>
  <c r="S15" i="19"/>
  <c r="I15" i="19" s="1"/>
  <c r="T44" i="16"/>
  <c r="T22" i="16"/>
  <c r="S35" i="24"/>
  <c r="I35" i="24" s="1"/>
  <c r="T25" i="25"/>
  <c r="S23" i="25"/>
  <c r="I23" i="25" s="1"/>
  <c r="T30" i="24"/>
  <c r="T36" i="24"/>
  <c r="S20" i="22"/>
  <c r="I20" i="22" s="1"/>
  <c r="T19" i="21"/>
  <c r="S15" i="21"/>
  <c r="I15" i="21" s="1"/>
  <c r="T28" i="19"/>
  <c r="S20" i="16"/>
  <c r="I20" i="16" s="1"/>
  <c r="T23" i="16"/>
  <c r="T38" i="15"/>
  <c r="S47" i="15"/>
  <c r="I47" i="15" s="1"/>
  <c r="T30" i="20"/>
  <c r="S14" i="17"/>
  <c r="I14" i="17" s="1"/>
  <c r="S20" i="17"/>
  <c r="I20" i="17" s="1"/>
  <c r="T31" i="16"/>
  <c r="S22" i="25"/>
  <c r="I22" i="25" s="1"/>
  <c r="T13" i="16"/>
  <c r="T44" i="25"/>
  <c r="S30" i="23"/>
  <c r="I30" i="23" s="1"/>
  <c r="S47" i="23"/>
  <c r="I47" i="23" s="1"/>
  <c r="S22" i="22"/>
  <c r="I22" i="22" s="1"/>
  <c r="T27" i="21"/>
  <c r="S36" i="20"/>
  <c r="I36" i="20" s="1"/>
  <c r="T14" i="17"/>
  <c r="S31" i="17"/>
  <c r="I31" i="17" s="1"/>
  <c r="S21" i="15"/>
  <c r="I21" i="15" s="1"/>
  <c r="S33" i="15"/>
  <c r="I33" i="15" s="1"/>
  <c r="T25" i="14"/>
  <c r="T35" i="13"/>
  <c r="T34" i="13"/>
  <c r="S27" i="13"/>
  <c r="I27" i="13" s="1"/>
  <c r="T30" i="14"/>
  <c r="S45" i="25"/>
  <c r="I45" i="25" s="1"/>
  <c r="S40" i="22"/>
  <c r="I40" i="22" s="1"/>
  <c r="T38" i="25"/>
  <c r="S16" i="19"/>
  <c r="I16" i="19" s="1"/>
  <c r="T34" i="16"/>
  <c r="S34" i="15"/>
  <c r="I34" i="15" s="1"/>
  <c r="T35" i="23"/>
  <c r="S32" i="15"/>
  <c r="I32" i="15" s="1"/>
  <c r="S45" i="16"/>
  <c r="I45" i="16" s="1"/>
  <c r="T26" i="21"/>
  <c r="S32" i="16"/>
  <c r="I32" i="16" s="1"/>
  <c r="T43" i="19"/>
  <c r="S14" i="16"/>
  <c r="I14" i="16" s="1"/>
  <c r="S48" i="16"/>
  <c r="I48" i="16" s="1"/>
  <c r="S27" i="20"/>
  <c r="I27" i="20" s="1"/>
  <c r="T13" i="24"/>
  <c r="S19" i="24"/>
  <c r="I19" i="24" s="1"/>
  <c r="S13" i="23"/>
  <c r="I13" i="23" s="1"/>
  <c r="T25" i="24"/>
  <c r="T18" i="20"/>
  <c r="S42" i="19"/>
  <c r="I42" i="19" s="1"/>
  <c r="S33" i="23"/>
  <c r="I33" i="23" s="1"/>
  <c r="T19" i="20"/>
  <c r="S43" i="24"/>
  <c r="I43" i="24" s="1"/>
  <c r="T17" i="25"/>
  <c r="S20" i="23"/>
  <c r="I20" i="23" s="1"/>
  <c r="S22" i="21"/>
  <c r="I22" i="21" s="1"/>
  <c r="S31" i="21"/>
  <c r="I31" i="21" s="1"/>
  <c r="S31" i="19"/>
  <c r="I31" i="19" s="1"/>
  <c r="T14" i="16"/>
  <c r="T23" i="15"/>
  <c r="S36" i="17"/>
  <c r="I36" i="17" s="1"/>
  <c r="S45" i="20"/>
  <c r="I45" i="20" s="1"/>
  <c r="T19" i="24"/>
  <c r="T20" i="24"/>
  <c r="S47" i="22"/>
  <c r="I47" i="22" s="1"/>
  <c r="S23" i="20"/>
  <c r="I23" i="20" s="1"/>
  <c r="S28" i="16"/>
  <c r="I28" i="16" s="1"/>
  <c r="T20" i="20"/>
  <c r="S13" i="16"/>
  <c r="I13" i="16" s="1"/>
  <c r="T38" i="24"/>
  <c r="S28" i="22"/>
  <c r="I28" i="22" s="1"/>
  <c r="S47" i="21"/>
  <c r="I47" i="21" s="1"/>
  <c r="S39" i="19"/>
  <c r="I39" i="19" s="1"/>
  <c r="T35" i="16"/>
  <c r="T35" i="21"/>
  <c r="S46" i="17"/>
  <c r="I46" i="17" s="1"/>
  <c r="T46" i="16"/>
  <c r="S36" i="25"/>
  <c r="I36" i="25" s="1"/>
  <c r="S46" i="23"/>
  <c r="I46" i="23" s="1"/>
  <c r="S23" i="22"/>
  <c r="I23" i="22" s="1"/>
  <c r="S15" i="20"/>
  <c r="I15" i="20" s="1"/>
  <c r="S15" i="16"/>
  <c r="I15" i="16" s="1"/>
  <c r="T22" i="22"/>
  <c r="T46" i="17"/>
  <c r="S47" i="20"/>
  <c r="I47" i="20" s="1"/>
  <c r="S36" i="15"/>
  <c r="I36" i="15" s="1"/>
  <c r="T43" i="16"/>
  <c r="S13" i="13"/>
  <c r="I13" i="13" s="1"/>
  <c r="T13" i="14"/>
  <c r="T13" i="13"/>
  <c r="S13" i="14"/>
  <c r="I13" i="14" s="1"/>
  <c r="I50" i="23" l="1"/>
  <c r="X16" i="23" s="1"/>
  <c r="I50" i="15"/>
  <c r="X16" i="15" s="1"/>
  <c r="I50" i="24"/>
  <c r="X16" i="24" s="1"/>
  <c r="I50" i="21"/>
  <c r="X16" i="21" s="1"/>
  <c r="I50" i="17"/>
  <c r="X16" i="17" s="1"/>
  <c r="I50" i="25"/>
  <c r="X16" i="25" s="1"/>
  <c r="I50" i="16"/>
  <c r="X16" i="16" s="1"/>
  <c r="I50" i="20"/>
  <c r="X16" i="20" s="1"/>
  <c r="I50" i="22"/>
  <c r="X16" i="22" s="1"/>
  <c r="I50" i="19"/>
  <c r="X16" i="19" s="1"/>
  <c r="I50" i="13"/>
  <c r="X16" i="13" s="1"/>
  <c r="I50" i="14"/>
  <c r="X16" i="14" s="1"/>
  <c r="D13" i="26"/>
  <c r="D12" i="26"/>
  <c r="D7" i="26"/>
  <c r="D2" i="26"/>
  <c r="D9" i="26"/>
  <c r="D3" i="26"/>
  <c r="D4" i="26"/>
  <c r="D11" i="26"/>
  <c r="D8" i="26"/>
  <c r="F2" i="26"/>
  <c r="D5" i="26"/>
  <c r="D6" i="26"/>
  <c r="D10" i="26"/>
  <c r="Z16" i="13" l="1"/>
  <c r="W16" i="14" s="1"/>
  <c r="Z16" i="14" s="1"/>
  <c r="W16" i="15" s="1"/>
  <c r="Z16" i="15" s="1"/>
  <c r="W16" i="16" s="1"/>
  <c r="Z16" i="16" s="1"/>
  <c r="W16" i="17" s="1"/>
  <c r="Z16" i="17" s="1"/>
  <c r="W16" i="19" s="1"/>
  <c r="Z16" i="19" s="1"/>
  <c r="W16" i="20" s="1"/>
  <c r="Z16" i="20" s="1"/>
  <c r="W16" i="25" s="1"/>
  <c r="Z16" i="25" s="1"/>
  <c r="W16" i="24" s="1"/>
  <c r="Z16" i="24" s="1"/>
  <c r="W16" i="23" s="1"/>
  <c r="Z16" i="23" s="1"/>
  <c r="W16" i="22" s="1"/>
  <c r="Z16" i="22" s="1"/>
  <c r="W16" i="21" s="1"/>
  <c r="Z16" i="21" s="1"/>
  <c r="E2" i="26"/>
  <c r="E15" i="26" s="1"/>
  <c r="F15" i="26"/>
  <c r="C5" i="26"/>
  <c r="C12" i="26"/>
  <c r="C8" i="26"/>
  <c r="C13" i="26"/>
  <c r="C10" i="26"/>
  <c r="C7" i="26"/>
  <c r="C9" i="26"/>
  <c r="C4" i="26"/>
  <c r="C6" i="26"/>
  <c r="C11" i="26"/>
  <c r="C3" i="26"/>
  <c r="C2" i="26"/>
  <c r="D15" i="26"/>
  <c r="C15" i="26" l="1"/>
</calcChain>
</file>

<file path=xl/sharedStrings.xml><?xml version="1.0" encoding="utf-8"?>
<sst xmlns="http://schemas.openxmlformats.org/spreadsheetml/2006/main" count="841" uniqueCount="169">
  <si>
    <t>Date</t>
  </si>
  <si>
    <t>Service</t>
  </si>
  <si>
    <t>Horaire</t>
  </si>
  <si>
    <t>début</t>
  </si>
  <si>
    <t>Fin</t>
  </si>
  <si>
    <t>heures jour dimanche</t>
  </si>
  <si>
    <t>heures jour fériés</t>
  </si>
  <si>
    <t>Lundi de Pâques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</si>
  <si>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</si>
  <si>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</si>
  <si>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</si>
  <si>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</si>
  <si>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</si>
  <si>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</si>
  <si>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</si>
  <si>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</si>
  <si>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</si>
  <si>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</si>
  <si>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</si>
  <si>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</si>
  <si>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</si>
  <si>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Majoration</t>
  </si>
  <si>
    <t>Mois concerné</t>
  </si>
  <si>
    <t>Matricule:</t>
  </si>
  <si>
    <t>Département:</t>
  </si>
  <si>
    <t>Pause</t>
  </si>
  <si>
    <t>Payée</t>
  </si>
  <si>
    <t>Non payée</t>
  </si>
  <si>
    <t>Début</t>
  </si>
  <si>
    <t>TOTAUX</t>
  </si>
  <si>
    <t>Date et visa du collaborateur</t>
  </si>
  <si>
    <t>Date et visa planification</t>
  </si>
  <si>
    <t>Heures de nuit</t>
  </si>
  <si>
    <t>heures jour dimanche hors PNP</t>
  </si>
  <si>
    <t>heures jour fériés hors PNP</t>
  </si>
  <si>
    <t xml:space="preserve">                   DQ RH00008</t>
  </si>
  <si>
    <t xml:space="preserve">Prénom: </t>
  </si>
  <si>
    <t xml:space="preserve">      RELEVE MENSUEL DES HEURES EFFECTUEES</t>
  </si>
  <si>
    <t>Vendredi Saint</t>
  </si>
  <si>
    <t>Restauration republique</t>
  </si>
  <si>
    <t>Nouvel An</t>
  </si>
  <si>
    <t>Jeudi ascension</t>
  </si>
  <si>
    <t>Lundi de pentecote</t>
  </si>
  <si>
    <t>Fete nationale</t>
  </si>
  <si>
    <t>jeune Genevois</t>
  </si>
  <si>
    <t xml:space="preserve">Noel </t>
  </si>
  <si>
    <t xml:space="preserve">Nom:   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</si>
  <si>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</si>
  <si>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</si>
  <si>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</si>
  <si>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</si>
  <si>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</si>
  <si>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</si>
  <si>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</si>
  <si>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</si>
  <si>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</si>
  <si>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</si>
  <si>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</si>
  <si>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</si>
  <si>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</si>
  <si>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 ANNUEL</t>
  </si>
  <si>
    <t>Maladie</t>
  </si>
  <si>
    <t>Totaux
sans
majoration</t>
  </si>
  <si>
    <t>CCT</t>
  </si>
  <si>
    <t>Admin</t>
  </si>
  <si>
    <t>17J</t>
  </si>
  <si>
    <t>17N</t>
  </si>
  <si>
    <t>18N</t>
  </si>
  <si>
    <t>19J</t>
  </si>
  <si>
    <t>19N</t>
  </si>
  <si>
    <t>20J</t>
  </si>
  <si>
    <t>20N</t>
  </si>
  <si>
    <t>21J</t>
  </si>
  <si>
    <t>21N</t>
  </si>
  <si>
    <t>22J</t>
  </si>
  <si>
    <t>22N</t>
  </si>
  <si>
    <t>23N</t>
  </si>
  <si>
    <t>24J</t>
  </si>
  <si>
    <t>24N</t>
  </si>
  <si>
    <t>25J</t>
  </si>
  <si>
    <t>25N</t>
  </si>
  <si>
    <t>26N</t>
  </si>
  <si>
    <t>27N</t>
  </si>
  <si>
    <t>28J</t>
  </si>
  <si>
    <t>28N</t>
  </si>
  <si>
    <t>29N</t>
  </si>
  <si>
    <t>31N</t>
  </si>
  <si>
    <t>32N</t>
  </si>
  <si>
    <t>36N</t>
  </si>
  <si>
    <t>37N</t>
  </si>
  <si>
    <t>38N</t>
  </si>
  <si>
    <t>39N</t>
  </si>
  <si>
    <t>40N</t>
  </si>
  <si>
    <t>42N</t>
  </si>
  <si>
    <t>43N</t>
  </si>
  <si>
    <t>44N</t>
  </si>
  <si>
    <t>46N</t>
  </si>
  <si>
    <t>47N</t>
  </si>
  <si>
    <t>48N</t>
  </si>
  <si>
    <t>49N</t>
  </si>
  <si>
    <t>51N</t>
  </si>
  <si>
    <t xml:space="preserve">           DQ RH00008</t>
  </si>
  <si>
    <t>Nom:</t>
  </si>
  <si>
    <t>debut</t>
  </si>
  <si>
    <t>fin</t>
  </si>
  <si>
    <t>Services</t>
  </si>
  <si>
    <t>16N</t>
  </si>
  <si>
    <t>27J.SD</t>
  </si>
  <si>
    <t>27J.LV</t>
  </si>
  <si>
    <t>40J.SD</t>
  </si>
  <si>
    <t>40J.LV</t>
  </si>
  <si>
    <t>41N.V</t>
  </si>
  <si>
    <t>45N.LV</t>
  </si>
  <si>
    <t>45N.SD</t>
  </si>
  <si>
    <t>41N.C</t>
  </si>
  <si>
    <t>maladie</t>
  </si>
  <si>
    <t>réunion</t>
  </si>
  <si>
    <t>form Quadri</t>
  </si>
  <si>
    <t>form annuel</t>
  </si>
  <si>
    <t>tir</t>
  </si>
  <si>
    <t>récuperations</t>
  </si>
  <si>
    <t>vacances 173</t>
  </si>
  <si>
    <t>vacances 150</t>
  </si>
  <si>
    <t>non</t>
  </si>
  <si>
    <t>majoration dim &amp; JF</t>
  </si>
  <si>
    <t>Horaire de travail</t>
  </si>
  <si>
    <t>Heures travaillées</t>
  </si>
  <si>
    <t>Décompte des heures</t>
  </si>
  <si>
    <t>heures de nuit fin de mois</t>
  </si>
  <si>
    <t>Reportées</t>
  </si>
  <si>
    <t>Résultat</t>
  </si>
  <si>
    <t>Déduites</t>
  </si>
  <si>
    <t>Décomptées</t>
  </si>
  <si>
    <t>Accident</t>
  </si>
  <si>
    <t>JOURS DE VACANCES RESTANTS</t>
  </si>
  <si>
    <t>JOURS DE VACANCES PRIS DANS L'ANNEE</t>
  </si>
  <si>
    <t>JOURS DE VACANCES ACQUIS</t>
  </si>
  <si>
    <t xml:space="preserve">TOTAL DE JOURS MENSUELS TRAVAILLES </t>
  </si>
  <si>
    <t>MAJORATIONS EN hh:mm:ss</t>
  </si>
  <si>
    <t>MAJORATIONS EN CENTIEMES</t>
  </si>
  <si>
    <t>TOTAL HEURES SANS MAJORATION EN hh:mm:ss</t>
  </si>
  <si>
    <t>TOTAL HEURES SANS MAJORATION EN CENTIEMES</t>
  </si>
  <si>
    <t>RECUPERATIONS PRISES DANS L'ANNEE</t>
  </si>
  <si>
    <t>PRIS</t>
  </si>
  <si>
    <t>CCT PRIS DANS L'ANNEE</t>
  </si>
  <si>
    <t xml:space="preserve">Janvier </t>
  </si>
  <si>
    <t>Nouvel an 2019</t>
  </si>
  <si>
    <t>Vendredi Saint 2019</t>
  </si>
  <si>
    <t>Lundi de paques 2019</t>
  </si>
  <si>
    <t>Nouvel An 2019</t>
  </si>
  <si>
    <t>Lundi de Pâques 2019</t>
  </si>
  <si>
    <t>Jeudi ascension 2019</t>
  </si>
  <si>
    <t>Lundi de pentecote 2019</t>
  </si>
  <si>
    <t>Fete nationale 2019</t>
  </si>
  <si>
    <t>jeune Genevois 2019</t>
  </si>
  <si>
    <t>Noel 2019</t>
  </si>
  <si>
    <t>Restauration république 2019</t>
  </si>
  <si>
    <t>Nouvel An 2020</t>
  </si>
  <si>
    <t>Vendredi Saint 2020</t>
  </si>
  <si>
    <t>Lundi de Pâques 2020</t>
  </si>
  <si>
    <t>Jeudi ascension 2020</t>
  </si>
  <si>
    <t>Lundi de pentecote 2020</t>
  </si>
  <si>
    <t>Fete nationale 2020</t>
  </si>
  <si>
    <t>jeune Genevois 2020</t>
  </si>
  <si>
    <t>Noel 2020</t>
  </si>
  <si>
    <t>Restauration république 2020</t>
  </si>
  <si>
    <t>Jours de Vacances pris</t>
  </si>
  <si>
    <t>Jours de recuperations pris</t>
  </si>
  <si>
    <t>Jours de CCT pris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</si>
</sst>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  <numFmt numFmtId="168" formatCode="[$-40C]mmmm\-yy;@"/>
    <numFmt numFmtId="169" formatCode="[h]:mm:ss;@"/>
  </numFmts>
  <fonts count="4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Impact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70C0"/>
      <name val="Arial"/>
      <family val="2"/>
    </font>
    <font>
      <b/>
      <sz val="12"/>
      <color rgb="FF0070C0"/>
      <name val="Arial"/>
      <family val="2"/>
    </font>
    <font>
      <sz val="12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theme="1"/>
      <name val="Arial"/>
      <family val="2"/>
    </font>
    <font>
      <sz val="18"/>
      <color rgb="FFFF0000"/>
      <name val="Calibri"/>
      <family val="2"/>
    </font>
    <font>
      <sz val="14"/>
      <color rgb="FFFF0000"/>
      <name val="Calibri"/>
      <family val="2"/>
    </font>
    <font>
      <sz val="10"/>
      <name val="Calibri"/>
      <family val="2"/>
      <scheme val="minor"/>
    </font>
    <font>
      <b/>
      <sz val="10"/>
      <name val="Arial"/>
      <family val="2"/>
    </font>
    <font>
      <b/>
      <sz val="16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u/>
      <sz val="10"/>
      <color rgb="FF0070C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/>
      <bottom style="thin">
        <color rgb="FFFFFF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28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5" fontId="3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165" fontId="12" fillId="2" borderId="1" xfId="0" applyNumberFormat="1" applyFont="1" applyFill="1" applyBorder="1" applyAlignment="1" applyProtection="1">
      <alignment horizontal="center" vertical="center"/>
      <protection locked="0"/>
    </xf>
    <xf numFmtId="165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/>
    <xf numFmtId="0" fontId="1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11" fillId="0" borderId="11" xfId="0" applyFont="1" applyBorder="1" applyAlignment="1" applyProtection="1">
      <alignment vertical="center"/>
    </xf>
    <xf numFmtId="0" fontId="15" fillId="0" borderId="13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left"/>
    </xf>
    <xf numFmtId="0" fontId="15" fillId="0" borderId="14" xfId="0" applyFont="1" applyBorder="1" applyAlignment="1" applyProtection="1">
      <alignment horizontal="center"/>
    </xf>
    <xf numFmtId="0" fontId="11" fillId="0" borderId="16" xfId="0" applyFont="1" applyBorder="1" applyAlignment="1" applyProtection="1">
      <alignment horizontal="left"/>
    </xf>
    <xf numFmtId="0" fontId="11" fillId="0" borderId="17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  <xf numFmtId="0" fontId="1" fillId="5" borderId="5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43" fontId="3" fillId="5" borderId="1" xfId="1" applyFont="1" applyFill="1" applyBorder="1" applyAlignment="1" applyProtection="1">
      <alignment horizontal="center" vertical="center"/>
    </xf>
    <xf numFmtId="43" fontId="3" fillId="0" borderId="1" xfId="1" applyFont="1" applyFill="1" applyBorder="1" applyAlignment="1" applyProtection="1">
      <alignment horizontal="center" vertical="center"/>
    </xf>
    <xf numFmtId="167" fontId="3" fillId="3" borderId="1" xfId="0" applyNumberFormat="1" applyFont="1" applyFill="1" applyBorder="1" applyAlignment="1" applyProtection="1">
      <alignment horizontal="center" vertical="center"/>
    </xf>
    <xf numFmtId="43" fontId="3" fillId="3" borderId="1" xfId="1" applyFont="1" applyFill="1" applyBorder="1" applyAlignment="1" applyProtection="1">
      <alignment horizontal="center" vertical="center"/>
    </xf>
    <xf numFmtId="43" fontId="3" fillId="3" borderId="3" xfId="1" applyFont="1" applyFill="1" applyBorder="1" applyAlignment="1" applyProtection="1">
      <alignment horizontal="center" vertical="center"/>
    </xf>
    <xf numFmtId="43" fontId="3" fillId="0" borderId="7" xfId="1" applyFont="1" applyFill="1" applyBorder="1" applyAlignment="1" applyProtection="1">
      <alignment horizontal="center" vertical="center"/>
    </xf>
    <xf numFmtId="167" fontId="3" fillId="3" borderId="7" xfId="0" applyNumberFormat="1" applyFont="1" applyFill="1" applyBorder="1" applyAlignment="1" applyProtection="1">
      <alignment horizontal="center" vertical="center"/>
    </xf>
    <xf numFmtId="43" fontId="3" fillId="3" borderId="7" xfId="1" applyFont="1" applyFill="1" applyBorder="1" applyAlignment="1" applyProtection="1">
      <alignment horizontal="center" vertical="center"/>
    </xf>
    <xf numFmtId="43" fontId="3" fillId="3" borderId="8" xfId="1" applyFont="1" applyFill="1" applyBorder="1" applyAlignment="1" applyProtection="1">
      <alignment horizontal="center" vertical="center"/>
    </xf>
    <xf numFmtId="43" fontId="12" fillId="5" borderId="1" xfId="1" applyNumberFormat="1" applyFont="1" applyFill="1" applyBorder="1" applyAlignment="1" applyProtection="1">
      <alignment horizontal="center" vertical="center"/>
    </xf>
    <xf numFmtId="43" fontId="12" fillId="0" borderId="1" xfId="1" applyNumberFormat="1" applyFont="1" applyFill="1" applyBorder="1" applyAlignment="1" applyProtection="1">
      <alignment horizontal="center" vertical="center"/>
    </xf>
    <xf numFmtId="167" fontId="12" fillId="3" borderId="3" xfId="0" applyNumberFormat="1" applyFont="1" applyFill="1" applyBorder="1" applyAlignment="1" applyProtection="1">
      <alignment horizontal="center" vertical="center"/>
    </xf>
    <xf numFmtId="167" fontId="12" fillId="3" borderId="30" xfId="0" applyNumberFormat="1" applyFont="1" applyFill="1" applyBorder="1" applyAlignment="1" applyProtection="1">
      <alignment horizontal="center" vertical="center"/>
    </xf>
    <xf numFmtId="43" fontId="12" fillId="3" borderId="30" xfId="1" applyNumberFormat="1" applyFont="1" applyFill="1" applyBorder="1" applyAlignment="1" applyProtection="1">
      <alignment horizontal="center" vertical="center"/>
    </xf>
    <xf numFmtId="43" fontId="12" fillId="5" borderId="7" xfId="1" applyNumberFormat="1" applyFont="1" applyFill="1" applyBorder="1" applyAlignment="1" applyProtection="1">
      <alignment horizontal="center" vertical="center"/>
    </xf>
    <xf numFmtId="43" fontId="12" fillId="0" borderId="7" xfId="1" applyNumberFormat="1" applyFont="1" applyFill="1" applyBorder="1" applyAlignment="1" applyProtection="1">
      <alignment horizontal="center" vertical="center"/>
    </xf>
    <xf numFmtId="167" fontId="12" fillId="3" borderId="8" xfId="0" applyNumberFormat="1" applyFont="1" applyFill="1" applyBorder="1" applyAlignment="1" applyProtection="1">
      <alignment horizontal="center" vertical="center"/>
    </xf>
    <xf numFmtId="167" fontId="12" fillId="3" borderId="9" xfId="0" applyNumberFormat="1" applyFont="1" applyFill="1" applyBorder="1" applyAlignment="1" applyProtection="1">
      <alignment horizontal="center" vertical="center"/>
    </xf>
    <xf numFmtId="43" fontId="12" fillId="3" borderId="9" xfId="1" applyNumberFormat="1" applyFont="1" applyFill="1" applyBorder="1" applyAlignment="1" applyProtection="1">
      <alignment horizontal="center" vertical="center"/>
    </xf>
    <xf numFmtId="43" fontId="3" fillId="5" borderId="1" xfId="1" applyNumberFormat="1" applyFont="1" applyFill="1" applyBorder="1" applyAlignment="1" applyProtection="1">
      <alignment horizontal="center" vertical="center"/>
    </xf>
    <xf numFmtId="43" fontId="3" fillId="0" borderId="1" xfId="1" applyNumberFormat="1" applyFont="1" applyFill="1" applyBorder="1" applyAlignment="1" applyProtection="1">
      <alignment horizontal="center" vertical="center"/>
    </xf>
    <xf numFmtId="167" fontId="3" fillId="3" borderId="3" xfId="0" applyNumberFormat="1" applyFont="1" applyFill="1" applyBorder="1" applyAlignment="1" applyProtection="1">
      <alignment horizontal="center" vertical="center"/>
    </xf>
    <xf numFmtId="167" fontId="3" fillId="3" borderId="30" xfId="0" applyNumberFormat="1" applyFont="1" applyFill="1" applyBorder="1" applyAlignment="1" applyProtection="1">
      <alignment horizontal="center" vertical="center"/>
    </xf>
    <xf numFmtId="43" fontId="3" fillId="3" borderId="30" xfId="1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2" fontId="9" fillId="5" borderId="21" xfId="0" applyNumberFormat="1" applyFont="1" applyFill="1" applyBorder="1" applyAlignment="1" applyProtection="1">
      <alignment horizontal="center" vertical="center"/>
    </xf>
    <xf numFmtId="2" fontId="10" fillId="0" borderId="21" xfId="0" applyNumberFormat="1" applyFont="1" applyBorder="1" applyAlignment="1" applyProtection="1">
      <alignment horizontal="center" vertical="center"/>
    </xf>
    <xf numFmtId="0" fontId="11" fillId="0" borderId="15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 vertical="center"/>
    </xf>
    <xf numFmtId="168" fontId="14" fillId="0" borderId="11" xfId="0" applyNumberFormat="1" applyFont="1" applyBorder="1" applyAlignment="1" applyProtection="1"/>
    <xf numFmtId="0" fontId="0" fillId="2" borderId="1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9" fontId="19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33" xfId="0" applyNumberFormat="1" applyFill="1" applyBorder="1" applyAlignment="1">
      <alignment horizontal="center" vertical="center"/>
    </xf>
    <xf numFmtId="165" fontId="20" fillId="0" borderId="36" xfId="0" applyNumberFormat="1" applyFont="1" applyFill="1" applyBorder="1" applyAlignment="1">
      <alignment horizontal="center" vertical="center"/>
    </xf>
    <xf numFmtId="2" fontId="0" fillId="0" borderId="37" xfId="0" applyNumberFormat="1" applyFill="1" applyBorder="1" applyAlignment="1">
      <alignment horizontal="center" vertical="center"/>
    </xf>
    <xf numFmtId="0" fontId="17" fillId="0" borderId="21" xfId="0" applyFont="1" applyFill="1" applyBorder="1" applyAlignment="1">
      <alignment horizontal="center" vertical="center"/>
    </xf>
    <xf numFmtId="0" fontId="18" fillId="0" borderId="21" xfId="0" applyNumberFormat="1" applyFont="1" applyFill="1" applyBorder="1" applyAlignment="1">
      <alignment horizontal="center" vertical="center"/>
    </xf>
    <xf numFmtId="169" fontId="21" fillId="0" borderId="43" xfId="0" applyNumberFormat="1" applyFont="1" applyFill="1" applyBorder="1" applyAlignment="1">
      <alignment horizontal="center" vertical="center"/>
    </xf>
    <xf numFmtId="2" fontId="18" fillId="0" borderId="44" xfId="0" applyNumberFormat="1" applyFont="1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11" fillId="0" borderId="10" xfId="0" applyFont="1" applyBorder="1" applyAlignment="1" applyProtection="1">
      <alignment vertical="center"/>
    </xf>
    <xf numFmtId="0" fontId="13" fillId="0" borderId="11" xfId="0" applyFont="1" applyBorder="1" applyAlignment="1" applyProtection="1">
      <alignment horizontal="left" vertical="center"/>
    </xf>
    <xf numFmtId="168" fontId="14" fillId="0" borderId="12" xfId="0" applyNumberFormat="1" applyFont="1" applyBorder="1" applyAlignment="1" applyProtection="1"/>
    <xf numFmtId="0" fontId="13" fillId="0" borderId="16" xfId="0" applyFont="1" applyBorder="1" applyAlignment="1" applyProtection="1">
      <alignment horizontal="left" vertical="center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right" indent="1"/>
    </xf>
    <xf numFmtId="166" fontId="3" fillId="0" borderId="1" xfId="0" applyNumberFormat="1" applyFont="1" applyFill="1" applyBorder="1" applyAlignment="1" applyProtection="1">
      <alignment horizontal="center"/>
    </xf>
    <xf numFmtId="166" fontId="3" fillId="3" borderId="1" xfId="0" applyNumberFormat="1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right" indent="1"/>
    </xf>
    <xf numFmtId="0" fontId="16" fillId="7" borderId="1" xfId="0" applyFont="1" applyFill="1" applyBorder="1" applyAlignment="1" applyProtection="1">
      <alignment horizontal="center" vertical="center"/>
    </xf>
    <xf numFmtId="0" fontId="0" fillId="9" borderId="1" xfId="0" applyFill="1" applyBorder="1" applyAlignment="1" applyProtection="1">
      <alignment horizontal="center" vertical="center"/>
    </xf>
    <xf numFmtId="20" fontId="0" fillId="9" borderId="1" xfId="0" applyNumberFormat="1" applyFill="1" applyBorder="1" applyAlignment="1" applyProtection="1">
      <alignment horizontal="center" vertical="center"/>
    </xf>
    <xf numFmtId="0" fontId="0" fillId="9" borderId="7" xfId="0" applyFill="1" applyBorder="1" applyAlignment="1" applyProtection="1">
      <alignment horizontal="center" vertical="center"/>
    </xf>
    <xf numFmtId="20" fontId="0" fillId="9" borderId="7" xfId="0" applyNumberFormat="1" applyFill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vertical="center"/>
      <protection locked="0"/>
    </xf>
    <xf numFmtId="0" fontId="13" fillId="0" borderId="16" xfId="0" applyFont="1" applyBorder="1" applyAlignment="1" applyProtection="1">
      <alignment horizontal="left" vertical="center"/>
      <protection locked="0"/>
    </xf>
    <xf numFmtId="169" fontId="20" fillId="0" borderId="38" xfId="0" applyNumberFormat="1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/>
    </xf>
    <xf numFmtId="0" fontId="8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left" vertical="center"/>
    </xf>
    <xf numFmtId="0" fontId="16" fillId="7" borderId="0" xfId="0" applyFont="1" applyFill="1" applyAlignment="1" applyProtection="1">
      <alignment horizontal="center" vertical="center"/>
    </xf>
    <xf numFmtId="20" fontId="16" fillId="7" borderId="0" xfId="0" applyNumberFormat="1" applyFont="1" applyFill="1" applyAlignment="1" applyProtection="1">
      <alignment horizontal="center" vertical="center"/>
    </xf>
    <xf numFmtId="20" fontId="16" fillId="7" borderId="1" xfId="0" applyNumberFormat="1" applyFont="1" applyFill="1" applyBorder="1" applyAlignment="1" applyProtection="1">
      <alignment horizontal="center" vertical="center"/>
    </xf>
    <xf numFmtId="168" fontId="13" fillId="0" borderId="11" xfId="0" applyNumberFormat="1" applyFont="1" applyBorder="1" applyAlignment="1" applyProtection="1"/>
    <xf numFmtId="0" fontId="0" fillId="6" borderId="7" xfId="0" applyFill="1" applyBorder="1" applyAlignment="1" applyProtection="1">
      <alignment horizontal="center" vertical="center"/>
    </xf>
    <xf numFmtId="20" fontId="0" fillId="6" borderId="7" xfId="0" applyNumberFormat="1" applyFill="1" applyBorder="1" applyAlignment="1" applyProtection="1">
      <alignment horizontal="center" vertical="center"/>
    </xf>
    <xf numFmtId="165" fontId="25" fillId="0" borderId="1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</xf>
    <xf numFmtId="168" fontId="14" fillId="0" borderId="0" xfId="0" applyNumberFormat="1" applyFont="1" applyBorder="1" applyAlignment="1" applyProtection="1"/>
    <xf numFmtId="0" fontId="15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 vertical="center" wrapText="1"/>
    </xf>
    <xf numFmtId="43" fontId="3" fillId="0" borderId="3" xfId="1" applyNumberFormat="1" applyFont="1" applyFill="1" applyBorder="1" applyAlignment="1" applyProtection="1">
      <alignment horizontal="center" vertical="center"/>
    </xf>
    <xf numFmtId="43" fontId="3" fillId="0" borderId="8" xfId="1" applyNumberFormat="1" applyFont="1" applyFill="1" applyBorder="1" applyAlignment="1" applyProtection="1">
      <alignment horizontal="center" vertical="center"/>
    </xf>
    <xf numFmtId="2" fontId="10" fillId="0" borderId="0" xfId="0" applyNumberFormat="1" applyFont="1" applyBorder="1" applyAlignment="1" applyProtection="1">
      <alignment horizontal="center" vertical="center"/>
    </xf>
    <xf numFmtId="43" fontId="12" fillId="0" borderId="3" xfId="1" applyNumberFormat="1" applyFont="1" applyFill="1" applyBorder="1" applyAlignment="1" applyProtection="1">
      <alignment horizontal="center" vertical="center"/>
    </xf>
    <xf numFmtId="43" fontId="12" fillId="0" borderId="8" xfId="1" applyNumberFormat="1" applyFont="1" applyFill="1" applyBorder="1" applyAlignment="1" applyProtection="1">
      <alignment horizontal="center" vertical="center"/>
    </xf>
    <xf numFmtId="0" fontId="0" fillId="0" borderId="0" xfId="0" applyNumberFormat="1"/>
    <xf numFmtId="0" fontId="0" fillId="0" borderId="0" xfId="0" applyNumberFormat="1" applyFill="1" applyAlignment="1">
      <alignment horizontal="center" vertical="center" wrapText="1"/>
    </xf>
    <xf numFmtId="2" fontId="0" fillId="0" borderId="0" xfId="0" applyNumberFormat="1"/>
    <xf numFmtId="0" fontId="7" fillId="0" borderId="0" xfId="0" applyFont="1" applyAlignment="1" applyProtection="1">
      <alignment horizontal="left"/>
    </xf>
    <xf numFmtId="0" fontId="26" fillId="0" borderId="0" xfId="0" applyFont="1" applyAlignment="1" applyProtection="1"/>
    <xf numFmtId="0" fontId="0" fillId="6" borderId="7" xfId="0" applyNumberFormat="1" applyFill="1" applyBorder="1" applyAlignment="1" applyProtection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169" fontId="21" fillId="0" borderId="18" xfId="0" applyNumberFormat="1" applyFont="1" applyFill="1" applyBorder="1" applyAlignment="1">
      <alignment horizontal="center" vertical="center"/>
    </xf>
    <xf numFmtId="2" fontId="0" fillId="0" borderId="33" xfId="0" applyNumberFormat="1" applyFill="1" applyBorder="1" applyAlignment="1">
      <alignment horizontal="center" vertical="center"/>
    </xf>
    <xf numFmtId="2" fontId="18" fillId="0" borderId="21" xfId="0" applyNumberFormat="1" applyFont="1" applyFill="1" applyBorder="1" applyAlignment="1">
      <alignment horizontal="center" vertical="center"/>
    </xf>
    <xf numFmtId="0" fontId="32" fillId="0" borderId="32" xfId="0" applyFont="1" applyFill="1" applyBorder="1" applyAlignment="1">
      <alignment horizontal="center" vertical="center" wrapText="1"/>
    </xf>
    <xf numFmtId="0" fontId="33" fillId="0" borderId="34" xfId="0" applyFont="1" applyFill="1" applyBorder="1" applyAlignment="1">
      <alignment horizontal="center" vertical="center" wrapText="1"/>
    </xf>
    <xf numFmtId="0" fontId="32" fillId="0" borderId="35" xfId="0" applyFont="1" applyFill="1" applyBorder="1" applyAlignment="1">
      <alignment horizontal="center" vertical="center" wrapText="1"/>
    </xf>
    <xf numFmtId="0" fontId="32" fillId="0" borderId="46" xfId="0" applyFont="1" applyFill="1" applyBorder="1" applyAlignment="1">
      <alignment horizontal="center" vertical="center" wrapText="1"/>
    </xf>
    <xf numFmtId="0" fontId="34" fillId="0" borderId="33" xfId="0" applyFont="1" applyBorder="1" applyAlignment="1">
      <alignment horizontal="center" vertical="center"/>
    </xf>
    <xf numFmtId="0" fontId="35" fillId="0" borderId="33" xfId="0" applyNumberFormat="1" applyFont="1" applyFill="1" applyBorder="1" applyAlignment="1">
      <alignment horizontal="center" vertical="center"/>
    </xf>
    <xf numFmtId="165" fontId="36" fillId="0" borderId="36" xfId="0" applyNumberFormat="1" applyFont="1" applyFill="1" applyBorder="1" applyAlignment="1">
      <alignment horizontal="center" vertical="center"/>
    </xf>
    <xf numFmtId="2" fontId="35" fillId="0" borderId="37" xfId="0" applyNumberFormat="1" applyFont="1" applyFill="1" applyBorder="1" applyAlignment="1">
      <alignment horizontal="center" vertical="center"/>
    </xf>
    <xf numFmtId="169" fontId="36" fillId="0" borderId="38" xfId="0" applyNumberFormat="1" applyFont="1" applyFill="1" applyBorder="1" applyAlignment="1">
      <alignment horizontal="center" vertical="center"/>
    </xf>
    <xf numFmtId="2" fontId="35" fillId="0" borderId="32" xfId="0" applyNumberFormat="1" applyFont="1" applyFill="1" applyBorder="1" applyAlignment="1">
      <alignment horizontal="center" vertical="center"/>
    </xf>
    <xf numFmtId="2" fontId="35" fillId="0" borderId="33" xfId="0" applyNumberFormat="1" applyFont="1" applyFill="1" applyBorder="1" applyAlignment="1">
      <alignment horizontal="center" vertical="center"/>
    </xf>
    <xf numFmtId="0" fontId="37" fillId="0" borderId="33" xfId="0" applyFont="1" applyFill="1" applyBorder="1" applyAlignment="1">
      <alignment horizontal="center" vertical="center"/>
    </xf>
    <xf numFmtId="0" fontId="37" fillId="0" borderId="37" xfId="0" applyFont="1" applyBorder="1" applyAlignment="1">
      <alignment horizontal="center" vertical="center"/>
    </xf>
    <xf numFmtId="0" fontId="32" fillId="0" borderId="47" xfId="0" applyFont="1" applyFill="1" applyBorder="1" applyAlignment="1">
      <alignment horizontal="center" vertical="center" wrapText="1"/>
    </xf>
    <xf numFmtId="0" fontId="34" fillId="0" borderId="48" xfId="0" applyFont="1" applyBorder="1" applyAlignment="1">
      <alignment horizontal="center" vertical="center"/>
    </xf>
    <xf numFmtId="0" fontId="37" fillId="0" borderId="1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8" fillId="8" borderId="49" xfId="0" applyFont="1" applyFill="1" applyBorder="1" applyAlignment="1">
      <alignment horizontal="center" vertical="center"/>
    </xf>
    <xf numFmtId="0" fontId="39" fillId="8" borderId="49" xfId="0" applyFont="1" applyFill="1" applyBorder="1" applyAlignment="1">
      <alignment horizontal="center" vertical="center"/>
    </xf>
    <xf numFmtId="0" fontId="32" fillId="6" borderId="18" xfId="0" applyFont="1" applyFill="1" applyBorder="1" applyAlignment="1" applyProtection="1">
      <alignment horizontal="center" vertical="center"/>
      <protection locked="0"/>
    </xf>
    <xf numFmtId="0" fontId="30" fillId="8" borderId="50" xfId="0" applyFont="1" applyFill="1" applyBorder="1"/>
    <xf numFmtId="0" fontId="0" fillId="8" borderId="50" xfId="0" applyFill="1" applyBorder="1"/>
    <xf numFmtId="0" fontId="1" fillId="0" borderId="36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29" fillId="8" borderId="50" xfId="0" applyFont="1" applyFill="1" applyBorder="1"/>
    <xf numFmtId="0" fontId="32" fillId="0" borderId="47" xfId="0" applyFont="1" applyBorder="1" applyAlignment="1">
      <alignment horizontal="center" vertical="center" wrapText="1"/>
    </xf>
    <xf numFmtId="0" fontId="18" fillId="0" borderId="33" xfId="0" applyFont="1" applyBorder="1" applyAlignment="1">
      <alignment horizontal="center" vertical="center"/>
    </xf>
    <xf numFmtId="0" fontId="18" fillId="0" borderId="48" xfId="0" applyFont="1" applyBorder="1" applyAlignment="1">
      <alignment horizontal="center" vertical="center"/>
    </xf>
    <xf numFmtId="0" fontId="41" fillId="8" borderId="49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Border="1" applyProtection="1"/>
    <xf numFmtId="0" fontId="0" fillId="0" borderId="1" xfId="0" applyBorder="1" applyAlignment="1" applyProtection="1">
      <alignment horizontal="right" indent="1"/>
    </xf>
    <xf numFmtId="0" fontId="40" fillId="0" borderId="1" xfId="0" applyFont="1" applyBorder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 vertical="center"/>
    </xf>
    <xf numFmtId="0" fontId="40" fillId="0" borderId="5" xfId="0" applyFont="1" applyBorder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40" fillId="10" borderId="43" xfId="0" applyFont="1" applyFill="1" applyBorder="1" applyAlignment="1">
      <alignment horizontal="left" vertical="center"/>
    </xf>
    <xf numFmtId="0" fontId="40" fillId="0" borderId="0" xfId="0" applyFont="1" applyAlignment="1">
      <alignment horizontal="left"/>
    </xf>
    <xf numFmtId="0" fontId="3" fillId="0" borderId="0" xfId="0" applyNumberFormat="1" applyFont="1" applyAlignment="1">
      <alignment horizontal="left"/>
    </xf>
    <xf numFmtId="0" fontId="3" fillId="0" borderId="0" xfId="0" applyNumberFormat="1" applyFont="1" applyFill="1" applyAlignment="1">
      <alignment horizontal="left" vertical="center" wrapText="1"/>
    </xf>
    <xf numFmtId="0" fontId="1" fillId="0" borderId="0" xfId="0" applyNumberFormat="1" applyFont="1"/>
    <xf numFmtId="2" fontId="1" fillId="0" borderId="0" xfId="0" applyNumberFormat="1" applyFont="1"/>
    <xf numFmtId="0" fontId="1" fillId="0" borderId="0" xfId="0" applyNumberFormat="1" applyFont="1" applyFill="1" applyAlignment="1">
      <alignment horizontal="center" vertical="center" wrapText="1"/>
    </xf>
    <xf numFmtId="0" fontId="1" fillId="0" borderId="0" xfId="0" applyFont="1"/>
    <xf numFmtId="0" fontId="1" fillId="0" borderId="0" xfId="0" applyFont="1" applyFill="1" applyAlignment="1">
      <alignment horizontal="center" vertical="center" wrapText="1"/>
    </xf>
    <xf numFmtId="0" fontId="40" fillId="10" borderId="34" xfId="0" applyNumberFormat="1" applyFont="1" applyFill="1" applyBorder="1" applyAlignment="1">
      <alignment horizontal="left" vertical="center"/>
    </xf>
    <xf numFmtId="0" fontId="1" fillId="10" borderId="52" xfId="0" applyNumberFormat="1" applyFont="1" applyFill="1" applyBorder="1" applyAlignment="1">
      <alignment horizontal="center" vertical="center"/>
    </xf>
    <xf numFmtId="0" fontId="1" fillId="10" borderId="35" xfId="0" applyNumberFormat="1" applyFont="1" applyFill="1" applyBorder="1" applyAlignment="1">
      <alignment horizontal="center" vertical="center"/>
    </xf>
    <xf numFmtId="0" fontId="40" fillId="10" borderId="51" xfId="0" applyNumberFormat="1" applyFont="1" applyFill="1" applyBorder="1" applyAlignment="1">
      <alignment horizontal="left" vertical="center"/>
    </xf>
    <xf numFmtId="2" fontId="1" fillId="0" borderId="53" xfId="0" applyNumberFormat="1" applyFont="1" applyBorder="1" applyAlignment="1">
      <alignment horizontal="center" vertical="center"/>
    </xf>
    <xf numFmtId="2" fontId="0" fillId="0" borderId="53" xfId="0" applyNumberFormat="1" applyBorder="1" applyAlignment="1">
      <alignment horizontal="center" vertical="center"/>
    </xf>
    <xf numFmtId="2" fontId="38" fillId="0" borderId="45" xfId="0" applyNumberFormat="1" applyFont="1" applyBorder="1" applyAlignment="1">
      <alignment horizontal="center" vertical="center"/>
    </xf>
    <xf numFmtId="2" fontId="1" fillId="0" borderId="35" xfId="0" applyNumberFormat="1" applyFont="1" applyBorder="1" applyAlignment="1">
      <alignment horizontal="center" vertical="center"/>
    </xf>
    <xf numFmtId="0" fontId="1" fillId="0" borderId="53" xfId="0" applyNumberFormat="1" applyFont="1" applyBorder="1" applyAlignment="1">
      <alignment horizontal="center" vertical="center"/>
    </xf>
    <xf numFmtId="0" fontId="1" fillId="0" borderId="52" xfId="0" applyNumberFormat="1" applyFont="1" applyBorder="1" applyAlignment="1">
      <alignment horizontal="center" vertical="center"/>
    </xf>
    <xf numFmtId="0" fontId="1" fillId="0" borderId="35" xfId="0" applyNumberFormat="1" applyFont="1" applyBorder="1" applyAlignment="1">
      <alignment horizontal="center" vertical="center"/>
    </xf>
    <xf numFmtId="0" fontId="1" fillId="0" borderId="44" xfId="0" applyFont="1" applyBorder="1" applyAlignment="1">
      <alignment horizontal="center"/>
    </xf>
    <xf numFmtId="0" fontId="31" fillId="10" borderId="1" xfId="0" applyFont="1" applyFill="1" applyBorder="1" applyAlignment="1">
      <alignment horizontal="center" vertical="center" wrapText="1"/>
    </xf>
    <xf numFmtId="0" fontId="31" fillId="10" borderId="1" xfId="0" applyFont="1" applyFill="1" applyBorder="1" applyAlignment="1">
      <alignment horizontal="center" vertical="center"/>
    </xf>
    <xf numFmtId="0" fontId="32" fillId="0" borderId="10" xfId="0" applyFont="1" applyBorder="1" applyAlignment="1">
      <alignment horizontal="center" vertical="center" wrapText="1"/>
    </xf>
    <xf numFmtId="0" fontId="32" fillId="0" borderId="12" xfId="0" applyFont="1" applyBorder="1" applyAlignment="1">
      <alignment horizontal="center" vertical="center" wrapText="1"/>
    </xf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/>
    </xf>
    <xf numFmtId="0" fontId="11" fillId="0" borderId="31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2" fontId="0" fillId="5" borderId="1" xfId="0" applyNumberFormat="1" applyFont="1" applyFill="1" applyBorder="1" applyAlignment="1" applyProtection="1">
      <alignment horizontal="center" vertical="center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top"/>
    </xf>
    <xf numFmtId="0" fontId="6" fillId="0" borderId="0" xfId="0" applyFont="1" applyAlignment="1" applyProtection="1">
      <alignment horizontal="left" vertical="center" wrapText="1"/>
    </xf>
    <xf numFmtId="0" fontId="8" fillId="0" borderId="0" xfId="0" applyFont="1" applyAlignment="1" applyProtection="1">
      <alignment horizontal="center" vertical="center"/>
    </xf>
    <xf numFmtId="0" fontId="8" fillId="0" borderId="16" xfId="0" applyFont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left"/>
    </xf>
    <xf numFmtId="0" fontId="22" fillId="0" borderId="0" xfId="0" applyFont="1" applyAlignment="1" applyProtection="1">
      <alignment horizontal="left" vertical="center"/>
    </xf>
    <xf numFmtId="0" fontId="0" fillId="0" borderId="24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13" fillId="0" borderId="11" xfId="0" applyFont="1" applyBorder="1" applyAlignment="1" applyProtection="1">
      <alignment horizontal="center" vertical="center"/>
    </xf>
    <xf numFmtId="0" fontId="11" fillId="0" borderId="11" xfId="0" applyFont="1" applyBorder="1" applyAlignment="1" applyProtection="1">
      <alignment horizontal="center" vertical="center"/>
    </xf>
    <xf numFmtId="2" fontId="0" fillId="3" borderId="0" xfId="0" applyNumberFormat="1" applyFill="1"/>
    <xf numFmtId="2" fontId="1" fillId="0" borderId="53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3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protection locked="1" hidden="0"/>
    </dxf>
    <dxf>
      <protection locked="1" hidden="0"/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1303020</xdr:colOff>
          <xdr:row>20</xdr:row>
          <xdr:rowOff>0</xdr:rowOff>
        </xdr:from>
        <xdr:to>
          <xdr:col>8</xdr:col>
          <xdr:colOff>723900</xdr:colOff>
          <xdr:row>21</xdr:row>
          <xdr:rowOff>182880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Impression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7</xdr:row>
          <xdr:rowOff>7620</xdr:rowOff>
        </xdr:from>
        <xdr:to>
          <xdr:col>3</xdr:col>
          <xdr:colOff>746760</xdr:colOff>
          <xdr:row>10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</a:rPr>
                <a:t>REINITIALISATION DU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701040</xdr:colOff>
      <xdr:row>60</xdr:row>
      <xdr:rowOff>137160</xdr:rowOff>
    </xdr:from>
    <xdr:to>
      <xdr:col>10</xdr:col>
      <xdr:colOff>10160</xdr:colOff>
      <xdr:row>67</xdr:row>
      <xdr:rowOff>26670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6621780" y="11109960"/>
          <a:ext cx="4064000" cy="1169670"/>
        </a:xfrm>
        <a:prstGeom prst="wedgeRoundRectCallout">
          <a:avLst>
            <a:gd name="adj1" fmla="val -77835"/>
            <a:gd name="adj2" fmla="val -2054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pas la peine de mettre de</a:t>
          </a:r>
          <a:r>
            <a:rPr lang="fr-FR" sz="1100" baseline="0"/>
            <a:t> RESERVE </a:t>
          </a:r>
        </a:p>
        <a:p>
          <a:pPr algn="l"/>
          <a:r>
            <a:rPr lang="fr-FR" sz="1100" baseline="0"/>
            <a:t>j'ai mis en tableau, les nouveaux éléments seront pris en compte automatiquement jusqu'a la ligne A91</a:t>
          </a:r>
        </a:p>
        <a:p>
          <a:pPr algn="l"/>
          <a:r>
            <a:rPr lang="fr-FR" sz="1100" baseline="0"/>
            <a:t>Si NON mis dans la colonne les majorations Dim et JF ne seront pas prise en compte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723900</xdr:colOff>
          <xdr:row>0</xdr:row>
          <xdr:rowOff>106680</xdr:rowOff>
        </xdr:from>
        <xdr:to>
          <xdr:col>10</xdr:col>
          <xdr:colOff>0</xdr:colOff>
          <xdr:row>3</xdr:row>
          <xdr:rowOff>220980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297180</xdr:colOff>
          <xdr:row>0</xdr:row>
          <xdr:rowOff>83820</xdr:rowOff>
        </xdr:from>
        <xdr:to>
          <xdr:col>21</xdr:col>
          <xdr:colOff>312420</xdr:colOff>
          <xdr:row>3</xdr:row>
          <xdr:rowOff>213360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472440</xdr:colOff>
          <xdr:row>0</xdr:row>
          <xdr:rowOff>99060</xdr:rowOff>
        </xdr:from>
        <xdr:to>
          <xdr:col>9</xdr:col>
          <xdr:colOff>1264920</xdr:colOff>
          <xdr:row>3</xdr:row>
          <xdr:rowOff>213360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480060</xdr:colOff>
          <xdr:row>0</xdr:row>
          <xdr:rowOff>83820</xdr:rowOff>
        </xdr:from>
        <xdr:to>
          <xdr:col>9</xdr:col>
          <xdr:colOff>1264920</xdr:colOff>
          <xdr:row>3</xdr:row>
          <xdr:rowOff>198120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472440</xdr:colOff>
          <xdr:row>0</xdr:row>
          <xdr:rowOff>83820</xdr:rowOff>
        </xdr:from>
        <xdr:to>
          <xdr:col>9</xdr:col>
          <xdr:colOff>1264920</xdr:colOff>
          <xdr:row>3</xdr:row>
          <xdr:rowOff>198120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480060</xdr:colOff>
          <xdr:row>0</xdr:row>
          <xdr:rowOff>83820</xdr:rowOff>
        </xdr:from>
        <xdr:to>
          <xdr:col>9</xdr:col>
          <xdr:colOff>1272540</xdr:colOff>
          <xdr:row>3</xdr:row>
          <xdr:rowOff>198120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480060</xdr:colOff>
          <xdr:row>0</xdr:row>
          <xdr:rowOff>76200</xdr:rowOff>
        </xdr:from>
        <xdr:to>
          <xdr:col>9</xdr:col>
          <xdr:colOff>1264920</xdr:colOff>
          <xdr:row>3</xdr:row>
          <xdr:rowOff>198120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449580</xdr:colOff>
          <xdr:row>0</xdr:row>
          <xdr:rowOff>83820</xdr:rowOff>
        </xdr:from>
        <xdr:to>
          <xdr:col>9</xdr:col>
          <xdr:colOff>1234440</xdr:colOff>
          <xdr:row>3</xdr:row>
          <xdr:rowOff>198120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480060</xdr:colOff>
          <xdr:row>0</xdr:row>
          <xdr:rowOff>83820</xdr:rowOff>
        </xdr:from>
        <xdr:to>
          <xdr:col>9</xdr:col>
          <xdr:colOff>1264920</xdr:colOff>
          <xdr:row>3</xdr:row>
          <xdr:rowOff>198120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0</xdr:row>
          <xdr:rowOff>99060</xdr:rowOff>
        </xdr:from>
        <xdr:to>
          <xdr:col>9</xdr:col>
          <xdr:colOff>1280160</xdr:colOff>
          <xdr:row>3</xdr:row>
          <xdr:rowOff>213360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480060</xdr:colOff>
          <xdr:row>0</xdr:row>
          <xdr:rowOff>68580</xdr:rowOff>
        </xdr:from>
        <xdr:to>
          <xdr:col>9</xdr:col>
          <xdr:colOff>1272540</xdr:colOff>
          <xdr:row>3</xdr:row>
          <xdr:rowOff>190500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487680</xdr:colOff>
          <xdr:row>0</xdr:row>
          <xdr:rowOff>53340</xdr:rowOff>
        </xdr:from>
        <xdr:to>
          <xdr:col>9</xdr:col>
          <xdr:colOff>1272540</xdr:colOff>
          <xdr:row>3</xdr:row>
          <xdr:rowOff>175260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des" displayName="Codes" ref="A22:D78" totalsRowShown="0" headerRowDxfId="324" dataDxfId="323" tableBorderDxfId="322">
  <autoFilter ref="A22:D78"/>
  <sortState ref="A23:C71">
    <sortCondition ref="A22:A71"/>
  </sortState>
  <tableColumns count="4">
    <tableColumn id="1" name="Services" dataDxfId="321"/>
    <tableColumn id="2" name="debut" dataDxfId="320"/>
    <tableColumn id="3" name="fin" dataDxfId="319"/>
    <tableColumn id="4" name="majoration dim &amp; JF" dataDxfId="318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5" name="H_Janv" displayName="H_Janv" ref="A12:T49" totalsRowShown="0" headerRowDxfId="317" dataDxfId="315" headerRowBorderDxfId="316" tableBorderDxfId="314" totalsRowBorderDxfId="313">
  <autoFilter ref="A12:T49"/>
  <tableColumns count="20">
    <tableColumn id="1" name="Date" dataDxfId="312"/>
    <tableColumn id="2" name="Service" dataDxfId="311"/>
    <tableColumn id="3" name="début" dataDxfId="310"/>
    <tableColumn id="4" name="Fin" dataDxfId="309"/>
    <tableColumn id="5" name="PP Début" dataDxfId="308"/>
    <tableColumn id="6" name="PP Fin" dataDxfId="307"/>
    <tableColumn id="7" name="PNP Début" dataDxfId="306"/>
    <tableColumn id="8" name="PNP Fin" dataDxfId="305"/>
    <tableColumn id="10" name="Majoration" dataDxfId="304" dataCellStyle="Milliers">
      <calculatedColumnFormula>0.1*(H_Janv[[#This Row],[Heures de nuit]]+IF(H_Janv[[#This Row],[majoration dim &amp; JF]]="non",0,H_Janv[[#This Row],[heures jour dimanche]]+H_Janv[[#This Row],[heures jour fériés]]))</calculatedColumnFormula>
    </tableColumn>
    <tableColumn id="9" name="Heures totales payées" dataDxfId="303" dataCellStyle="Milliers">
      <calculatedColumnFormula>(MOD(H_Janv[[#This Row],[Fin]]-H_Janv[[#This Row],[début]],1)-MOD(H_Janv[[#This Row],[PNP Fin]]-H_Janv[[#This Row],[PNP Début]],1))*24</calculatedColumnFormula>
    </tableColumn>
    <tableColumn id="21" name="majoration dim &amp; JF" dataDxfId="302" dataCellStyle="Milliers">
      <calculatedColumnFormula>IFERROR(VLOOKUP(H_Janv[[#This Row],[Service]],Codes[],4,0),"")</calculatedColumnFormula>
    </tableColumn>
    <tableColumn id="15" name="PNP Début corrigé" dataDxfId="301">
      <calculatedColumnFormula>IF(H_Janv[[#This Row],[PNP Début]]=0,0,IF(H_Janv[[#This Row],[PNP Début]]&lt;H_Janv[[#This Row],[début]],1,0)+H_Janv[[#This Row],[PNP Début]])</calculatedColumnFormula>
    </tableColumn>
    <tableColumn id="16" name="PNP Fin corrigée" dataDxfId="300">
      <calculatedColumnFormula>IF(H_Janv[[#This Row],[PNP Fin]]=0,0,IF(H_Janv[[#This Row],[PNP Fin]]&lt;H_Janv[[#This Row],[début]],1,0)+H_Janv[[#This Row],[PNP Fin]])</calculatedColumnFormula>
    </tableColumn>
    <tableColumn id="14" name="Fin corrigée si nuit" dataDxfId="299">
      <calculatedColumnFormula>IF(H_Janv[[#This Row],[Fin]]&lt;H_Janv[[#This Row],[début]],1,0)+H_Janv[[#This Row],[Fin]]</calculatedColumnFormula>
    </tableColumn>
    <tableColumn id="13" name="Heures de nuit" dataDxfId="298" dataCellStyle="Milliers">
      <calculatedColumnFormula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calculatedColumnFormula>
    </tableColumn>
    <tableColumn id="17" name="Heures de nuit hors PNP" dataDxfId="297" dataCellStyle="Milliers">
      <calculatedColumnFormula>(MAX(0,MIN(H_Janv[[#This Row],[Fin corrigée si nuit]],fin_nuit)-MAX(H_Janv[[#This Row],[début]],deb_nuit))-IF(H_Janv[[#This Row],[PNP Début]]=0,0,MIN(H_Janv[[#This Row],[PNP Fin corrigée]],fin_nuit)-MAX(H_Janv[[#This Row],[PNP Début corrigé]],deb_nuit)))*24</calculatedColumnFormula>
    </tableColumn>
    <tableColumn id="18" name="heures jour dimanche" dataDxfId="296" dataCellStyle="Milliers">
      <calculatedColumnFormula>(IF(WEEKDAY(H_Janv[[#This Row],[Date]],2)=7,MAX(0,MIN(fin_dimJF,H_Janv[[#This Row],[Fin corrigée si nuit]])-MAX(deb_dimJF,H_Janv[[#This Row],[début]])),0)+IF(WEEKDAY(H_Janv[[#This Row],[Date]],2)=6,MAX(0,H_Janv[[#This Row],[Fin corrigée si nuit]]-(1+deb_dimJF)),0))*24</calculatedColumnFormula>
    </tableColumn>
    <tableColumn id="11" name="heures jour dimanche hors PNP" dataDxfId="295" dataCellStyle="Milliers">
      <calculatedColumnFormula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calculatedColumnFormula>
    </tableColumn>
    <tableColumn id="19" name="heures jour fériés" dataDxfId="294" dataCellStyle="Milliers">
      <calculatedColumnFormula>(IF(COUNTIF(JF,H_Janv[[#This Row],[Date]]),MAX(0,MIN(fin_dimJF,H_Janv[[#This Row],[Fin corrigée si nuit]])-MAX(deb_dimJF,H_Janv[[#This Row],[début]])),0)+IF(COUNTIF(JF,H_Janv[[#This Row],[Date]]+1),MAX(0,H_Janv[[#This Row],[Fin corrigée si nuit]]-(1+deb_dimJF)),0))*24</calculatedColumnFormula>
    </tableColumn>
    <tableColumn id="12" name="heures jour fériés hors PNP" dataDxfId="293" dataCellStyle="Milliers">
      <calculatedColumnFormula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6" name="H_Fev" displayName="H_Fev" ref="A12:T49" totalsRowShown="0" headerRowDxfId="291" dataDxfId="289" headerRowBorderDxfId="290" tableBorderDxfId="288" totalsRowBorderDxfId="287">
  <autoFilter ref="A12:T49"/>
  <tableColumns count="20">
    <tableColumn id="1" name="Date" dataDxfId="286"/>
    <tableColumn id="2" name="Service" dataDxfId="285"/>
    <tableColumn id="3" name="début" dataDxfId="284"/>
    <tableColumn id="4" name="Fin" dataDxfId="283"/>
    <tableColumn id="5" name="PP Début" dataDxfId="282"/>
    <tableColumn id="6" name="PP Fin" dataDxfId="281"/>
    <tableColumn id="7" name="PNP Début" dataDxfId="280"/>
    <tableColumn id="8" name="PNP Fin" dataDxfId="279"/>
    <tableColumn id="10" name="Majoration" dataDxfId="278" dataCellStyle="Milliers">
      <calculatedColumnFormula>0.1*(H_Fev[[#This Row],[Heures de nuit]]+IF(H_Fev[[#This Row],[majoration dim &amp; JF]]="non",0,H_Fev[[#This Row],[heures jour dimanche]]+H_Fev[[#This Row],[heures jour fériés]]))</calculatedColumnFormula>
    </tableColumn>
    <tableColumn id="9" name="Heures totales payées" dataDxfId="277" dataCellStyle="Milliers">
      <calculatedColumnFormula>(MOD(H_Fev[[#This Row],[Fin]]-H_Fev[[#This Row],[début]],1)-MOD(H_Fev[[#This Row],[PNP Fin]]-H_Fev[[#This Row],[PNP Début]],1))*24</calculatedColumnFormula>
    </tableColumn>
    <tableColumn id="20" name="majoration dim &amp; JF" dataDxfId="276" dataCellStyle="Milliers">
      <calculatedColumnFormula>IFERROR(VLOOKUP(H_Fev[[#This Row],[Service]],Codes[],4,0),"")</calculatedColumnFormula>
    </tableColumn>
    <tableColumn id="15" name="PNP Début corrigé" dataDxfId="275">
      <calculatedColumnFormula>IF(H_Fev[[#This Row],[PNP Début]]=0,0,IF(H_Fev[[#This Row],[PNP Début]]&lt;H_Fev[[#This Row],[début]],1,0)+H_Fev[[#This Row],[PNP Début]])</calculatedColumnFormula>
    </tableColumn>
    <tableColumn id="16" name="PNP Fin corrigée" dataDxfId="274">
      <calculatedColumnFormula>IF(H_Fev[[#This Row],[PNP Fin]]=0,0,IF(H_Fev[[#This Row],[PNP Fin]]&lt;H_Fev[[#This Row],[début]],1,0)+H_Fev[[#This Row],[PNP Fin]])</calculatedColumnFormula>
    </tableColumn>
    <tableColumn id="14" name="Fin corrigée si nuit" dataDxfId="273">
      <calculatedColumnFormula>IF(H_Fev[[#This Row],[Fin]]&lt;H_Fev[[#This Row],[début]],1,0)+H_Fev[[#This Row],[Fin]]</calculatedColumnFormula>
    </tableColumn>
    <tableColumn id="13" name="Heures de nuit" dataDxfId="272" dataCellStyle="Milliers">
      <calculatedColumnFormula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calculatedColumnFormula>
    </tableColumn>
    <tableColumn id="17" name="Heures de nuit hors PNP" dataDxfId="271" dataCellStyle="Milliers">
      <calculatedColumnFormula>(MAX(0,MIN(H_Fev[[#This Row],[Fin corrigée si nuit]],fin_nuit)-MAX(H_Fev[[#This Row],[début]],deb_nuit))-IF(H_Fev[[#This Row],[PNP Début]]=0,0,MIN(H_Fev[[#This Row],[PNP Fin corrigée]],fin_nuit)-MAX(H_Fev[[#This Row],[PNP Début corrigé]],deb_nuit)))*24</calculatedColumnFormula>
    </tableColumn>
    <tableColumn id="18" name="heures jour dimanche" dataDxfId="270" dataCellStyle="Milliers">
      <calculatedColumnFormula>(IF(WEEKDAY(H_Fev[[#This Row],[Date]],2)=7,MAX(0,MIN(fin_dimJF,H_Fev[[#This Row],[Fin corrigée si nuit]])-MAX(deb_dimJF,H_Fev[[#This Row],[début]])),0)+IF(WEEKDAY(H_Fev[[#This Row],[Date]],2)=6,MAX(0,H_Fev[[#This Row],[Fin corrigée si nuit]]-(1+deb_dimJF)),0))*24</calculatedColumnFormula>
    </tableColumn>
    <tableColumn id="11" name="heures jour dimanche hors PNP" dataDxfId="269" dataCellStyle="Milliers">
      <calculatedColumnFormula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calculatedColumnFormula>
    </tableColumn>
    <tableColumn id="19" name="heures jour fériés" dataDxfId="268" dataCellStyle="Milliers">
      <calculatedColumnFormula>(IF(COUNTIF(JF,H_Fev[[#This Row],[Date]]),MAX(0,MIN(fin_dimJF,H_Fev[[#This Row],[Fin corrigée si nuit]])-MAX(deb_dimJF,H_Fev[[#This Row],[début]])),0)+IF(COUNTIF(JF,H_Fev[[#This Row],[Date]]+1),MAX(0,H_Fev[[#This Row],[Fin corrigée si nuit]]-(1+deb_dimJF)),0))*24</calculatedColumnFormula>
    </tableColumn>
    <tableColumn id="12" name="heures jour fériés hors PNP" dataDxfId="267" dataCellStyle="Milliers">
      <calculatedColumnFormula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H_Mars" displayName="H_Mars" ref="A12:T49" totalsRowShown="0" headerRowDxfId="265" dataDxfId="263" headerRowBorderDxfId="264" tableBorderDxfId="262" totalsRowBorderDxfId="261">
  <autoFilter ref="A12:T49"/>
  <sortState ref="A13:S49">
    <sortCondition ref="A13"/>
  </sortState>
  <tableColumns count="20">
    <tableColumn id="1" name="Date" dataDxfId="260"/>
    <tableColumn id="2" name="Service" dataDxfId="259"/>
    <tableColumn id="3" name="début" dataDxfId="258"/>
    <tableColumn id="4" name="Fin" dataDxfId="257"/>
    <tableColumn id="5" name="PP Début" dataDxfId="256"/>
    <tableColumn id="6" name="PP Fin" dataDxfId="255"/>
    <tableColumn id="7" name="PNP Début" dataDxfId="254"/>
    <tableColumn id="8" name="PNP Fin" dataDxfId="253"/>
    <tableColumn id="10" name="Majoration" dataDxfId="252" dataCellStyle="Milliers">
      <calculatedColumnFormula>0.1*(H_Mars[[#This Row],[Heures de nuit]]+IF(H_Mars[[#This Row],[majoration dim &amp; JF]]="non",0,H_Mars[[#This Row],[heures jour dimanche]]+H_Mars[[#This Row],[heures jour fériés]]))</calculatedColumnFormula>
    </tableColumn>
    <tableColumn id="9" name="Heures totales payées" dataDxfId="251" dataCellStyle="Milliers">
      <calculatedColumnFormula>(MOD(H_Mars[[#This Row],[Fin]]-H_Mars[[#This Row],[début]],1)-MOD(H_Mars[[#This Row],[PNP Fin]]-H_Mars[[#This Row],[PNP Début]],1))*24</calculatedColumnFormula>
    </tableColumn>
    <tableColumn id="20" name="majoration dim &amp; JF" dataDxfId="250" dataCellStyle="Milliers">
      <calculatedColumnFormula>IFERROR(VLOOKUP(H_Mars[[#This Row],[Service]],Codes[],4,0),"")</calculatedColumnFormula>
    </tableColumn>
    <tableColumn id="15" name="PNP Début corrigé" dataDxfId="249">
      <calculatedColumnFormula>IF(H_Mars[[#This Row],[PNP Début]]=0,0,IF(H_Mars[[#This Row],[PNP Début]]&lt;H_Mars[[#This Row],[début]],1,0)+H_Mars[[#This Row],[PNP Début]])</calculatedColumnFormula>
    </tableColumn>
    <tableColumn id="16" name="PNP Fin corrigée" dataDxfId="248">
      <calculatedColumnFormula>IF(H_Mars[[#This Row],[PNP Fin]]=0,0,IF(H_Mars[[#This Row],[PNP Fin]]&lt;H_Mars[[#This Row],[début]],1,0)+H_Mars[[#This Row],[PNP Fin]])</calculatedColumnFormula>
    </tableColumn>
    <tableColumn id="14" name="Fin corrigée si nuit" dataDxfId="247">
      <calculatedColumnFormula>IF(H_Mars[[#This Row],[Fin]]&lt;H_Mars[[#This Row],[début]],1,0)+H_Mars[[#This Row],[Fin]]</calculatedColumnFormula>
    </tableColumn>
    <tableColumn id="13" name="Heures de nuit" dataDxfId="246" dataCellStyle="Milliers">
      <calculatedColumnFormula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calculatedColumnFormula>
    </tableColumn>
    <tableColumn id="17" name="Heures de nuit hors PNP" dataDxfId="245" dataCellStyle="Milliers">
      <calculatedColumnFormula>(MAX(0,MIN(H_Mars[[#This Row],[Fin corrigée si nuit]],fin_nuit)-MAX(H_Mars[[#This Row],[début]],deb_nuit))-IF(H_Mars[[#This Row],[PNP Début]]=0,0,MIN(H_Mars[[#This Row],[PNP Fin corrigée]],fin_nuit)-MAX(H_Mars[[#This Row],[PNP Début corrigé]],deb_nuit)))*24</calculatedColumnFormula>
    </tableColumn>
    <tableColumn id="18" name="heures jour dimanche" dataDxfId="244" dataCellStyle="Milliers">
      <calculatedColumnFormula>(IF(WEEKDAY(H_Mars[[#This Row],[Date]],2)=7,MAX(0,MIN(fin_dimJF,H_Mars[[#This Row],[Fin corrigée si nuit]])-MAX(deb_dimJF,H_Mars[[#This Row],[début]])),0)+IF(WEEKDAY(H_Mars[[#This Row],[Date]],2)=6,MAX(0,H_Mars[[#This Row],[Fin corrigée si nuit]]-(1+deb_dimJF)),0))*24</calculatedColumnFormula>
    </tableColumn>
    <tableColumn id="11" name="heures jour dimanche hors PNP" dataDxfId="243" dataCellStyle="Milliers">
      <calculatedColumnFormula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calculatedColumnFormula>
    </tableColumn>
    <tableColumn id="19" name="heures jour fériés" dataDxfId="242" dataCellStyle="Milliers">
      <calculatedColumnFormula>(IF(COUNTIF(JF,H_Mars[[#This Row],[Date]]),MAX(0,MIN(fin_dimJF,H_Mars[[#This Row],[Fin corrigée si nuit]])-MAX(deb_dimJF,H_Mars[[#This Row],[début]])),0)+IF(COUNTIF(JF,H_Mars[[#This Row],[Date]]+1),MAX(0,H_Mars[[#This Row],[Fin corrigée si nuit]]-(1+deb_dimJF)),0))*24</calculatedColumnFormula>
    </tableColumn>
    <tableColumn id="12" name="heures jour fériés hors PNP" dataDxfId="241" dataCellStyle="Milliers">
      <calculatedColumnFormula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H_Avr" displayName="H_Avr" ref="A12:T49" totalsRowShown="0" headerRowDxfId="239" dataDxfId="237" headerRowBorderDxfId="238" tableBorderDxfId="236" totalsRowBorderDxfId="235">
  <autoFilter ref="A12:T49"/>
  <tableColumns count="20">
    <tableColumn id="1" name="Date" dataDxfId="234"/>
    <tableColumn id="2" name="Service" dataDxfId="233"/>
    <tableColumn id="3" name="début" dataDxfId="232"/>
    <tableColumn id="4" name="Fin" dataDxfId="231"/>
    <tableColumn id="5" name="PP Début" dataDxfId="230"/>
    <tableColumn id="6" name="PP Fin" dataDxfId="229"/>
    <tableColumn id="7" name="PNP Début" dataDxfId="228"/>
    <tableColumn id="8" name="PNP Fin" dataDxfId="227"/>
    <tableColumn id="10" name="Majoration" dataDxfId="226" dataCellStyle="Milliers">
      <calculatedColumnFormula>0.1*(H_Avr[[#This Row],[Heures de nuit]]+IF(H_Avr[[#This Row],[majoration dim &amp; JF]]="non",0,H_Avr[[#This Row],[heures jour dimanche]]+H_Avr[[#This Row],[heures jour fériés]]))</calculatedColumnFormula>
    </tableColumn>
    <tableColumn id="9" name="Heures totales payées" dataDxfId="225" dataCellStyle="Milliers">
      <calculatedColumnFormula>(MOD(H_Avr[[#This Row],[Fin]]-H_Avr[[#This Row],[début]],1)-MOD(H_Avr[[#This Row],[PNP Fin]]-H_Avr[[#This Row],[PNP Début]],1))*24</calculatedColumnFormula>
    </tableColumn>
    <tableColumn id="20" name="majoration dim &amp; JF" dataDxfId="224" dataCellStyle="Milliers">
      <calculatedColumnFormula>IFERROR(VLOOKUP(H_Avr[[#This Row],[Service]],Codes[],4,0),"")</calculatedColumnFormula>
    </tableColumn>
    <tableColumn id="15" name="PNP Début corrigé" dataDxfId="223">
      <calculatedColumnFormula>IF(H_Avr[[#This Row],[PNP Début]]=0,0,IF(H_Avr[[#This Row],[PNP Début]]&lt;H_Avr[[#This Row],[début]],1,0)+H_Avr[[#This Row],[PNP Début]])</calculatedColumnFormula>
    </tableColumn>
    <tableColumn id="16" name="PNP Fin corrigée" dataDxfId="222">
      <calculatedColumnFormula>IF(H_Avr[[#This Row],[PNP Fin]]=0,0,IF(H_Avr[[#This Row],[PNP Fin]]&lt;H_Avr[[#This Row],[début]],1,0)+H_Avr[[#This Row],[PNP Fin]])</calculatedColumnFormula>
    </tableColumn>
    <tableColumn id="14" name="Fin corrigée si nuit" dataDxfId="221">
      <calculatedColumnFormula>IF(H_Avr[[#This Row],[Fin]]&lt;H_Avr[[#This Row],[début]],1,0)+H_Avr[[#This Row],[Fin]]</calculatedColumnFormula>
    </tableColumn>
    <tableColumn id="13" name="Heures de nuit" dataDxfId="220" dataCellStyle="Milliers">
      <calculatedColumnFormula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calculatedColumnFormula>
    </tableColumn>
    <tableColumn id="17" name="Heures de nuit hors PNP" dataDxfId="219" dataCellStyle="Milliers">
      <calculatedColumnFormula>(MAX(0,MIN(H_Avr[[#This Row],[Fin corrigée si nuit]],fin_nuit)-MAX(H_Avr[[#This Row],[début]],deb_nuit))-IF(H_Avr[[#This Row],[PNP Début]]=0,0,MIN(H_Avr[[#This Row],[PNP Fin corrigée]],fin_nuit)-MAX(H_Avr[[#This Row],[PNP Début corrigé]],deb_nuit)))*24</calculatedColumnFormula>
    </tableColumn>
    <tableColumn id="18" name="heures jour dimanche" dataDxfId="218" dataCellStyle="Milliers">
      <calculatedColumnFormula>(IF(WEEKDAY(H_Avr[[#This Row],[Date]],2)=7,MAX(0,MIN(fin_dimJF,H_Avr[[#This Row],[Fin corrigée si nuit]])-MAX(deb_dimJF,H_Avr[[#This Row],[début]])),0)+IF(WEEKDAY(H_Avr[[#This Row],[Date]],2)=6,MAX(0,H_Avr[[#This Row],[Fin corrigée si nuit]]-(1+deb_dimJF)),0))*24</calculatedColumnFormula>
    </tableColumn>
    <tableColumn id="11" name="heures jour dimanche hors PNP" dataDxfId="217" dataCellStyle="Milliers">
      <calculatedColumnFormula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calculatedColumnFormula>
    </tableColumn>
    <tableColumn id="19" name="heures jour fériés" dataDxfId="216" dataCellStyle="Milliers">
      <calculatedColumnFormula>(IF(COUNTIF(JF,H_Avr[[#This Row],[Date]]),MAX(0,MIN(fin_dimJF,H_Avr[[#This Row],[Fin corrigée si nuit]])-MAX(deb_dimJF,H_Avr[[#This Row],[début]])),0)+IF(COUNTIF(JF,H_Avr[[#This Row],[Date]]+1),MAX(0,H_Avr[[#This Row],[Fin corrigée si nuit]]-(1+deb_dimJF)),0))*24</calculatedColumnFormula>
    </tableColumn>
    <tableColumn id="12" name="heures jour fériés hors PNP" dataDxfId="215" dataCellStyle="Milliers">
      <calculatedColumnFormula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H_Mai" displayName="H_Mai" ref="A12:T49" totalsRowShown="0" headerRowDxfId="213" dataDxfId="211" headerRowBorderDxfId="212" tableBorderDxfId="210" totalsRowBorderDxfId="209">
  <autoFilter ref="A12:T49"/>
  <tableColumns count="20">
    <tableColumn id="1" name="Date" dataDxfId="208"/>
    <tableColumn id="2" name="Service" dataDxfId="207"/>
    <tableColumn id="3" name="début" dataDxfId="206"/>
    <tableColumn id="4" name="Fin" dataDxfId="205"/>
    <tableColumn id="5" name="PP Début" dataDxfId="204"/>
    <tableColumn id="6" name="PP Fin" dataDxfId="203"/>
    <tableColumn id="7" name="PNP Début" dataDxfId="202"/>
    <tableColumn id="8" name="PNP Fin" dataDxfId="201"/>
    <tableColumn id="10" name="Majoration" dataDxfId="200" dataCellStyle="Milliers">
      <calculatedColumnFormula>0.1*(H_Mai[[#This Row],[Heures de nuit]]+IF(H_Mai[[#This Row],[majoration dim &amp; JF]]="non",0,H_Mai[[#This Row],[heures jour dimanche]]+H_Mai[[#This Row],[heures jour fériés]]))</calculatedColumnFormula>
    </tableColumn>
    <tableColumn id="9" name="Heures totales payées" dataDxfId="199" dataCellStyle="Milliers">
      <calculatedColumnFormula>(MOD(H_Mai[[#This Row],[Fin]]-H_Mai[[#This Row],[début]],1)-MOD(H_Mai[[#This Row],[PNP Fin]]-H_Mai[[#This Row],[PNP Début]],1))*24</calculatedColumnFormula>
    </tableColumn>
    <tableColumn id="20" name="majoration dim &amp; JF" dataDxfId="198" dataCellStyle="Milliers">
      <calculatedColumnFormula>IFERROR(VLOOKUP(H_Mai[[#This Row],[Service]],Codes[],4,0),"")</calculatedColumnFormula>
    </tableColumn>
    <tableColumn id="15" name="PNP Début corrigé" dataDxfId="197">
      <calculatedColumnFormula>IF(H_Mai[[#This Row],[PNP Début]]=0,0,IF(H_Mai[[#This Row],[PNP Début]]&lt;H_Mai[[#This Row],[début]],1,0)+H_Mai[[#This Row],[PNP Début]])</calculatedColumnFormula>
    </tableColumn>
    <tableColumn id="16" name="PNP Fin corrigée" dataDxfId="196">
      <calculatedColumnFormula>IF(H_Mai[[#This Row],[PNP Fin]]=0,0,IF(H_Mai[[#This Row],[PNP Fin]]&lt;H_Mai[[#This Row],[début]],1,0)+H_Mai[[#This Row],[PNP Fin]])</calculatedColumnFormula>
    </tableColumn>
    <tableColumn id="14" name="Fin corrigée si nuit" dataDxfId="195">
      <calculatedColumnFormula>IF(H_Mai[[#This Row],[Fin]]&lt;H_Mai[[#This Row],[début]],1,0)+H_Mai[[#This Row],[Fin]]</calculatedColumnFormula>
    </tableColumn>
    <tableColumn id="13" name="Heures de nuit" dataDxfId="194" dataCellStyle="Milliers">
      <calculatedColumnFormula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calculatedColumnFormula>
    </tableColumn>
    <tableColumn id="17" name="Heures de nuit hors PNP" dataDxfId="193" dataCellStyle="Milliers">
      <calculatedColumnFormula>(MAX(0,MIN(H_Mai[[#This Row],[Fin corrigée si nuit]],fin_nuit)-MAX(H_Mai[[#This Row],[début]],deb_nuit))-IF(H_Mai[[#This Row],[PNP Début]]=0,0,MIN(H_Mai[[#This Row],[PNP Fin corrigée]],fin_nuit)-MAX(H_Mai[[#This Row],[PNP Début corrigé]],deb_nuit)))*24</calculatedColumnFormula>
    </tableColumn>
    <tableColumn id="18" name="heures jour dimanche" dataDxfId="192" dataCellStyle="Milliers">
      <calculatedColumnFormula>(IF(WEEKDAY(H_Mai[[#This Row],[Date]],2)=7,MAX(0,MIN(fin_dimJF,H_Mai[[#This Row],[Fin corrigée si nuit]])-MAX(deb_dimJF,H_Mai[[#This Row],[début]])),0)+IF(WEEKDAY(H_Mai[[#This Row],[Date]],2)=6,MAX(0,H_Mai[[#This Row],[Fin corrigée si nuit]]-(1+deb_dimJF)),0))*24</calculatedColumnFormula>
    </tableColumn>
    <tableColumn id="11" name="heures jour dimanche hors PNP" dataDxfId="191" dataCellStyle="Milliers">
      <calculatedColumnFormula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calculatedColumnFormula>
    </tableColumn>
    <tableColumn id="19" name="heures jour fériés" dataDxfId="190" dataCellStyle="Milliers">
      <calculatedColumnFormula>(IF(COUNTIF(JF,H_Mai[[#This Row],[Date]]),MAX(0,MIN(fin_dimJF,H_Mai[[#This Row],[Fin corrigée si nuit]])-MAX(deb_dimJF,H_Mai[[#This Row],[début]])),0)+IF(COUNTIF(JF,H_Mai[[#This Row],[Date]]+1),MAX(0,H_Mai[[#This Row],[Fin corrigée si nuit]]-(1+deb_dimJF)),0))*24</calculatedColumnFormula>
    </tableColumn>
    <tableColumn id="12" name="heures jour fériés hors PNP" dataDxfId="189" dataCellStyle="Milliers">
      <calculatedColumnFormula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H_Juin" displayName="H_Juin" ref="A12:T49" totalsRowShown="0" headerRowDxfId="187" dataDxfId="185" headerRowBorderDxfId="186" tableBorderDxfId="184" totalsRowBorderDxfId="183">
  <autoFilter ref="A12:T49"/>
  <tableColumns count="20">
    <tableColumn id="1" name="Date" dataDxfId="182"/>
    <tableColumn id="2" name="Service" dataDxfId="181"/>
    <tableColumn id="3" name="début" dataDxfId="180"/>
    <tableColumn id="4" name="Fin" dataDxfId="179"/>
    <tableColumn id="5" name="PP Début" dataDxfId="178"/>
    <tableColumn id="6" name="PP Fin" dataDxfId="177"/>
    <tableColumn id="7" name="PNP Début" dataDxfId="176"/>
    <tableColumn id="8" name="PNP Fin" dataDxfId="175"/>
    <tableColumn id="10" name="Majoration" dataDxfId="174" dataCellStyle="Milliers">
      <calculatedColumnFormula>0.1*(H_Juin[[#This Row],[Heures de nuit]]+IF(H_Juin[[#This Row],[majoration dim &amp; JF]]="non",0,H_Juin[[#This Row],[heures jour dimanche]]+H_Juin[[#This Row],[heures jour fériés]]))</calculatedColumnFormula>
    </tableColumn>
    <tableColumn id="9" name="Heures totales payées" dataDxfId="173" dataCellStyle="Milliers">
      <calculatedColumnFormula>(MOD(H_Juin[[#This Row],[Fin]]-H_Juin[[#This Row],[début]],1)-MOD(H_Juin[[#This Row],[PNP Fin]]-H_Juin[[#This Row],[PNP Début]],1))*24</calculatedColumnFormula>
    </tableColumn>
    <tableColumn id="20" name="majoration dim &amp; JF" dataDxfId="172" dataCellStyle="Milliers">
      <calculatedColumnFormula>IFERROR(VLOOKUP(H_Juin[[#This Row],[Service]],Codes[],4,0),"")</calculatedColumnFormula>
    </tableColumn>
    <tableColumn id="15" name="PNP Début corrigé" dataDxfId="171">
      <calculatedColumnFormula>IF(H_Juin[[#This Row],[PNP Début]]=0,0,IF(H_Juin[[#This Row],[PNP Début]]&lt;H_Juin[[#This Row],[début]],1,0)+H_Juin[[#This Row],[PNP Début]])</calculatedColumnFormula>
    </tableColumn>
    <tableColumn id="16" name="PNP Fin corrigée" dataDxfId="170">
      <calculatedColumnFormula>IF(H_Juin[[#This Row],[PNP Fin]]=0,0,IF(H_Juin[[#This Row],[PNP Fin]]&lt;H_Juin[[#This Row],[début]],1,0)+H_Juin[[#This Row],[PNP Fin]])</calculatedColumnFormula>
    </tableColumn>
    <tableColumn id="14" name="Fin corrigée si nuit" dataDxfId="169">
      <calculatedColumnFormula>IF(H_Juin[[#This Row],[Fin]]&lt;H_Juin[[#This Row],[début]],1,0)+H_Juin[[#This Row],[Fin]]</calculatedColumnFormula>
    </tableColumn>
    <tableColumn id="13" name="Heures de nuit" dataDxfId="168" dataCellStyle="Milliers">
      <calculatedColumnFormula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calculatedColumnFormula>
    </tableColumn>
    <tableColumn id="17" name="Heures de nuit hors PNP" dataDxfId="167" dataCellStyle="Milliers">
      <calculatedColumnFormula>(MAX(0,MIN(H_Juin[[#This Row],[Fin corrigée si nuit]],fin_nuit)-MAX(H_Juin[[#This Row],[début]],deb_nuit))-IF(H_Juin[[#This Row],[PNP Début]]=0,0,MIN(H_Juin[[#This Row],[PNP Fin corrigée]],fin_nuit)-MAX(H_Juin[[#This Row],[PNP Début corrigé]],deb_nuit)))*24</calculatedColumnFormula>
    </tableColumn>
    <tableColumn id="18" name="heures jour dimanche" dataDxfId="166" dataCellStyle="Milliers">
      <calculatedColumnFormula>(IF(WEEKDAY(H_Juin[[#This Row],[Date]],2)=7,MAX(0,MIN(fin_dimJF,H_Juin[[#This Row],[Fin corrigée si nuit]])-MAX(deb_dimJF,H_Juin[[#This Row],[début]])),0)+IF(WEEKDAY(H_Juin[[#This Row],[Date]],2)=6,MAX(0,H_Juin[[#This Row],[Fin corrigée si nuit]]-(1+deb_dimJF)),0))*24</calculatedColumnFormula>
    </tableColumn>
    <tableColumn id="11" name="heures jour dimanche hors PNP" dataDxfId="165" dataCellStyle="Milliers">
      <calculatedColumnFormula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calculatedColumnFormula>
    </tableColumn>
    <tableColumn id="19" name="heures jour fériés" dataDxfId="164" dataCellStyle="Milliers">
      <calculatedColumnFormula>(IF(COUNTIF(JF,H_Juin[[#This Row],[Date]]),MAX(0,MIN(fin_dimJF,H_Juin[[#This Row],[Fin corrigée si nuit]])-MAX(deb_dimJF,H_Juin[[#This Row],[début]])),0)+IF(COUNTIF(JF,H_Juin[[#This Row],[Date]]+1),MAX(0,H_Juin[[#This Row],[Fin corrigée si nuit]]-(1+deb_dimJF)),0))*24</calculatedColumnFormula>
    </tableColumn>
    <tableColumn id="12" name="heures jour fériés hors PNP" dataDxfId="163" dataCellStyle="Milliers">
      <calculatedColumnFormula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H_Juil" displayName="H_Juil" ref="A12:T49" totalsRowShown="0" headerRowDxfId="161" dataDxfId="159" headerRowBorderDxfId="160" tableBorderDxfId="158" totalsRowBorderDxfId="157">
  <autoFilter ref="A12:T49"/>
  <tableColumns count="20">
    <tableColumn id="1" name="Date" dataDxfId="156"/>
    <tableColumn id="2" name="Service" dataDxfId="155"/>
    <tableColumn id="3" name="début" dataDxfId="154"/>
    <tableColumn id="4" name="Fin" dataDxfId="153"/>
    <tableColumn id="5" name="PP Début" dataDxfId="152"/>
    <tableColumn id="6" name="PP Fin" dataDxfId="151"/>
    <tableColumn id="7" name="PNP Début" dataDxfId="150"/>
    <tableColumn id="8" name="PNP Fin" dataDxfId="149"/>
    <tableColumn id="10" name="Majoration" dataDxfId="148" dataCellStyle="Milliers">
      <calculatedColumnFormula>0.1*(H_Juil[[#This Row],[Heures de nuit]]+IF(H_Juil[[#This Row],[majoration dim &amp; JF]]="non",0,H_Juil[[#This Row],[heures jour dimanche]]+H_Juil[[#This Row],[heures jour fériés]]))</calculatedColumnFormula>
    </tableColumn>
    <tableColumn id="9" name="Heures totales payées" dataDxfId="147" dataCellStyle="Milliers">
      <calculatedColumnFormula>(MOD(H_Juil[[#This Row],[Fin]]-H_Juil[[#This Row],[début]],1)-MOD(H_Juil[[#This Row],[PNP Fin]]-H_Juil[[#This Row],[PNP Début]],1))*24</calculatedColumnFormula>
    </tableColumn>
    <tableColumn id="20" name="majoration dim &amp; JF" dataDxfId="146" dataCellStyle="Milliers">
      <calculatedColumnFormula>IFERROR(VLOOKUP(H_Juil[[#This Row],[Service]],Codes[],4,0),"")</calculatedColumnFormula>
    </tableColumn>
    <tableColumn id="15" name="PNP Début corrigé" dataDxfId="145">
      <calculatedColumnFormula>IF(H_Juil[[#This Row],[PNP Début]]=0,0,IF(H_Juil[[#This Row],[PNP Début]]&lt;H_Juil[[#This Row],[début]],1,0)+H_Juil[[#This Row],[PNP Début]])</calculatedColumnFormula>
    </tableColumn>
    <tableColumn id="16" name="PNP Fin corrigée" dataDxfId="144">
      <calculatedColumnFormula>IF(H_Juil[[#This Row],[PNP Fin]]=0,0,IF(H_Juil[[#This Row],[PNP Fin]]&lt;H_Juil[[#This Row],[début]],1,0)+H_Juil[[#This Row],[PNP Fin]])</calculatedColumnFormula>
    </tableColumn>
    <tableColumn id="14" name="Fin corrigée si nuit" dataDxfId="143">
      <calculatedColumnFormula>IF(H_Juil[[#This Row],[Fin]]&lt;H_Juil[[#This Row],[début]],1,0)+H_Juil[[#This Row],[Fin]]</calculatedColumnFormula>
    </tableColumn>
    <tableColumn id="13" name="Heures de nuit" dataDxfId="142" dataCellStyle="Milliers">
      <calculatedColumnFormula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calculatedColumnFormula>
    </tableColumn>
    <tableColumn id="17" name="Heures de nuit hors PNP" dataDxfId="141" dataCellStyle="Milliers">
      <calculatedColumnFormula>(MAX(0,MIN(H_Juil[[#This Row],[Fin corrigée si nuit]],fin_nuit)-MAX(H_Juil[[#This Row],[début]],deb_nuit))-IF(H_Juil[[#This Row],[PNP Début]]=0,0,MIN(H_Juil[[#This Row],[PNP Fin corrigée]],fin_nuit)-MAX(H_Juil[[#This Row],[PNP Début corrigé]],deb_nuit)))*24</calculatedColumnFormula>
    </tableColumn>
    <tableColumn id="18" name="heures jour dimanche" dataDxfId="140" dataCellStyle="Milliers">
      <calculatedColumnFormula>(IF(WEEKDAY(H_Juil[[#This Row],[Date]],2)=7,MAX(0,MIN(fin_dimJF,H_Juil[[#This Row],[Fin corrigée si nuit]])-MAX(deb_dimJF,H_Juil[[#This Row],[début]])),0)+IF(WEEKDAY(H_Juil[[#This Row],[Date]],2)=6,MAX(0,H_Juil[[#This Row],[Fin corrigée si nuit]]-(1+deb_dimJF)),0))*24</calculatedColumnFormula>
    </tableColumn>
    <tableColumn id="11" name="heures jour dimanche hors PNP" dataDxfId="139" dataCellStyle="Milliers">
      <calculatedColumnFormula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calculatedColumnFormula>
    </tableColumn>
    <tableColumn id="19" name="heures jour fériés" dataDxfId="138" dataCellStyle="Milliers">
      <calculatedColumnFormula>(IF(COUNTIF(JF,H_Juil[[#This Row],[Date]]),MAX(0,MIN(fin_dimJF,H_Juil[[#This Row],[Fin corrigée si nuit]])-MAX(deb_dimJF,H_Juil[[#This Row],[début]])),0)+IF(COUNTIF(JF,H_Juil[[#This Row],[Date]]+1),MAX(0,H_Juil[[#This Row],[Fin corrigée si nuit]]-(1+deb_dimJF)),0))*24</calculatedColumnFormula>
    </tableColumn>
    <tableColumn id="12" name="heures jour fériés hors PNP" dataDxfId="137" dataCellStyle="Milliers">
      <calculatedColumnFormula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4" name="H_Aout" displayName="H_Aout" ref="A12:T49" totalsRowShown="0" headerRowDxfId="135" dataDxfId="133" headerRowBorderDxfId="134" tableBorderDxfId="132" totalsRowBorderDxfId="131">
  <autoFilter ref="A12:T49"/>
  <tableColumns count="20">
    <tableColumn id="1" name="Date" dataDxfId="130"/>
    <tableColumn id="2" name="Service" dataDxfId="129"/>
    <tableColumn id="3" name="début" dataDxfId="128"/>
    <tableColumn id="4" name="Fin" dataDxfId="127"/>
    <tableColumn id="5" name="PP Début" dataDxfId="126"/>
    <tableColumn id="6" name="PP Fin" dataDxfId="125"/>
    <tableColumn id="7" name="PNP Début" dataDxfId="124"/>
    <tableColumn id="8" name="PNP Fin" dataDxfId="123"/>
    <tableColumn id="10" name="Majoration" dataDxfId="122" dataCellStyle="Milliers">
      <calculatedColumnFormula>0.1*(H_Aout[[#This Row],[Heures de nuit]]+IF(H_Aout[[#This Row],[majoration dim &amp; JF]]="non",0,H_Aout[[#This Row],[heures jour dimanche]]+H_Aout[[#This Row],[heures jour fériés]]))</calculatedColumnFormula>
    </tableColumn>
    <tableColumn id="9" name="Heures totales payées" dataDxfId="121" dataCellStyle="Milliers">
      <calculatedColumnFormula>(MOD(H_Aout[[#This Row],[Fin]]-H_Aout[[#This Row],[début]],1)-MOD(H_Aout[[#This Row],[PNP Fin]]-H_Aout[[#This Row],[PNP Début]],1))*24</calculatedColumnFormula>
    </tableColumn>
    <tableColumn id="20" name="majoration dim &amp; JF" dataDxfId="120" dataCellStyle="Milliers">
      <calculatedColumnFormula>IFERROR(VLOOKUP(H_Aout[[#This Row],[Service]],Codes[],4,0),"")</calculatedColumnFormula>
    </tableColumn>
    <tableColumn id="15" name="PNP Début corrigé" dataDxfId="119">
      <calculatedColumnFormula>IF(H_Aout[[#This Row],[PNP Début]]=0,0,IF(H_Aout[[#This Row],[PNP Début]]&lt;H_Aout[[#This Row],[début]],1,0)+H_Aout[[#This Row],[PNP Début]])</calculatedColumnFormula>
    </tableColumn>
    <tableColumn id="16" name="PNP Fin corrigée" dataDxfId="118">
      <calculatedColumnFormula>IF(H_Aout[[#This Row],[PNP Fin]]=0,0,IF(H_Aout[[#This Row],[PNP Fin]]&lt;H_Aout[[#This Row],[début]],1,0)+H_Aout[[#This Row],[PNP Fin]])</calculatedColumnFormula>
    </tableColumn>
    <tableColumn id="14" name="Fin corrigée si nuit" dataDxfId="117">
      <calculatedColumnFormula>IF(H_Aout[[#This Row],[Fin]]&lt;H_Aout[[#This Row],[début]],1,0)+H_Aout[[#This Row],[Fin]]</calculatedColumnFormula>
    </tableColumn>
    <tableColumn id="13" name="Heures de nuit" dataDxfId="116" dataCellStyle="Milliers">
      <calculatedColumnFormula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calculatedColumnFormula>
    </tableColumn>
    <tableColumn id="17" name="Heures de nuit hors PNP" dataDxfId="115" dataCellStyle="Milliers">
      <calculatedColumnFormula>(MAX(0,MIN(H_Aout[[#This Row],[Fin corrigée si nuit]],fin_nuit)-MAX(H_Aout[[#This Row],[début]],deb_nuit))-IF(H_Aout[[#This Row],[PNP Début]]=0,0,MIN(H_Aout[[#This Row],[PNP Fin corrigée]],fin_nuit)-MAX(H_Aout[[#This Row],[PNP Début corrigé]],deb_nuit)))*24</calculatedColumnFormula>
    </tableColumn>
    <tableColumn id="18" name="heures jour dimanche" dataDxfId="114" dataCellStyle="Milliers">
      <calculatedColumnFormula>(IF(WEEKDAY(H_Aout[[#This Row],[Date]],2)=7,MAX(0,MIN(fin_dimJF,H_Aout[[#This Row],[Fin corrigée si nuit]])-MAX(deb_dimJF,H_Aout[[#This Row],[début]])),0)+IF(WEEKDAY(H_Aout[[#This Row],[Date]],2)=6,MAX(0,H_Aout[[#This Row],[Fin corrigée si nuit]]-(1+deb_dimJF)),0))*24</calculatedColumnFormula>
    </tableColumn>
    <tableColumn id="11" name="heures jour dimanche hors PNP" dataDxfId="113" dataCellStyle="Milliers">
      <calculatedColumnFormula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calculatedColumnFormula>
    </tableColumn>
    <tableColumn id="19" name="heures jour fériés" dataDxfId="112" dataCellStyle="Milliers">
      <calculatedColumnFormula>(IF(COUNTIF(JF,H_Aout[[#This Row],[Date]]),MAX(0,MIN(fin_dimJF,H_Aout[[#This Row],[Fin corrigée si nuit]])-MAX(deb_dimJF,H_Aout[[#This Row],[début]])),0)+IF(COUNTIF(JF,H_Aout[[#This Row],[Date]]+1),MAX(0,H_Aout[[#This Row],[Fin corrigée si nuit]]-(1+deb_dimJF)),0))*24</calculatedColumnFormula>
    </tableColumn>
    <tableColumn id="12" name="heures jour fériés hors PNP" dataDxfId="111" dataCellStyle="Milliers">
      <calculatedColumnFormula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3" name="H_Sept" displayName="H_Sept" ref="A12:T49" totalsRowShown="0" headerRowDxfId="109" dataDxfId="107" headerRowBorderDxfId="108" tableBorderDxfId="106" totalsRowBorderDxfId="105">
  <autoFilter ref="A12:T49"/>
  <tableColumns count="20">
    <tableColumn id="1" name="Date" dataDxfId="104"/>
    <tableColumn id="2" name="Service" dataDxfId="103"/>
    <tableColumn id="3" name="début" dataDxfId="102"/>
    <tableColumn id="4" name="Fin" dataDxfId="101"/>
    <tableColumn id="5" name="PP Début" dataDxfId="100"/>
    <tableColumn id="6" name="PP Fin" dataDxfId="99"/>
    <tableColumn id="7" name="PNP Début" dataDxfId="98"/>
    <tableColumn id="8" name="PNP Fin" dataDxfId="97"/>
    <tableColumn id="10" name="Majoration" dataDxfId="96" dataCellStyle="Milliers">
      <calculatedColumnFormula>0.1*(H_Sept[[#This Row],[Heures de nuit]]+IF(H_Sept[[#This Row],[majoration dim &amp; JF]]="non",0,H_Sept[[#This Row],[heures jour dimanche]]+H_Sept[[#This Row],[heures jour fériés]]))</calculatedColumnFormula>
    </tableColumn>
    <tableColumn id="9" name="Heures totales payées" dataDxfId="95" dataCellStyle="Milliers">
      <calculatedColumnFormula>(MOD(H_Sept[[#This Row],[Fin]]-H_Sept[[#This Row],[début]],1)-MOD(H_Sept[[#This Row],[PNP Fin]]-H_Sept[[#This Row],[PNP Début]],1))*24</calculatedColumnFormula>
    </tableColumn>
    <tableColumn id="20" name="majoration dim &amp; JF" dataDxfId="94" dataCellStyle="Milliers">
      <calculatedColumnFormula>IFERROR(VLOOKUP(H_Sept[[#This Row],[Service]],Codes[],4,0),"")</calculatedColumnFormula>
    </tableColumn>
    <tableColumn id="15" name="PNP Début corrigé" dataDxfId="93">
      <calculatedColumnFormula>IF(H_Sept[[#This Row],[PNP Début]]=0,0,IF(H_Sept[[#This Row],[PNP Début]]&lt;H_Sept[[#This Row],[début]],1,0)+H_Sept[[#This Row],[PNP Début]])</calculatedColumnFormula>
    </tableColumn>
    <tableColumn id="16" name="PNP Fin corrigée" dataDxfId="92">
      <calculatedColumnFormula>IF(H_Sept[[#This Row],[PNP Fin]]=0,0,IF(H_Sept[[#This Row],[PNP Fin]]&lt;H_Sept[[#This Row],[début]],1,0)+H_Sept[[#This Row],[PNP Fin]])</calculatedColumnFormula>
    </tableColumn>
    <tableColumn id="14" name="Fin corrigée si nuit" dataDxfId="91">
      <calculatedColumnFormula>IF(H_Sept[[#This Row],[Fin]]&lt;H_Sept[[#This Row],[début]],1,0)+H_Sept[[#This Row],[Fin]]</calculatedColumnFormula>
    </tableColumn>
    <tableColumn id="13" name="Heures de nuit" dataDxfId="90" dataCellStyle="Milliers">
      <calculatedColumnFormula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calculatedColumnFormula>
    </tableColumn>
    <tableColumn id="17" name="Heures de nuit hors PNP" dataDxfId="89" dataCellStyle="Milliers">
      <calculatedColumnFormula>(MAX(0,MIN(H_Sept[[#This Row],[Fin corrigée si nuit]],fin_nuit)-MAX(H_Sept[[#This Row],[début]],deb_nuit))-IF(H_Sept[[#This Row],[PNP Début]]=0,0,MIN(H_Sept[[#This Row],[PNP Fin corrigée]],fin_nuit)-MAX(H_Sept[[#This Row],[PNP Début corrigé]],deb_nuit)))*24</calculatedColumnFormula>
    </tableColumn>
    <tableColumn id="18" name="heures jour dimanche" dataDxfId="88" dataCellStyle="Milliers">
      <calculatedColumnFormula>(IF(WEEKDAY(H_Sept[[#This Row],[Date]],2)=7,MAX(0,MIN(fin_dimJF,H_Sept[[#This Row],[Fin corrigée si nuit]])-MAX(deb_dimJF,H_Sept[[#This Row],[début]])),0)+IF(WEEKDAY(H_Sept[[#This Row],[Date]],2)=6,MAX(0,H_Sept[[#This Row],[Fin corrigée si nuit]]-(1+deb_dimJF)),0))*24</calculatedColumnFormula>
    </tableColumn>
    <tableColumn id="11" name="heures jour dimanche hors PNP" dataDxfId="87" dataCellStyle="Milliers">
      <calculatedColumnFormula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calculatedColumnFormula>
    </tableColumn>
    <tableColumn id="19" name="heures jour fériés" dataDxfId="86" dataCellStyle="Milliers">
      <calculatedColumnFormula>(IF(COUNTIF(JF,H_Sept[[#This Row],[Date]]),MAX(0,MIN(fin_dimJF,H_Sept[[#This Row],[Fin corrigée si nuit]])-MAX(deb_dimJF,H_Sept[[#This Row],[début]])),0)+IF(COUNTIF(JF,H_Sept[[#This Row],[Date]]+1),MAX(0,H_Sept[[#This Row],[Fin corrigée si nuit]]-(1+deb_dimJF)),0))*24</calculatedColumnFormula>
    </tableColumn>
    <tableColumn id="12" name="heures jour fériés hors PNP" dataDxfId="85" dataCellStyle="Milliers">
      <calculatedColumnFormula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2" name="H_Oct" displayName="H_Oct" ref="A12:T49" totalsRowShown="0" headerRowDxfId="83" dataDxfId="81" headerRowBorderDxfId="82" tableBorderDxfId="80" totalsRowBorderDxfId="79">
  <autoFilter ref="A12:T49"/>
  <tableColumns count="20">
    <tableColumn id="1" name="Date" dataDxfId="78"/>
    <tableColumn id="2" name="Service" dataDxfId="77"/>
    <tableColumn id="3" name="début" dataDxfId="76"/>
    <tableColumn id="4" name="Fin" dataDxfId="75"/>
    <tableColumn id="5" name="PP Début" dataDxfId="74"/>
    <tableColumn id="6" name="PP Fin" dataDxfId="73"/>
    <tableColumn id="7" name="PNP Début" dataDxfId="72"/>
    <tableColumn id="8" name="PNP Fin" dataDxfId="71"/>
    <tableColumn id="10" name="Majoration" dataDxfId="70" dataCellStyle="Milliers">
      <calculatedColumnFormula>0.1*(H_Oct[[#This Row],[Heures de nuit]]+IF(H_Oct[[#This Row],[majoration dim &amp; JF]]="non",0,H_Oct[[#This Row],[heures jour dimanche]]+H_Oct[[#This Row],[heures jour fériés]]))</calculatedColumnFormula>
    </tableColumn>
    <tableColumn id="9" name="Heures totales payées" dataDxfId="69" dataCellStyle="Milliers">
      <calculatedColumnFormula>(MOD(H_Oct[[#This Row],[Fin]]-H_Oct[[#This Row],[début]],1)-MOD(H_Oct[[#This Row],[PNP Fin]]-H_Oct[[#This Row],[PNP Début]],1))*24</calculatedColumnFormula>
    </tableColumn>
    <tableColumn id="20" name="majoration dim &amp; JF" dataDxfId="68" dataCellStyle="Milliers">
      <calculatedColumnFormula>IFERROR(VLOOKUP(H_Oct[[#This Row],[Service]],Codes[],4,0),"")</calculatedColumnFormula>
    </tableColumn>
    <tableColumn id="15" name="PNP Début corrigé" dataDxfId="67">
      <calculatedColumnFormula>IF(H_Oct[[#This Row],[PNP Début]]=0,0,IF(H_Oct[[#This Row],[PNP Début]]&lt;H_Oct[[#This Row],[début]],1,0)+H_Oct[[#This Row],[PNP Début]])</calculatedColumnFormula>
    </tableColumn>
    <tableColumn id="16" name="PNP Fin corrigée" dataDxfId="66">
      <calculatedColumnFormula>IF(H_Oct[[#This Row],[PNP Fin]]=0,0,IF(H_Oct[[#This Row],[PNP Fin]]&lt;H_Oct[[#This Row],[début]],1,0)+H_Oct[[#This Row],[PNP Fin]])</calculatedColumnFormula>
    </tableColumn>
    <tableColumn id="14" name="Fin corrigée si nuit" dataDxfId="65">
      <calculatedColumnFormula>IF(H_Oct[[#This Row],[Fin]]&lt;H_Oct[[#This Row],[début]],1,0)+H_Oct[[#This Row],[Fin]]</calculatedColumnFormula>
    </tableColumn>
    <tableColumn id="13" name="Heures de nuit" dataDxfId="64" dataCellStyle="Milliers">
      <calculatedColumnFormula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calculatedColumnFormula>
    </tableColumn>
    <tableColumn id="17" name="Heures de nuit hors PNP" dataDxfId="63" dataCellStyle="Milliers">
      <calculatedColumnFormula>(MAX(0,MIN(H_Oct[[#This Row],[Fin corrigée si nuit]],fin_nuit)-MAX(H_Oct[[#This Row],[début]],deb_nuit))-IF(H_Oct[[#This Row],[PNP Début]]=0,0,MIN(H_Oct[[#This Row],[PNP Fin corrigée]],fin_nuit)-MAX(H_Oct[[#This Row],[PNP Début corrigé]],deb_nuit)))*24</calculatedColumnFormula>
    </tableColumn>
    <tableColumn id="18" name="heures jour dimanche" dataDxfId="62" dataCellStyle="Milliers">
      <calculatedColumnFormula>(IF(WEEKDAY(H_Oct[[#This Row],[Date]],2)=7,MAX(0,MIN(fin_dimJF,H_Oct[[#This Row],[Fin corrigée si nuit]])-MAX(deb_dimJF,H_Oct[[#This Row],[début]])),0)+IF(WEEKDAY(H_Oct[[#This Row],[Date]],2)=6,MAX(0,H_Oct[[#This Row],[Fin corrigée si nuit]]-(1+deb_dimJF)),0))*24</calculatedColumnFormula>
    </tableColumn>
    <tableColumn id="11" name="heures jour dimanche hors PNP" dataDxfId="61" dataCellStyle="Milliers">
      <calculatedColumnFormula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calculatedColumnFormula>
    </tableColumn>
    <tableColumn id="19" name="heures jour fériés" dataDxfId="60" dataCellStyle="Milliers">
      <calculatedColumnFormula>(IF(COUNTIF(JF,H_Oct[[#This Row],[Date]]),MAX(0,MIN(fin_dimJF,H_Oct[[#This Row],[Fin corrigée si nuit]])-MAX(deb_dimJF,H_Oct[[#This Row],[début]])),0)+IF(COUNTIF(JF,H_Oct[[#This Row],[Date]]+1),MAX(0,H_Oct[[#This Row],[Fin corrigée si nuit]]-(1+deb_dimJF)),0))*24</calculatedColumnFormula>
    </tableColumn>
    <tableColumn id="12" name="heures jour fériés hors PNP" dataDxfId="59" dataCellStyle="Milliers">
      <calculatedColumnFormula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1" name="H_Nov" displayName="H_Nov" ref="A12:T49" totalsRowShown="0" headerRowDxfId="57" dataDxfId="55" headerRowBorderDxfId="56" tableBorderDxfId="54" totalsRowBorderDxfId="53">
  <autoFilter ref="A12:T49"/>
  <tableColumns count="20">
    <tableColumn id="1" name="Date" dataDxfId="52"/>
    <tableColumn id="2" name="Service" dataDxfId="51"/>
    <tableColumn id="3" name="début" dataDxfId="50"/>
    <tableColumn id="4" name="Fin" dataDxfId="49"/>
    <tableColumn id="5" name="PP Début" dataDxfId="48"/>
    <tableColumn id="6" name="PP Fin" dataDxfId="47"/>
    <tableColumn id="7" name="PNP Début" dataDxfId="46"/>
    <tableColumn id="8" name="PNP Fin" dataDxfId="45"/>
    <tableColumn id="10" name="Majoration" dataDxfId="44" dataCellStyle="Milliers">
      <calculatedColumnFormula>0.1*(H_Nov[[#This Row],[Heures de nuit]]+IF(H_Nov[[#This Row],[majoration dim &amp; JF]]="non",0,H_Nov[[#This Row],[heures jour dimanche]]+H_Nov[[#This Row],[heures jour fériés]]))</calculatedColumnFormula>
    </tableColumn>
    <tableColumn id="9" name="Heures totales payées" dataDxfId="43" dataCellStyle="Milliers">
      <calculatedColumnFormula>(MOD(H_Nov[[#This Row],[Fin]]-H_Nov[[#This Row],[début]],1)-MOD(H_Nov[[#This Row],[PNP Fin]]-H_Nov[[#This Row],[PNP Début]],1))*24</calculatedColumnFormula>
    </tableColumn>
    <tableColumn id="20" name="majoration dim &amp; JF" dataDxfId="42" dataCellStyle="Milliers">
      <calculatedColumnFormula>IFERROR(VLOOKUP(H_Nov[[#This Row],[Service]],Codes[],4,0),"")</calculatedColumnFormula>
    </tableColumn>
    <tableColumn id="15" name="PNP Début corrigé" dataDxfId="41">
      <calculatedColumnFormula>IF(H_Nov[[#This Row],[PNP Début]]=0,0,IF(H_Nov[[#This Row],[PNP Début]]&lt;H_Nov[[#This Row],[début]],1,0)+H_Nov[[#This Row],[PNP Début]])</calculatedColumnFormula>
    </tableColumn>
    <tableColumn id="16" name="PNP Fin corrigée" dataDxfId="40">
      <calculatedColumnFormula>IF(H_Nov[[#This Row],[PNP Fin]]=0,0,IF(H_Nov[[#This Row],[PNP Fin]]&lt;H_Nov[[#This Row],[début]],1,0)+H_Nov[[#This Row],[PNP Fin]])</calculatedColumnFormula>
    </tableColumn>
    <tableColumn id="14" name="Fin corrigée si nuit" dataDxfId="39">
      <calculatedColumnFormula>IF(H_Nov[[#This Row],[Fin]]&lt;H_Nov[[#This Row],[début]],1,0)+H_Nov[[#This Row],[Fin]]</calculatedColumnFormula>
    </tableColumn>
    <tableColumn id="13" name="Heures de nuit" dataDxfId="38" dataCellStyle="Milliers">
      <calculatedColumnFormula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calculatedColumnFormula>
    </tableColumn>
    <tableColumn id="17" name="Heures de nuit hors PNP" dataDxfId="37" dataCellStyle="Milliers">
      <calculatedColumnFormula>(MAX(0,MIN(H_Nov[[#This Row],[Fin corrigée si nuit]],fin_nuit)-MAX(H_Nov[[#This Row],[début]],deb_nuit))-IF(H_Nov[[#This Row],[PNP Début]]=0,0,MIN(H_Nov[[#This Row],[PNP Fin corrigée]],fin_nuit)-MAX(H_Nov[[#This Row],[PNP Début corrigé]],deb_nuit)))*24</calculatedColumnFormula>
    </tableColumn>
    <tableColumn id="18" name="heures jour dimanche" dataDxfId="36" dataCellStyle="Milliers">
      <calculatedColumnFormula>(IF(WEEKDAY(H_Nov[[#This Row],[Date]],2)=7,MAX(0,MIN(fin_dimJF,H_Nov[[#This Row],[Fin corrigée si nuit]])-MAX(deb_dimJF,H_Nov[[#This Row],[début]])),0)+IF(WEEKDAY(H_Nov[[#This Row],[Date]],2)=6,MAX(0,H_Nov[[#This Row],[Fin corrigée si nuit]]-(1+deb_dimJF)),0))*24</calculatedColumnFormula>
    </tableColumn>
    <tableColumn id="11" name="heures jour dimanche hors PNP" dataDxfId="35" dataCellStyle="Milliers">
      <calculatedColumnFormula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calculatedColumnFormula>
    </tableColumn>
    <tableColumn id="19" name="heures jour fériés" dataDxfId="34" dataCellStyle="Milliers">
      <calculatedColumnFormula>(IF(COUNTIF(JF,H_Nov[[#This Row],[Date]]),MAX(0,MIN(fin_dimJF,H_Nov[[#This Row],[Fin corrigée si nuit]])-MAX(deb_dimJF,H_Nov[[#This Row],[début]])),0)+IF(COUNTIF(JF,H_Nov[[#This Row],[Date]]+1),MAX(0,H_Nov[[#This Row],[Fin corrigée si nuit]]-(1+deb_dimJF)),0))*24</calculatedColumnFormula>
    </tableColumn>
    <tableColumn id="12" name="heures jour fériés hors PNP" dataDxfId="33" dataCellStyle="Milliers">
      <calculatedColumnFormula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0" name="H_Dec" displayName="H_Dec" ref="A12:T49" totalsRowShown="0" headerRowDxfId="31" dataDxfId="29" headerRowBorderDxfId="30" tableBorderDxfId="28" totalsRowBorderDxfId="27">
  <autoFilter ref="A12:T49"/>
  <tableColumns count="20">
    <tableColumn id="1" name="Date" dataDxfId="26"/>
    <tableColumn id="2" name="Service" dataDxfId="25"/>
    <tableColumn id="3" name="début" dataDxfId="24"/>
    <tableColumn id="4" name="Fin" dataDxfId="23"/>
    <tableColumn id="5" name="PP Début" dataDxfId="22"/>
    <tableColumn id="6" name="PP Fin" dataDxfId="21"/>
    <tableColumn id="7" name="PNP Début" dataDxfId="20"/>
    <tableColumn id="8" name="PNP Fin" dataDxfId="19"/>
    <tableColumn id="10" name="Majoration" dataDxfId="18" dataCellStyle="Milliers">
      <calculatedColumnFormula>0.1*(H_Dec[[#This Row],[Heures de nuit]]+IF(H_Dec[[#This Row],[majoration dim &amp; JF]]="non",0,H_Dec[[#This Row],[heures jour dimanche]]+H_Dec[[#This Row],[heures jour fériés]]))</calculatedColumnFormula>
    </tableColumn>
    <tableColumn id="9" name="Heures totales payées" dataDxfId="17" dataCellStyle="Milliers">
      <calculatedColumnFormula>(MOD(H_Dec[[#This Row],[Fin]]-H_Dec[[#This Row],[début]],1)-MOD(H_Dec[[#This Row],[PNP Fin]]-H_Dec[[#This Row],[PNP Début]],1))*24</calculatedColumnFormula>
    </tableColumn>
    <tableColumn id="20" name="majoration dim &amp; JF" dataDxfId="16" dataCellStyle="Milliers">
      <calculatedColumnFormula>IFERROR(VLOOKUP(H_Dec[[#This Row],[Service]],Codes[],4,0),"")</calculatedColumnFormula>
    </tableColumn>
    <tableColumn id="15" name="PNP Début corrigé" dataDxfId="15">
      <calculatedColumnFormula>IF(H_Dec[[#This Row],[PNP Début]]=0,0,IF(H_Dec[[#This Row],[PNP Début]]&lt;H_Dec[[#This Row],[début]],1,0)+H_Dec[[#This Row],[PNP Début]])</calculatedColumnFormula>
    </tableColumn>
    <tableColumn id="16" name="PNP Fin corrigée" dataDxfId="14">
      <calculatedColumnFormula>IF(H_Dec[[#This Row],[PNP Fin]]=0,0,IF(H_Dec[[#This Row],[PNP Fin]]&lt;H_Dec[[#This Row],[début]],1,0)+H_Dec[[#This Row],[PNP Fin]])</calculatedColumnFormula>
    </tableColumn>
    <tableColumn id="14" name="Fin corrigée si nuit" dataDxfId="13">
      <calculatedColumnFormula>IF(H_Dec[[#This Row],[Fin]]&lt;H_Dec[[#This Row],[début]],1,0)+H_Dec[[#This Row],[Fin]]</calculatedColumnFormula>
    </tableColumn>
    <tableColumn id="13" name="Heures de nuit" dataDxfId="12" dataCellStyle="Milliers">
      <calculatedColumnFormula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calculatedColumnFormula>
    </tableColumn>
    <tableColumn id="17" name="Heures de nuit hors PNP" dataDxfId="11" dataCellStyle="Milliers">
      <calculatedColumnFormula>(MAX(0,MIN(H_Dec[[#This Row],[Fin corrigée si nuit]],fin_nuit)-MAX(H_Dec[[#This Row],[début]],deb_nuit))-IF(H_Dec[[#This Row],[PNP Début]]=0,0,MIN(H_Dec[[#This Row],[PNP Fin corrigée]],fin_nuit)-MAX(H_Dec[[#This Row],[PNP Début corrigé]],deb_nuit)))*24</calculatedColumnFormula>
    </tableColumn>
    <tableColumn id="18" name="heures jour dimanche" dataDxfId="10" dataCellStyle="Milliers">
      <calculatedColumnFormula>(IF(WEEKDAY(H_Dec[[#This Row],[Date]],2)=7,MAX(0,MIN(fin_dimJF,H_Dec[[#This Row],[Fin corrigée si nuit]])-MAX(deb_dimJF,H_Dec[[#This Row],[début]])),0)+IF(WEEKDAY(H_Dec[[#This Row],[Date]],2)=6,MAX(0,H_Dec[[#This Row],[Fin corrigée si nuit]]-(1+deb_dimJF)),0))*24</calculatedColumnFormula>
    </tableColumn>
    <tableColumn id="11" name="heures jour dimanche hors PNP" dataDxfId="9" dataCellStyle="Milliers">
      <calculatedColumnFormula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calculatedColumnFormula>
    </tableColumn>
    <tableColumn id="19" name="heures jour fériés" dataDxfId="8" dataCellStyle="Milliers">
      <calculatedColumnFormula>(IF(COUNTIF(JF,H_Dec[[#This Row],[Date]]),MAX(0,MIN(fin_dimJF,H_Dec[[#This Row],[Fin corrigée si nuit]])-MAX(deb_dimJF,H_Dec[[#This Row],[début]])),0)+IF(COUNTIF(JF,H_Dec[[#This Row],[Date]]+1),MAX(0,H_Dec[[#This Row],[Fin corrigée si nuit]]-(1+deb_dimJF)),0))*24</calculatedColumnFormula>
    </tableColumn>
    <tableColumn id="12" name="heures jour fériés hors PNP" dataDxfId="7" dataCellStyle="Milliers">
      <calculatedColumnFormula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6" Type="http://schemas.openxmlformats.org/officeDocument/2006/relationships/table" Target="../tables/table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6" Type="http://schemas.openxmlformats.org/officeDocument/2006/relationships/table" Target="../tables/table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6" Type="http://schemas.openxmlformats.org/officeDocument/2006/relationships/table" Target="../tables/table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6" Type="http://schemas.openxmlformats.org/officeDocument/2006/relationships/table" Target="../tables/table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Relationship Id="rId6" Type="http://schemas.openxmlformats.org/officeDocument/2006/relationships/table" Target="../tables/table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0000"/>
  </sheetPr>
  <dimension ref="A1:L33"/>
  <sheetViews>
    <sheetView view="pageBreakPreview" zoomScale="60" zoomScaleNormal="85" workbookViewId="0">
      <selection activeCell="S21" sqref="S21"/>
    </sheetView>
  </sheetViews>
  <sheetFormatPr baseColWidth="10" defaultRowHeight="14.4" x14ac:dyDescent="0.3"/>
  <cols>
    <col min="1" max="1" width="26" style="58" customWidth="1"/>
    <col min="2" max="2" width="21.77734375" style="58" customWidth="1"/>
    <col min="3" max="3" width="16.44140625" style="58" customWidth="1"/>
    <col min="4" max="4" width="21" style="58" customWidth="1"/>
    <col min="5" max="5" width="16.33203125" style="58" customWidth="1"/>
    <col min="6" max="6" width="19.21875" style="58" customWidth="1"/>
    <col min="8" max="8" width="14.88671875" customWidth="1"/>
    <col min="9" max="9" width="10.6640625" customWidth="1"/>
    <col min="10" max="10" width="8.77734375" customWidth="1"/>
    <col min="11" max="11" width="15" customWidth="1"/>
    <col min="12" max="12" width="11.5546875" hidden="1" customWidth="1"/>
  </cols>
  <sheetData>
    <row r="1" spans="1:11" s="58" customFormat="1" ht="64.2" customHeight="1" thickBot="1" x14ac:dyDescent="0.35">
      <c r="A1" s="126" t="s">
        <v>47</v>
      </c>
      <c r="B1" s="126" t="s">
        <v>137</v>
      </c>
      <c r="C1" s="127" t="s">
        <v>138</v>
      </c>
      <c r="D1" s="128" t="s">
        <v>139</v>
      </c>
      <c r="E1" s="127" t="s">
        <v>140</v>
      </c>
      <c r="F1" s="129" t="s">
        <v>141</v>
      </c>
      <c r="G1" s="145">
        <v>2018</v>
      </c>
      <c r="H1" s="139" t="s">
        <v>135</v>
      </c>
      <c r="I1" s="187" t="s">
        <v>136</v>
      </c>
      <c r="J1" s="188"/>
      <c r="K1" s="151" t="s">
        <v>134</v>
      </c>
    </row>
    <row r="2" spans="1:11" ht="19.95" customHeight="1" x14ac:dyDescent="0.3">
      <c r="A2" s="137" t="s">
        <v>48</v>
      </c>
      <c r="B2" s="131">
        <f ca="1">COUNTA(INDIRECT("'"&amp;$A2&amp;" "&amp;RIGHT(G$1,2)&amp;"'!A13:A49"))</f>
        <v>21</v>
      </c>
      <c r="C2" s="132">
        <f ca="1">D2/24</f>
        <v>0.42083333333333334</v>
      </c>
      <c r="D2" s="133">
        <f ca="1">INDIRECT("'"&amp;$A2&amp;" "&amp;RIGHT(G$1,2)&amp;"'!I50")</f>
        <v>10.1</v>
      </c>
      <c r="E2" s="134">
        <f ca="1">F2/24</f>
        <v>9.4861111111111107</v>
      </c>
      <c r="F2" s="135">
        <f ca="1">INDIRECT("'"&amp;$A2&amp;" "&amp;RIGHT(G$1,2)&amp;"'!J50")</f>
        <v>227.66666666666666</v>
      </c>
      <c r="G2" s="121"/>
      <c r="H2" s="130">
        <f ca="1">INDIRECT("'"&amp;$A2&amp;" "&amp;RIGHT(G$1,2)&amp;"'!W19")</f>
        <v>7</v>
      </c>
      <c r="I2" s="148">
        <v>2016</v>
      </c>
      <c r="J2" s="138">
        <v>0</v>
      </c>
      <c r="K2" s="152">
        <f ca="1">MAX(0,J2-$H$15)</f>
        <v>0</v>
      </c>
    </row>
    <row r="3" spans="1:11" ht="19.95" customHeight="1" x14ac:dyDescent="0.3">
      <c r="A3" s="137" t="s">
        <v>49</v>
      </c>
      <c r="B3" s="131">
        <f t="shared" ref="B3:B13" ca="1" si="0">COUNTA(INDIRECT("'"&amp;$A3&amp;" "&amp;RIGHT(G$1,2)&amp;"'!A13:A49"))</f>
        <v>0</v>
      </c>
      <c r="C3" s="132">
        <f t="shared" ref="C3:C13" ca="1" si="1">D3/24</f>
        <v>0</v>
      </c>
      <c r="D3" s="133">
        <f t="shared" ref="D3:D13" ca="1" si="2">INDIRECT("'"&amp;$A3&amp;" "&amp;RIGHT(G$1,2)&amp;"'!I50")</f>
        <v>0</v>
      </c>
      <c r="E3" s="134">
        <f t="shared" ref="E3:E13" ca="1" si="3">F3/24</f>
        <v>0</v>
      </c>
      <c r="F3" s="136">
        <f t="shared" ref="F3:F13" ca="1" si="4">INDIRECT("'"&amp;$A3&amp;" "&amp;RIGHT(G$1,2)&amp;"'!J50")</f>
        <v>0</v>
      </c>
      <c r="G3" s="121"/>
      <c r="H3" s="130">
        <f t="shared" ref="H3:H13" ca="1" si="5">INDIRECT("'"&amp;$A3&amp;" "&amp;RIGHT(G$1,2)&amp;"'!W19")</f>
        <v>0</v>
      </c>
      <c r="I3" s="148">
        <v>2017</v>
      </c>
      <c r="J3" s="138">
        <v>14</v>
      </c>
      <c r="K3" s="152">
        <f ca="1">MAX(0,SUM(J$2:J3)-$H$15-SUM(K$2:K2))</f>
        <v>7</v>
      </c>
    </row>
    <row r="4" spans="1:11" ht="19.95" customHeight="1" x14ac:dyDescent="0.3">
      <c r="A4" s="137" t="s">
        <v>50</v>
      </c>
      <c r="B4" s="131">
        <f t="shared" ca="1" si="0"/>
        <v>0</v>
      </c>
      <c r="C4" s="132">
        <f t="shared" ca="1" si="1"/>
        <v>0</v>
      </c>
      <c r="D4" s="133">
        <f t="shared" ca="1" si="2"/>
        <v>0</v>
      </c>
      <c r="E4" s="134">
        <f t="shared" ca="1" si="3"/>
        <v>0</v>
      </c>
      <c r="F4" s="136">
        <f t="shared" ca="1" si="4"/>
        <v>0</v>
      </c>
      <c r="G4" s="121"/>
      <c r="H4" s="130">
        <f t="shared" ca="1" si="5"/>
        <v>0</v>
      </c>
      <c r="I4" s="148">
        <v>2018</v>
      </c>
      <c r="J4" s="138">
        <v>25</v>
      </c>
      <c r="K4" s="152">
        <f ca="1">MAX(0,SUM(J$2:J4)-$H$15-SUM(K$2:K3))</f>
        <v>25</v>
      </c>
    </row>
    <row r="5" spans="1:11" ht="19.95" customHeight="1" x14ac:dyDescent="0.3">
      <c r="A5" s="137" t="s">
        <v>51</v>
      </c>
      <c r="B5" s="131">
        <f t="shared" ca="1" si="0"/>
        <v>0</v>
      </c>
      <c r="C5" s="132">
        <f t="shared" ca="1" si="1"/>
        <v>0</v>
      </c>
      <c r="D5" s="133">
        <f t="shared" ca="1" si="2"/>
        <v>0</v>
      </c>
      <c r="E5" s="134">
        <f t="shared" ca="1" si="3"/>
        <v>0</v>
      </c>
      <c r="F5" s="136">
        <f t="shared" ca="1" si="4"/>
        <v>0</v>
      </c>
      <c r="G5" s="121"/>
      <c r="H5" s="130">
        <f t="shared" ca="1" si="5"/>
        <v>0</v>
      </c>
      <c r="I5" s="148">
        <v>2019</v>
      </c>
      <c r="J5" s="138">
        <v>0</v>
      </c>
      <c r="K5" s="152">
        <f ca="1">MAX(0,SUM(J$2:J5)-$H$15-SUM(K$2:K4))</f>
        <v>0</v>
      </c>
    </row>
    <row r="6" spans="1:11" ht="19.95" customHeight="1" x14ac:dyDescent="0.3">
      <c r="A6" s="137" t="s">
        <v>52</v>
      </c>
      <c r="B6" s="131">
        <f t="shared" ca="1" si="0"/>
        <v>0</v>
      </c>
      <c r="C6" s="132">
        <f t="shared" ca="1" si="1"/>
        <v>0</v>
      </c>
      <c r="D6" s="133">
        <f t="shared" ca="1" si="2"/>
        <v>0</v>
      </c>
      <c r="E6" s="134">
        <f t="shared" ca="1" si="3"/>
        <v>0</v>
      </c>
      <c r="F6" s="136">
        <f t="shared" ca="1" si="4"/>
        <v>0</v>
      </c>
      <c r="G6" s="121"/>
      <c r="H6" s="130">
        <f t="shared" ca="1" si="5"/>
        <v>0</v>
      </c>
      <c r="I6" s="148">
        <v>2020</v>
      </c>
      <c r="J6" s="138"/>
      <c r="K6" s="152">
        <f ca="1">MAX(0,SUM(J$2:J6)-$H$15-SUM(K$2:K5))</f>
        <v>0</v>
      </c>
    </row>
    <row r="7" spans="1:11" ht="19.95" customHeight="1" x14ac:dyDescent="0.3">
      <c r="A7" s="137" t="s">
        <v>53</v>
      </c>
      <c r="B7" s="131">
        <f t="shared" ca="1" si="0"/>
        <v>0</v>
      </c>
      <c r="C7" s="132">
        <f t="shared" ca="1" si="1"/>
        <v>0</v>
      </c>
      <c r="D7" s="133">
        <f t="shared" ca="1" si="2"/>
        <v>0</v>
      </c>
      <c r="E7" s="134">
        <f t="shared" ca="1" si="3"/>
        <v>0</v>
      </c>
      <c r="F7" s="136">
        <f t="shared" ca="1" si="4"/>
        <v>0</v>
      </c>
      <c r="G7" s="121"/>
      <c r="H7" s="130">
        <f t="shared" ca="1" si="5"/>
        <v>0</v>
      </c>
      <c r="I7" s="148">
        <v>2021</v>
      </c>
      <c r="J7" s="138"/>
      <c r="K7" s="152">
        <f ca="1">MAX(0,SUM(J$2:J7)-$H$15-SUM(K$2:K6))</f>
        <v>0</v>
      </c>
    </row>
    <row r="8" spans="1:11" ht="19.95" customHeight="1" x14ac:dyDescent="0.3">
      <c r="A8" s="137" t="s">
        <v>54</v>
      </c>
      <c r="B8" s="131">
        <f t="shared" ca="1" si="0"/>
        <v>0</v>
      </c>
      <c r="C8" s="132">
        <f t="shared" ca="1" si="1"/>
        <v>0</v>
      </c>
      <c r="D8" s="133">
        <f t="shared" ca="1" si="2"/>
        <v>0</v>
      </c>
      <c r="E8" s="134">
        <f t="shared" ca="1" si="3"/>
        <v>0</v>
      </c>
      <c r="F8" s="136">
        <f t="shared" ca="1" si="4"/>
        <v>0</v>
      </c>
      <c r="G8" s="121"/>
      <c r="H8" s="130">
        <f t="shared" ca="1" si="5"/>
        <v>0</v>
      </c>
      <c r="I8" s="148">
        <v>2022</v>
      </c>
      <c r="J8" s="138"/>
      <c r="K8" s="152">
        <f ca="1">MAX(0,SUM(J$2:J8)-$H$15-SUM(K$2:K7))</f>
        <v>0</v>
      </c>
    </row>
    <row r="9" spans="1:11" ht="19.95" customHeight="1" x14ac:dyDescent="0.3">
      <c r="A9" s="137" t="s">
        <v>55</v>
      </c>
      <c r="B9" s="131">
        <f t="shared" ca="1" si="0"/>
        <v>0</v>
      </c>
      <c r="C9" s="132">
        <f t="shared" ca="1" si="1"/>
        <v>0</v>
      </c>
      <c r="D9" s="133">
        <f t="shared" ca="1" si="2"/>
        <v>0</v>
      </c>
      <c r="E9" s="134">
        <f t="shared" ca="1" si="3"/>
        <v>0</v>
      </c>
      <c r="F9" s="136">
        <f t="shared" ca="1" si="4"/>
        <v>0</v>
      </c>
      <c r="G9" s="121"/>
      <c r="H9" s="130">
        <f t="shared" ca="1" si="5"/>
        <v>0</v>
      </c>
      <c r="I9" s="148">
        <v>2023</v>
      </c>
      <c r="J9" s="138"/>
      <c r="K9" s="152">
        <f ca="1">MAX(0,SUM(J$2:J9)-$H$15-SUM(K$2:K8))</f>
        <v>0</v>
      </c>
    </row>
    <row r="10" spans="1:11" ht="19.95" customHeight="1" x14ac:dyDescent="0.3">
      <c r="A10" s="137" t="s">
        <v>56</v>
      </c>
      <c r="B10" s="131">
        <f t="shared" ca="1" si="0"/>
        <v>0</v>
      </c>
      <c r="C10" s="132">
        <f t="shared" ca="1" si="1"/>
        <v>0</v>
      </c>
      <c r="D10" s="133">
        <f t="shared" ca="1" si="2"/>
        <v>0</v>
      </c>
      <c r="E10" s="134">
        <f t="shared" ca="1" si="3"/>
        <v>0</v>
      </c>
      <c r="F10" s="136">
        <f t="shared" ca="1" si="4"/>
        <v>0</v>
      </c>
      <c r="G10" s="121"/>
      <c r="H10" s="130">
        <f t="shared" ca="1" si="5"/>
        <v>0</v>
      </c>
      <c r="I10" s="148">
        <v>2024</v>
      </c>
      <c r="J10" s="138"/>
      <c r="K10" s="152">
        <f ca="1">MAX(0,SUM(J$2:J10)-$H$15-SUM(K$2:K9))</f>
        <v>0</v>
      </c>
    </row>
    <row r="11" spans="1:11" ht="19.95" customHeight="1" x14ac:dyDescent="0.3">
      <c r="A11" s="137" t="s">
        <v>57</v>
      </c>
      <c r="B11" s="131">
        <f t="shared" ca="1" si="0"/>
        <v>0</v>
      </c>
      <c r="C11" s="132">
        <f t="shared" ca="1" si="1"/>
        <v>0</v>
      </c>
      <c r="D11" s="133">
        <f t="shared" ca="1" si="2"/>
        <v>0</v>
      </c>
      <c r="E11" s="134">
        <f t="shared" ca="1" si="3"/>
        <v>0</v>
      </c>
      <c r="F11" s="136">
        <f t="shared" ca="1" si="4"/>
        <v>0</v>
      </c>
      <c r="G11" s="121"/>
      <c r="H11" s="130">
        <f t="shared" ca="1" si="5"/>
        <v>0</v>
      </c>
      <c r="I11" s="148">
        <v>2025</v>
      </c>
      <c r="J11" s="138"/>
      <c r="K11" s="152">
        <f ca="1">MAX(0,SUM(J$2:J11)-$H$15-SUM(K$2:K10))</f>
        <v>0</v>
      </c>
    </row>
    <row r="12" spans="1:11" ht="19.95" customHeight="1" x14ac:dyDescent="0.3">
      <c r="A12" s="137" t="s">
        <v>58</v>
      </c>
      <c r="B12" s="131">
        <f t="shared" ca="1" si="0"/>
        <v>0</v>
      </c>
      <c r="C12" s="132">
        <f t="shared" ca="1" si="1"/>
        <v>0</v>
      </c>
      <c r="D12" s="133">
        <f t="shared" ca="1" si="2"/>
        <v>0</v>
      </c>
      <c r="E12" s="134">
        <f t="shared" ca="1" si="3"/>
        <v>0</v>
      </c>
      <c r="F12" s="136">
        <f t="shared" ca="1" si="4"/>
        <v>0</v>
      </c>
      <c r="G12" s="121"/>
      <c r="H12" s="130">
        <f t="shared" ca="1" si="5"/>
        <v>0</v>
      </c>
      <c r="I12" s="148">
        <v>2026</v>
      </c>
      <c r="J12" s="138"/>
      <c r="K12" s="152">
        <f ca="1">MAX(0,SUM(J$2:J12)-$H$15-SUM(K$2:K11))</f>
        <v>0</v>
      </c>
    </row>
    <row r="13" spans="1:11" ht="19.95" customHeight="1" thickBot="1" x14ac:dyDescent="0.35">
      <c r="A13" s="137" t="s">
        <v>59</v>
      </c>
      <c r="B13" s="65">
        <f t="shared" ca="1" si="0"/>
        <v>0</v>
      </c>
      <c r="C13" s="66">
        <f t="shared" ca="1" si="1"/>
        <v>0</v>
      </c>
      <c r="D13" s="67">
        <f t="shared" ca="1" si="2"/>
        <v>0</v>
      </c>
      <c r="E13" s="93">
        <f t="shared" ca="1" si="3"/>
        <v>0</v>
      </c>
      <c r="F13" s="124">
        <f t="shared" ca="1" si="4"/>
        <v>0</v>
      </c>
      <c r="G13" s="121"/>
      <c r="H13" s="140">
        <f t="shared" ca="1" si="5"/>
        <v>0</v>
      </c>
      <c r="I13" s="149">
        <v>2027</v>
      </c>
      <c r="J13" s="141"/>
      <c r="K13" s="153">
        <f ca="1">MAX(0,SUM(J$2:J13)-$H$15-SUM(K$2:K12))</f>
        <v>0</v>
      </c>
    </row>
    <row r="14" spans="1:11" ht="3.6" customHeight="1" thickBot="1" x14ac:dyDescent="0.35">
      <c r="A14" s="72"/>
      <c r="B14" s="72"/>
      <c r="C14" s="73"/>
      <c r="D14" s="74"/>
      <c r="E14" s="75"/>
      <c r="F14" s="72"/>
      <c r="G14" s="64"/>
      <c r="H14" s="146"/>
      <c r="I14" s="147"/>
      <c r="J14" s="147"/>
      <c r="K14" s="150"/>
    </row>
    <row r="15" spans="1:11" ht="28.05" customHeight="1" thickBot="1" x14ac:dyDescent="0.35">
      <c r="A15" s="68" t="s">
        <v>60</v>
      </c>
      <c r="B15" s="69">
        <f ca="1">SUM(B2:B14)</f>
        <v>21</v>
      </c>
      <c r="C15" s="70">
        <f ca="1">SUM(C2:C13)</f>
        <v>0.42083333333333334</v>
      </c>
      <c r="D15" s="71">
        <f ca="1">SUM(D2:D14)</f>
        <v>10.1</v>
      </c>
      <c r="E15" s="123">
        <f ca="1">SUM(E2:E13)</f>
        <v>9.4861111111111107</v>
      </c>
      <c r="F15" s="125">
        <f ca="1">SUM(F2:F14)</f>
        <v>227.66666666666666</v>
      </c>
      <c r="G15" s="122"/>
      <c r="H15" s="154">
        <f ca="1">H2+H3+H4+H5+H6+H7+H8+H9+H10+H11+H12+H13</f>
        <v>7</v>
      </c>
      <c r="I15" s="120"/>
      <c r="J15" s="143">
        <f>J2+J3+J4+J5+J6+J7+J8+J9+J10+J11+J12+J13</f>
        <v>39</v>
      </c>
      <c r="K15" s="144">
        <f ca="1">K2+K3+K4+K5+K6+K7+K8+K9+K10+K11+K12+K13</f>
        <v>32</v>
      </c>
    </row>
    <row r="16" spans="1:11" ht="28.05" customHeight="1" x14ac:dyDescent="0.3">
      <c r="A16" s="61"/>
      <c r="B16" s="62"/>
      <c r="C16" s="62"/>
      <c r="D16" s="63"/>
      <c r="E16" s="63"/>
      <c r="F16" s="63"/>
      <c r="G16" s="64"/>
      <c r="H16" s="64"/>
      <c r="I16" s="120"/>
      <c r="J16" s="120"/>
    </row>
    <row r="21" spans="1:5" ht="28.8" x14ac:dyDescent="0.3">
      <c r="A21" s="185" t="s">
        <v>142</v>
      </c>
      <c r="B21" s="186" t="s">
        <v>143</v>
      </c>
      <c r="D21" s="185" t="s">
        <v>144</v>
      </c>
      <c r="E21" s="186" t="s">
        <v>143</v>
      </c>
    </row>
    <row r="22" spans="1:5" ht="15.6" x14ac:dyDescent="0.3">
      <c r="A22" s="155" t="s">
        <v>145</v>
      </c>
      <c r="B22" s="142">
        <f t="shared" ref="B22:B33" ca="1" si="6">INDIRECT("'"&amp;$A2&amp;" "&amp;RIGHT(G$1,2)&amp;"'!W21")</f>
        <v>1</v>
      </c>
      <c r="D22" s="155" t="s">
        <v>145</v>
      </c>
      <c r="E22" s="142">
        <f ca="1">INDIRECT("'"&amp;$A2&amp;" "&amp;RIGHT(G$1,2)&amp;"'!W23")</f>
        <v>1</v>
      </c>
    </row>
    <row r="23" spans="1:5" ht="15.6" x14ac:dyDescent="0.3">
      <c r="A23" s="155" t="s">
        <v>49</v>
      </c>
      <c r="B23" s="142">
        <f t="shared" ca="1" si="6"/>
        <v>0</v>
      </c>
      <c r="D23" s="155" t="s">
        <v>49</v>
      </c>
      <c r="E23" s="142">
        <f t="shared" ref="E23:E33" ca="1" si="7">INDIRECT("'"&amp;$A3&amp;" "&amp;RIGHT(G$1,2)&amp;"'!W23")</f>
        <v>0</v>
      </c>
    </row>
    <row r="24" spans="1:5" ht="15.6" x14ac:dyDescent="0.3">
      <c r="A24" s="155" t="s">
        <v>50</v>
      </c>
      <c r="B24" s="142">
        <f t="shared" ca="1" si="6"/>
        <v>0</v>
      </c>
      <c r="D24" s="155" t="s">
        <v>50</v>
      </c>
      <c r="E24" s="142">
        <f t="shared" ca="1" si="7"/>
        <v>0</v>
      </c>
    </row>
    <row r="25" spans="1:5" ht="15.6" x14ac:dyDescent="0.3">
      <c r="A25" s="155" t="s">
        <v>51</v>
      </c>
      <c r="B25" s="142">
        <f t="shared" ca="1" si="6"/>
        <v>0</v>
      </c>
      <c r="D25" s="155" t="s">
        <v>51</v>
      </c>
      <c r="E25" s="142">
        <f t="shared" ca="1" si="7"/>
        <v>0</v>
      </c>
    </row>
    <row r="26" spans="1:5" ht="15.6" x14ac:dyDescent="0.3">
      <c r="A26" s="155" t="s">
        <v>52</v>
      </c>
      <c r="B26" s="142">
        <f t="shared" ca="1" si="6"/>
        <v>0</v>
      </c>
      <c r="D26" s="155" t="s">
        <v>52</v>
      </c>
      <c r="E26" s="142">
        <f t="shared" ca="1" si="7"/>
        <v>0</v>
      </c>
    </row>
    <row r="27" spans="1:5" ht="15.6" x14ac:dyDescent="0.3">
      <c r="A27" s="155" t="s">
        <v>53</v>
      </c>
      <c r="B27" s="142">
        <f t="shared" ca="1" si="6"/>
        <v>0</v>
      </c>
      <c r="D27" s="155" t="s">
        <v>53</v>
      </c>
      <c r="E27" s="142">
        <f t="shared" ca="1" si="7"/>
        <v>0</v>
      </c>
    </row>
    <row r="28" spans="1:5" ht="15.6" x14ac:dyDescent="0.3">
      <c r="A28" s="155" t="s">
        <v>54</v>
      </c>
      <c r="B28" s="142">
        <f t="shared" ca="1" si="6"/>
        <v>0</v>
      </c>
      <c r="D28" s="155" t="s">
        <v>54</v>
      </c>
      <c r="E28" s="142">
        <f t="shared" ca="1" si="7"/>
        <v>0</v>
      </c>
    </row>
    <row r="29" spans="1:5" ht="15.6" x14ac:dyDescent="0.3">
      <c r="A29" s="155" t="s">
        <v>55</v>
      </c>
      <c r="B29" s="142">
        <f t="shared" ca="1" si="6"/>
        <v>0</v>
      </c>
      <c r="D29" s="155" t="s">
        <v>55</v>
      </c>
      <c r="E29" s="142">
        <f t="shared" ca="1" si="7"/>
        <v>0</v>
      </c>
    </row>
    <row r="30" spans="1:5" ht="15.6" x14ac:dyDescent="0.3">
      <c r="A30" s="155" t="s">
        <v>56</v>
      </c>
      <c r="B30" s="142">
        <f t="shared" ca="1" si="6"/>
        <v>0</v>
      </c>
      <c r="D30" s="155" t="s">
        <v>56</v>
      </c>
      <c r="E30" s="142">
        <f t="shared" ca="1" si="7"/>
        <v>0</v>
      </c>
    </row>
    <row r="31" spans="1:5" ht="15.6" x14ac:dyDescent="0.3">
      <c r="A31" s="155" t="s">
        <v>57</v>
      </c>
      <c r="B31" s="142">
        <f t="shared" ca="1" si="6"/>
        <v>0</v>
      </c>
      <c r="D31" s="155" t="s">
        <v>57</v>
      </c>
      <c r="E31" s="142">
        <f t="shared" ca="1" si="7"/>
        <v>0</v>
      </c>
    </row>
    <row r="32" spans="1:5" ht="15.6" x14ac:dyDescent="0.3">
      <c r="A32" s="155" t="s">
        <v>58</v>
      </c>
      <c r="B32" s="142">
        <f t="shared" ca="1" si="6"/>
        <v>0</v>
      </c>
      <c r="D32" s="155" t="s">
        <v>58</v>
      </c>
      <c r="E32" s="142">
        <f t="shared" ca="1" si="7"/>
        <v>0</v>
      </c>
    </row>
    <row r="33" spans="1:5" ht="15.6" x14ac:dyDescent="0.3">
      <c r="A33" s="155" t="s">
        <v>59</v>
      </c>
      <c r="B33" s="142">
        <f t="shared" ca="1" si="6"/>
        <v>0</v>
      </c>
      <c r="D33" s="155" t="s">
        <v>59</v>
      </c>
      <c r="E33" s="142">
        <f t="shared" ca="1" si="7"/>
        <v>0</v>
      </c>
    </row>
  </sheetData>
  <sheetProtection selectLockedCells="1"/>
  <mergeCells count="1">
    <mergeCell ref="I1:J1"/>
  </mergeCells>
  <conditionalFormatting sqref="K2:K13">
    <cfRule type="cellIs" dxfId="330" priority="6" operator="equal">
      <formula>0</formula>
    </cfRule>
    <cfRule type="cellIs" dxfId="329" priority="4" operator="equal">
      <formula>0</formula>
    </cfRule>
    <cfRule type="cellIs" dxfId="328" priority="3" operator="greaterThan">
      <formula>0</formula>
    </cfRule>
  </conditionalFormatting>
  <conditionalFormatting sqref="H2:H13 J2:K13">
    <cfRule type="cellIs" dxfId="327" priority="5" operator="equal">
      <formula>0</formula>
    </cfRule>
  </conditionalFormatting>
  <conditionalFormatting sqref="B22:B33">
    <cfRule type="cellIs" dxfId="326" priority="2" operator="equal">
      <formula>0</formula>
    </cfRule>
  </conditionalFormatting>
  <conditionalFormatting sqref="E22:E33">
    <cfRule type="cellIs" dxfId="325" priority="1" operator="equal">
      <formula>0</formula>
    </cfRule>
  </conditionalFormatting>
  <pageMargins left="0.23622047244094491" right="0.23622047244094491" top="0.74803149606299213" bottom="0.74803149606299213" header="0.31496062992125984" footer="0.31496062992125984"/>
  <pageSetup paperSize="9" scale="75" orientation="landscape" r:id="rId1"/>
  <ignoredErrors>
    <ignoredError sqref="E15 C1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Impression_totaux">
                <anchor moveWithCells="1" sizeWithCells="1">
                  <from>
                    <xdr:col>5</xdr:col>
                    <xdr:colOff>1303020</xdr:colOff>
                    <xdr:row>20</xdr:row>
                    <xdr:rowOff>0</xdr:rowOff>
                  </from>
                  <to>
                    <xdr:col>8</xdr:col>
                    <xdr:colOff>723900</xdr:colOff>
                    <xdr:row>21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B4"/>
  <sheetViews>
    <sheetView workbookViewId="0">
      <selection activeCell="C22" sqref="C22"/>
    </sheetView>
  </sheetViews>
  <sheetFormatPr baseColWidth="10" defaultRowHeight="14.4" x14ac:dyDescent="0.3"/>
  <cols>
    <col min="1" max="1" width="21.77734375" customWidth="1"/>
  </cols>
  <sheetData>
    <row r="1" spans="1:2" x14ac:dyDescent="0.3">
      <c r="A1" t="s">
        <v>13</v>
      </c>
      <c r="B1" s="7">
        <v>0.95833333333333337</v>
      </c>
    </row>
    <row r="2" spans="1:2" x14ac:dyDescent="0.3">
      <c r="A2" t="s">
        <v>14</v>
      </c>
      <c r="B2" s="8">
        <v>1.25</v>
      </c>
    </row>
    <row r="3" spans="1:2" x14ac:dyDescent="0.3">
      <c r="A3" t="s">
        <v>15</v>
      </c>
      <c r="B3" s="7">
        <v>0.25</v>
      </c>
    </row>
    <row r="4" spans="1:2" x14ac:dyDescent="0.3">
      <c r="A4" t="s">
        <v>16</v>
      </c>
      <c r="B4" s="7">
        <v>0.95833333333333337</v>
      </c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init">
                <anchor moveWithCells="1" sizeWithCells="1">
                  <from>
                    <xdr:col>0</xdr:col>
                    <xdr:colOff>342900</xdr:colOff>
                    <xdr:row>7</xdr:row>
                    <xdr:rowOff>7620</xdr:rowOff>
                  </from>
                  <to>
                    <xdr:col>3</xdr:col>
                    <xdr:colOff>746760</xdr:colOff>
                    <xdr:row>10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G91"/>
  <sheetViews>
    <sheetView showZeros="0" workbookViewId="0">
      <selection activeCell="G25" sqref="G25"/>
    </sheetView>
  </sheetViews>
  <sheetFormatPr baseColWidth="10" defaultColWidth="11.5546875" defaultRowHeight="14.4" x14ac:dyDescent="0.3"/>
  <cols>
    <col min="1" max="1" width="21.33203125" style="15" customWidth="1"/>
    <col min="2" max="2" width="23.109375" style="85" customWidth="1"/>
    <col min="3" max="3" width="17.109375" style="15" customWidth="1"/>
    <col min="4" max="4" width="24.77734375" style="15" customWidth="1"/>
    <col min="5" max="5" width="11.5546875" style="15"/>
    <col min="6" max="6" width="25.5546875" style="15" customWidth="1"/>
    <col min="7" max="7" width="24.21875" style="15" customWidth="1"/>
    <col min="8" max="16384" width="11.5546875" style="15"/>
  </cols>
  <sheetData>
    <row r="1" spans="1:7" x14ac:dyDescent="0.3">
      <c r="A1" s="80">
        <v>2018</v>
      </c>
      <c r="B1" s="81" t="s">
        <v>40</v>
      </c>
      <c r="C1" s="82">
        <v>43101</v>
      </c>
      <c r="D1" s="83">
        <f>IF(WEEKDAY(C1,2)=7,0,C1)</f>
        <v>43101</v>
      </c>
      <c r="F1" s="158" t="s">
        <v>149</v>
      </c>
      <c r="G1" s="159">
        <v>43466</v>
      </c>
    </row>
    <row r="2" spans="1:7" x14ac:dyDescent="0.3">
      <c r="A2" s="84"/>
      <c r="B2" s="81" t="s">
        <v>38</v>
      </c>
      <c r="C2" s="82">
        <v>43189</v>
      </c>
      <c r="D2" s="83">
        <f t="shared" ref="D2:D12" si="0">IF(WEEKDAY(C2,2)=7,0,C2)</f>
        <v>43189</v>
      </c>
      <c r="F2" s="158" t="s">
        <v>147</v>
      </c>
      <c r="G2" s="159">
        <v>43574</v>
      </c>
    </row>
    <row r="3" spans="1:7" x14ac:dyDescent="0.3">
      <c r="A3" s="84"/>
      <c r="B3" s="81" t="s">
        <v>7</v>
      </c>
      <c r="C3" s="82">
        <v>43192</v>
      </c>
      <c r="D3" s="83">
        <f t="shared" si="0"/>
        <v>43192</v>
      </c>
      <c r="F3" s="158" t="s">
        <v>150</v>
      </c>
      <c r="G3" s="159">
        <v>43577</v>
      </c>
    </row>
    <row r="4" spans="1:7" x14ac:dyDescent="0.3">
      <c r="A4" s="84"/>
      <c r="B4" s="81" t="s">
        <v>41</v>
      </c>
      <c r="C4" s="82">
        <v>43230</v>
      </c>
      <c r="D4" s="83">
        <f t="shared" si="0"/>
        <v>43230</v>
      </c>
      <c r="F4" s="158" t="s">
        <v>151</v>
      </c>
      <c r="G4" s="159">
        <v>43615</v>
      </c>
    </row>
    <row r="5" spans="1:7" x14ac:dyDescent="0.3">
      <c r="A5" s="84"/>
      <c r="B5" s="81" t="s">
        <v>42</v>
      </c>
      <c r="C5" s="82">
        <v>43241</v>
      </c>
      <c r="D5" s="83">
        <f t="shared" si="0"/>
        <v>43241</v>
      </c>
      <c r="F5" s="158" t="s">
        <v>152</v>
      </c>
      <c r="G5" s="159">
        <v>43626</v>
      </c>
    </row>
    <row r="6" spans="1:7" x14ac:dyDescent="0.3">
      <c r="A6" s="84"/>
      <c r="B6" s="81" t="s">
        <v>43</v>
      </c>
      <c r="C6" s="82">
        <v>43313</v>
      </c>
      <c r="D6" s="83">
        <f t="shared" si="0"/>
        <v>43313</v>
      </c>
      <c r="F6" s="158" t="s">
        <v>153</v>
      </c>
      <c r="G6" s="159">
        <v>43678</v>
      </c>
    </row>
    <row r="7" spans="1:7" x14ac:dyDescent="0.3">
      <c r="A7" s="84"/>
      <c r="B7" s="81" t="s">
        <v>44</v>
      </c>
      <c r="C7" s="82">
        <v>43349</v>
      </c>
      <c r="D7" s="83">
        <f t="shared" si="0"/>
        <v>43349</v>
      </c>
      <c r="F7" s="158" t="s">
        <v>154</v>
      </c>
      <c r="G7" s="159">
        <v>43713</v>
      </c>
    </row>
    <row r="8" spans="1:7" x14ac:dyDescent="0.3">
      <c r="A8" s="84"/>
      <c r="B8" s="81" t="s">
        <v>45</v>
      </c>
      <c r="C8" s="82">
        <v>43459</v>
      </c>
      <c r="D8" s="83">
        <f t="shared" si="0"/>
        <v>43459</v>
      </c>
      <c r="F8" s="158" t="s">
        <v>155</v>
      </c>
      <c r="G8" s="159">
        <v>43824</v>
      </c>
    </row>
    <row r="9" spans="1:7" x14ac:dyDescent="0.3">
      <c r="A9" s="84"/>
      <c r="B9" s="81" t="s">
        <v>39</v>
      </c>
      <c r="C9" s="82">
        <v>43465</v>
      </c>
      <c r="D9" s="83">
        <f t="shared" si="0"/>
        <v>43465</v>
      </c>
      <c r="F9" s="160" t="s">
        <v>156</v>
      </c>
      <c r="G9" s="161">
        <v>43830</v>
      </c>
    </row>
    <row r="10" spans="1:7" x14ac:dyDescent="0.3">
      <c r="A10" s="84"/>
      <c r="B10" s="158" t="s">
        <v>146</v>
      </c>
      <c r="C10" s="82">
        <v>43466</v>
      </c>
      <c r="D10" s="83">
        <f t="shared" si="0"/>
        <v>43466</v>
      </c>
      <c r="G10" s="161"/>
    </row>
    <row r="11" spans="1:7" x14ac:dyDescent="0.3">
      <c r="A11" s="84"/>
      <c r="B11" s="158" t="s">
        <v>147</v>
      </c>
      <c r="C11" s="82">
        <v>43574</v>
      </c>
      <c r="D11" s="83">
        <f t="shared" si="0"/>
        <v>43574</v>
      </c>
      <c r="G11" s="161"/>
    </row>
    <row r="12" spans="1:7" x14ac:dyDescent="0.3">
      <c r="A12" s="84"/>
      <c r="B12" s="158" t="s">
        <v>148</v>
      </c>
      <c r="C12" s="82">
        <v>43577</v>
      </c>
      <c r="D12" s="83">
        <f t="shared" si="0"/>
        <v>43577</v>
      </c>
      <c r="F12" s="158" t="s">
        <v>157</v>
      </c>
      <c r="G12" s="159">
        <v>43831</v>
      </c>
    </row>
    <row r="13" spans="1:7" x14ac:dyDescent="0.3">
      <c r="F13" s="158" t="s">
        <v>158</v>
      </c>
      <c r="G13" s="159">
        <v>43931</v>
      </c>
    </row>
    <row r="14" spans="1:7" x14ac:dyDescent="0.3">
      <c r="F14" s="158" t="s">
        <v>159</v>
      </c>
      <c r="G14" s="159">
        <v>43934</v>
      </c>
    </row>
    <row r="15" spans="1:7" x14ac:dyDescent="0.3">
      <c r="F15" s="158" t="s">
        <v>160</v>
      </c>
      <c r="G15" s="159">
        <v>43972</v>
      </c>
    </row>
    <row r="16" spans="1:7" x14ac:dyDescent="0.3">
      <c r="F16" s="158" t="s">
        <v>161</v>
      </c>
      <c r="G16" s="159">
        <v>43983</v>
      </c>
    </row>
    <row r="17" spans="1:7" x14ac:dyDescent="0.3">
      <c r="F17" s="158" t="s">
        <v>162</v>
      </c>
      <c r="G17" s="159">
        <v>44044</v>
      </c>
    </row>
    <row r="18" spans="1:7" x14ac:dyDescent="0.3">
      <c r="A18" s="97" t="s">
        <v>122</v>
      </c>
      <c r="B18" s="98">
        <v>0.375</v>
      </c>
      <c r="C18" s="98">
        <v>0.66319444444444442</v>
      </c>
      <c r="F18" s="158" t="s">
        <v>163</v>
      </c>
      <c r="G18" s="159">
        <v>44084</v>
      </c>
    </row>
    <row r="19" spans="1:7" x14ac:dyDescent="0.3">
      <c r="A19" s="86" t="s">
        <v>121</v>
      </c>
      <c r="B19" s="99">
        <v>0.41666666666666669</v>
      </c>
      <c r="C19" s="99">
        <v>0.74930555555555556</v>
      </c>
      <c r="F19" s="158" t="s">
        <v>164</v>
      </c>
      <c r="G19" s="159">
        <v>44190</v>
      </c>
    </row>
    <row r="20" spans="1:7" x14ac:dyDescent="0.3">
      <c r="A20" s="86" t="s">
        <v>61</v>
      </c>
      <c r="B20" s="99">
        <v>0.41666666666666669</v>
      </c>
      <c r="C20" s="99">
        <v>0.65694444444444444</v>
      </c>
      <c r="F20" s="160" t="s">
        <v>165</v>
      </c>
      <c r="G20" s="159">
        <v>44196</v>
      </c>
    </row>
    <row r="22" spans="1:7" x14ac:dyDescent="0.3">
      <c r="A22" s="15" t="s">
        <v>105</v>
      </c>
      <c r="B22" s="16" t="s">
        <v>103</v>
      </c>
      <c r="C22" s="16" t="s">
        <v>104</v>
      </c>
      <c r="D22" s="15" t="s">
        <v>124</v>
      </c>
    </row>
    <row r="23" spans="1:7" x14ac:dyDescent="0.3">
      <c r="A23" s="87" t="s">
        <v>106</v>
      </c>
      <c r="B23" s="88">
        <v>0.75</v>
      </c>
      <c r="C23" s="88">
        <v>0.125</v>
      </c>
      <c r="D23" s="87"/>
    </row>
    <row r="24" spans="1:7" x14ac:dyDescent="0.3">
      <c r="A24" s="87" t="s">
        <v>65</v>
      </c>
      <c r="B24" s="88">
        <v>0.27083333333333331</v>
      </c>
      <c r="C24" s="88">
        <v>0.77083333333333337</v>
      </c>
      <c r="D24" s="87"/>
    </row>
    <row r="25" spans="1:7" x14ac:dyDescent="0.3">
      <c r="A25" s="87" t="s">
        <v>66</v>
      </c>
      <c r="B25" s="88">
        <v>0.77083333333333337</v>
      </c>
      <c r="C25" s="88">
        <v>0.27083333333333331</v>
      </c>
      <c r="D25" s="87"/>
    </row>
    <row r="26" spans="1:7" x14ac:dyDescent="0.3">
      <c r="A26" s="87" t="s">
        <v>67</v>
      </c>
      <c r="B26" s="88">
        <v>0.82291666666666663</v>
      </c>
      <c r="C26" s="88">
        <v>0.28125</v>
      </c>
      <c r="D26" s="87"/>
    </row>
    <row r="27" spans="1:7" x14ac:dyDescent="0.3">
      <c r="A27" s="87" t="s">
        <v>68</v>
      </c>
      <c r="B27" s="88">
        <v>0.29166666666666669</v>
      </c>
      <c r="C27" s="88">
        <v>0.79166666666666663</v>
      </c>
      <c r="D27" s="87"/>
    </row>
    <row r="28" spans="1:7" x14ac:dyDescent="0.3">
      <c r="A28" s="87" t="s">
        <v>69</v>
      </c>
      <c r="B28" s="88">
        <v>0.79166666666666663</v>
      </c>
      <c r="C28" s="88">
        <v>0.29166666666666669</v>
      </c>
      <c r="D28" s="87"/>
    </row>
    <row r="29" spans="1:7" x14ac:dyDescent="0.3">
      <c r="A29" s="87" t="s">
        <v>70</v>
      </c>
      <c r="B29" s="88">
        <v>0.25</v>
      </c>
      <c r="C29" s="88">
        <v>0.75</v>
      </c>
      <c r="D29" s="87"/>
    </row>
    <row r="30" spans="1:7" x14ac:dyDescent="0.3">
      <c r="A30" s="87" t="s">
        <v>71</v>
      </c>
      <c r="B30" s="88">
        <v>0.75</v>
      </c>
      <c r="C30" s="88">
        <v>0.25</v>
      </c>
      <c r="D30" s="87"/>
    </row>
    <row r="31" spans="1:7" x14ac:dyDescent="0.3">
      <c r="A31" s="87" t="s">
        <v>72</v>
      </c>
      <c r="B31" s="88">
        <v>0.25</v>
      </c>
      <c r="C31" s="88">
        <v>0.75</v>
      </c>
      <c r="D31" s="87"/>
    </row>
    <row r="32" spans="1:7" x14ac:dyDescent="0.3">
      <c r="A32" s="87" t="s">
        <v>73</v>
      </c>
      <c r="B32" s="88">
        <v>0.75</v>
      </c>
      <c r="C32" s="88">
        <v>0.25</v>
      </c>
      <c r="D32" s="87"/>
    </row>
    <row r="33" spans="1:4" x14ac:dyDescent="0.3">
      <c r="A33" s="87" t="s">
        <v>74</v>
      </c>
      <c r="B33" s="88">
        <v>0.22916666666666666</v>
      </c>
      <c r="C33" s="88">
        <v>0.72916666666666663</v>
      </c>
      <c r="D33" s="87"/>
    </row>
    <row r="34" spans="1:4" x14ac:dyDescent="0.3">
      <c r="A34" s="87" t="s">
        <v>75</v>
      </c>
      <c r="B34" s="88">
        <v>0.72916666666666663</v>
      </c>
      <c r="C34" s="88">
        <v>0.22916666666666666</v>
      </c>
      <c r="D34" s="87"/>
    </row>
    <row r="35" spans="1:4" x14ac:dyDescent="0.3">
      <c r="A35" s="87" t="s">
        <v>76</v>
      </c>
      <c r="B35" s="88">
        <v>0.83333333333333337</v>
      </c>
      <c r="C35" s="88">
        <v>0.29166666666666669</v>
      </c>
      <c r="D35" s="87"/>
    </row>
    <row r="36" spans="1:4" x14ac:dyDescent="0.3">
      <c r="A36" s="87" t="s">
        <v>77</v>
      </c>
      <c r="B36" s="88">
        <v>0.25</v>
      </c>
      <c r="C36" s="88">
        <v>0.75</v>
      </c>
      <c r="D36" s="87"/>
    </row>
    <row r="37" spans="1:4" x14ac:dyDescent="0.3">
      <c r="A37" s="87" t="s">
        <v>78</v>
      </c>
      <c r="B37" s="88">
        <v>0.75</v>
      </c>
      <c r="C37" s="88">
        <v>0.25</v>
      </c>
      <c r="D37" s="87"/>
    </row>
    <row r="38" spans="1:4" x14ac:dyDescent="0.3">
      <c r="A38" s="87" t="s">
        <v>79</v>
      </c>
      <c r="B38" s="88">
        <v>0.25</v>
      </c>
      <c r="C38" s="88">
        <v>0.75</v>
      </c>
      <c r="D38" s="87"/>
    </row>
    <row r="39" spans="1:4" x14ac:dyDescent="0.3">
      <c r="A39" s="87" t="s">
        <v>80</v>
      </c>
      <c r="B39" s="88">
        <v>0.75</v>
      </c>
      <c r="C39" s="88">
        <v>0.25</v>
      </c>
      <c r="D39" s="87"/>
    </row>
    <row r="40" spans="1:4" x14ac:dyDescent="0.3">
      <c r="A40" s="87" t="s">
        <v>81</v>
      </c>
      <c r="B40" s="88">
        <v>0.85416666666666663</v>
      </c>
      <c r="C40" s="88">
        <v>0.3125</v>
      </c>
      <c r="D40" s="87"/>
    </row>
    <row r="41" spans="1:4" x14ac:dyDescent="0.3">
      <c r="A41" s="87" t="s">
        <v>108</v>
      </c>
      <c r="B41" s="88">
        <v>0.25</v>
      </c>
      <c r="C41" s="88">
        <v>0.75</v>
      </c>
      <c r="D41" s="87"/>
    </row>
    <row r="42" spans="1:4" x14ac:dyDescent="0.3">
      <c r="A42" s="87" t="s">
        <v>107</v>
      </c>
      <c r="B42" s="88">
        <v>0.27083333333333331</v>
      </c>
      <c r="C42" s="88">
        <v>0.77083333333333337</v>
      </c>
      <c r="D42" s="87"/>
    </row>
    <row r="43" spans="1:4" x14ac:dyDescent="0.3">
      <c r="A43" s="87" t="s">
        <v>82</v>
      </c>
      <c r="B43" s="88">
        <v>0.8125</v>
      </c>
      <c r="C43" s="88">
        <v>0.27083333333333331</v>
      </c>
      <c r="D43" s="87"/>
    </row>
    <row r="44" spans="1:4" x14ac:dyDescent="0.3">
      <c r="A44" s="87" t="s">
        <v>83</v>
      </c>
      <c r="B44" s="88">
        <v>0.29166666666666669</v>
      </c>
      <c r="C44" s="88">
        <v>0.79166666666666663</v>
      </c>
      <c r="D44" s="87"/>
    </row>
    <row r="45" spans="1:4" x14ac:dyDescent="0.3">
      <c r="A45" s="87" t="s">
        <v>84</v>
      </c>
      <c r="B45" s="88">
        <v>0.79166666666666663</v>
      </c>
      <c r="C45" s="88">
        <v>0.29166666666666669</v>
      </c>
      <c r="D45" s="87"/>
    </row>
    <row r="46" spans="1:4" x14ac:dyDescent="0.3">
      <c r="A46" s="87" t="s">
        <v>85</v>
      </c>
      <c r="B46" s="88">
        <v>0.72916666666666663</v>
      </c>
      <c r="C46" s="88">
        <v>0.1875</v>
      </c>
      <c r="D46" s="87"/>
    </row>
    <row r="47" spans="1:4" x14ac:dyDescent="0.3">
      <c r="A47" s="87" t="s">
        <v>86</v>
      </c>
      <c r="B47" s="88">
        <v>0.8125</v>
      </c>
      <c r="C47" s="88">
        <v>0.27083333333333331</v>
      </c>
      <c r="D47" s="87"/>
    </row>
    <row r="48" spans="1:4" x14ac:dyDescent="0.3">
      <c r="A48" s="87" t="s">
        <v>87</v>
      </c>
      <c r="B48" s="88">
        <v>0.72916666666666663</v>
      </c>
      <c r="C48" s="88">
        <v>0.1875</v>
      </c>
      <c r="D48" s="87"/>
    </row>
    <row r="49" spans="1:4" x14ac:dyDescent="0.3">
      <c r="A49" s="87" t="s">
        <v>88</v>
      </c>
      <c r="B49" s="88">
        <v>0.77083333333333337</v>
      </c>
      <c r="C49" s="88">
        <v>0.22916666666666666</v>
      </c>
      <c r="D49" s="87"/>
    </row>
    <row r="50" spans="1:4" x14ac:dyDescent="0.3">
      <c r="A50" s="87" t="s">
        <v>89</v>
      </c>
      <c r="B50" s="88">
        <v>0.75</v>
      </c>
      <c r="C50" s="88">
        <v>0.20833333333333334</v>
      </c>
      <c r="D50" s="87"/>
    </row>
    <row r="51" spans="1:4" x14ac:dyDescent="0.3">
      <c r="A51" s="87" t="s">
        <v>90</v>
      </c>
      <c r="B51" s="88">
        <v>0.80208333333333337</v>
      </c>
      <c r="C51" s="88">
        <v>0.26041666666666669</v>
      </c>
      <c r="D51" s="87"/>
    </row>
    <row r="52" spans="1:4" x14ac:dyDescent="0.3">
      <c r="A52" s="87" t="s">
        <v>91</v>
      </c>
      <c r="B52" s="88">
        <v>0.86458333333333337</v>
      </c>
      <c r="C52" s="88">
        <v>0.32291666666666669</v>
      </c>
      <c r="D52" s="87"/>
    </row>
    <row r="53" spans="1:4" x14ac:dyDescent="0.3">
      <c r="A53" s="87" t="s">
        <v>110</v>
      </c>
      <c r="B53" s="88">
        <v>0.25</v>
      </c>
      <c r="C53" s="88">
        <v>0.75</v>
      </c>
      <c r="D53" s="87"/>
    </row>
    <row r="54" spans="1:4" x14ac:dyDescent="0.3">
      <c r="A54" s="87" t="s">
        <v>109</v>
      </c>
      <c r="B54" s="88">
        <v>0.27083333333333331</v>
      </c>
      <c r="C54" s="88">
        <v>0.77083333333333337</v>
      </c>
      <c r="D54" s="87"/>
    </row>
    <row r="55" spans="1:4" x14ac:dyDescent="0.3">
      <c r="A55" s="87" t="s">
        <v>92</v>
      </c>
      <c r="B55" s="88">
        <v>0.75</v>
      </c>
      <c r="C55" s="88">
        <v>0.20833333333333334</v>
      </c>
      <c r="D55" s="87"/>
    </row>
    <row r="56" spans="1:4" x14ac:dyDescent="0.3">
      <c r="A56" s="87" t="s">
        <v>114</v>
      </c>
      <c r="B56" s="88">
        <v>0.71875</v>
      </c>
      <c r="C56" s="88">
        <v>9.375E-2</v>
      </c>
      <c r="D56" s="87"/>
    </row>
    <row r="57" spans="1:4" x14ac:dyDescent="0.3">
      <c r="A57" s="87" t="s">
        <v>111</v>
      </c>
      <c r="B57" s="88">
        <v>0.80208333333333337</v>
      </c>
      <c r="C57" s="88">
        <v>0.26041666666666669</v>
      </c>
      <c r="D57" s="87"/>
    </row>
    <row r="58" spans="1:4" x14ac:dyDescent="0.3">
      <c r="A58" s="87" t="s">
        <v>93</v>
      </c>
      <c r="B58" s="88">
        <v>0.67708333333333337</v>
      </c>
      <c r="C58" s="88">
        <v>5.2083333333333336E-2</v>
      </c>
      <c r="D58" s="87"/>
    </row>
    <row r="59" spans="1:4" x14ac:dyDescent="0.3">
      <c r="A59" s="87" t="s">
        <v>94</v>
      </c>
      <c r="B59" s="88">
        <v>0.83333333333333337</v>
      </c>
      <c r="C59" s="88">
        <v>0.29166666666666669</v>
      </c>
      <c r="D59" s="87"/>
    </row>
    <row r="60" spans="1:4" x14ac:dyDescent="0.3">
      <c r="A60" s="87" t="s">
        <v>95</v>
      </c>
      <c r="B60" s="88">
        <v>0.72916666666666663</v>
      </c>
      <c r="C60" s="88">
        <v>0.1875</v>
      </c>
      <c r="D60" s="87"/>
    </row>
    <row r="61" spans="1:4" x14ac:dyDescent="0.3">
      <c r="A61" s="87" t="s">
        <v>112</v>
      </c>
      <c r="B61" s="88">
        <v>0.70833333333333337</v>
      </c>
      <c r="C61" s="88">
        <v>0.16666666666666666</v>
      </c>
      <c r="D61" s="87"/>
    </row>
    <row r="62" spans="1:4" x14ac:dyDescent="0.3">
      <c r="A62" s="87" t="s">
        <v>113</v>
      </c>
      <c r="B62" s="88">
        <v>0.6875</v>
      </c>
      <c r="C62" s="88">
        <v>0.14583333333333334</v>
      </c>
      <c r="D62" s="87"/>
    </row>
    <row r="63" spans="1:4" x14ac:dyDescent="0.3">
      <c r="A63" s="87" t="s">
        <v>96</v>
      </c>
      <c r="B63" s="88">
        <v>0.75</v>
      </c>
      <c r="C63" s="88">
        <v>8.3333333333333329E-2</v>
      </c>
      <c r="D63" s="87"/>
    </row>
    <row r="64" spans="1:4" x14ac:dyDescent="0.3">
      <c r="A64" s="87" t="s">
        <v>97</v>
      </c>
      <c r="B64" s="88">
        <v>0.73958333333333337</v>
      </c>
      <c r="C64" s="88">
        <v>0.10416666666666667</v>
      </c>
      <c r="D64" s="87"/>
    </row>
    <row r="65" spans="1:4" x14ac:dyDescent="0.3">
      <c r="A65" s="87" t="s">
        <v>98</v>
      </c>
      <c r="B65" s="88">
        <v>0.70833333333333337</v>
      </c>
      <c r="C65" s="88">
        <v>0.16666666666666666</v>
      </c>
      <c r="D65" s="87"/>
    </row>
    <row r="66" spans="1:4" x14ac:dyDescent="0.3">
      <c r="A66" s="89" t="s">
        <v>99</v>
      </c>
      <c r="B66" s="90">
        <v>0.82291666666666663</v>
      </c>
      <c r="C66" s="90">
        <v>0.28125</v>
      </c>
      <c r="D66" s="89"/>
    </row>
    <row r="67" spans="1:4" x14ac:dyDescent="0.3">
      <c r="A67" s="89" t="s">
        <v>100</v>
      </c>
      <c r="B67" s="90">
        <v>0.70833333333333337</v>
      </c>
      <c r="C67" s="90">
        <v>4.1666666666666664E-2</v>
      </c>
      <c r="D67" s="89"/>
    </row>
    <row r="68" spans="1:4" x14ac:dyDescent="0.3">
      <c r="A68" s="89" t="s">
        <v>64</v>
      </c>
      <c r="B68" s="90">
        <v>0.33333333333333331</v>
      </c>
      <c r="C68" s="90">
        <v>0.75</v>
      </c>
      <c r="D68" s="89"/>
    </row>
    <row r="69" spans="1:4" x14ac:dyDescent="0.3">
      <c r="A69" s="101" t="s">
        <v>63</v>
      </c>
      <c r="B69" s="102">
        <v>0.41666666666666669</v>
      </c>
      <c r="C69" s="102">
        <v>0.74930555555555556</v>
      </c>
      <c r="D69" s="101" t="s">
        <v>123</v>
      </c>
    </row>
    <row r="70" spans="1:4" x14ac:dyDescent="0.3">
      <c r="A70" s="101" t="s">
        <v>115</v>
      </c>
      <c r="B70" s="102">
        <v>0.375</v>
      </c>
      <c r="C70" s="102">
        <v>0.61527777777777781</v>
      </c>
      <c r="D70" s="101" t="s">
        <v>123</v>
      </c>
    </row>
    <row r="71" spans="1:4" x14ac:dyDescent="0.3">
      <c r="A71" s="101" t="s">
        <v>122</v>
      </c>
      <c r="B71" s="102">
        <v>0.375</v>
      </c>
      <c r="C71" s="102">
        <v>0.66319444444444442</v>
      </c>
      <c r="D71" s="101" t="s">
        <v>123</v>
      </c>
    </row>
    <row r="72" spans="1:4" x14ac:dyDescent="0.3">
      <c r="A72" s="101" t="s">
        <v>121</v>
      </c>
      <c r="B72" s="102">
        <v>0.375</v>
      </c>
      <c r="C72" s="102">
        <v>0.70763888888888893</v>
      </c>
      <c r="D72" s="101" t="s">
        <v>123</v>
      </c>
    </row>
    <row r="73" spans="1:4" x14ac:dyDescent="0.3">
      <c r="A73" s="119" t="s">
        <v>116</v>
      </c>
      <c r="B73" s="102"/>
      <c r="C73" s="102"/>
      <c r="D73" s="119" t="s">
        <v>123</v>
      </c>
    </row>
    <row r="74" spans="1:4" x14ac:dyDescent="0.3">
      <c r="A74" s="101" t="s">
        <v>117</v>
      </c>
      <c r="B74" s="102"/>
      <c r="C74" s="102"/>
      <c r="D74" s="119" t="s">
        <v>123</v>
      </c>
    </row>
    <row r="75" spans="1:4" x14ac:dyDescent="0.3">
      <c r="A75" s="101" t="s">
        <v>118</v>
      </c>
      <c r="B75" s="102"/>
      <c r="C75" s="102"/>
      <c r="D75" s="119" t="s">
        <v>123</v>
      </c>
    </row>
    <row r="76" spans="1:4" x14ac:dyDescent="0.3">
      <c r="A76" s="101" t="s">
        <v>119</v>
      </c>
      <c r="B76" s="102">
        <v>0.33333333333333331</v>
      </c>
      <c r="C76" s="102">
        <v>0.375</v>
      </c>
      <c r="D76" s="101" t="s">
        <v>123</v>
      </c>
    </row>
    <row r="77" spans="1:4" x14ac:dyDescent="0.3">
      <c r="A77" s="101" t="s">
        <v>120</v>
      </c>
      <c r="B77" s="102"/>
      <c r="C77" s="102"/>
      <c r="D77" s="101" t="s">
        <v>123</v>
      </c>
    </row>
    <row r="78" spans="1:4" x14ac:dyDescent="0.3">
      <c r="A78" s="101" t="s">
        <v>133</v>
      </c>
      <c r="B78" s="102">
        <v>0.375</v>
      </c>
      <c r="C78" s="102">
        <v>0.61527777777777781</v>
      </c>
      <c r="D78" s="101" t="s">
        <v>123</v>
      </c>
    </row>
    <row r="79" spans="1:4" x14ac:dyDescent="0.3">
      <c r="A79" s="156"/>
      <c r="B79" s="157"/>
      <c r="C79" s="156"/>
      <c r="D79" s="156"/>
    </row>
    <row r="80" spans="1:4" x14ac:dyDescent="0.3">
      <c r="A80" s="156"/>
      <c r="B80" s="157"/>
      <c r="C80" s="156"/>
      <c r="D80" s="156"/>
    </row>
    <row r="81" spans="1:4" x14ac:dyDescent="0.3">
      <c r="A81" s="156"/>
      <c r="B81" s="157"/>
      <c r="C81" s="156"/>
      <c r="D81" s="156"/>
    </row>
    <row r="82" spans="1:4" x14ac:dyDescent="0.3">
      <c r="A82" s="156"/>
      <c r="B82" s="157"/>
      <c r="C82" s="156"/>
      <c r="D82" s="156"/>
    </row>
    <row r="83" spans="1:4" x14ac:dyDescent="0.3">
      <c r="A83" s="156"/>
      <c r="B83" s="157"/>
      <c r="C83" s="156"/>
      <c r="D83" s="156"/>
    </row>
    <row r="84" spans="1:4" x14ac:dyDescent="0.3">
      <c r="A84" s="156"/>
      <c r="B84" s="157"/>
      <c r="C84" s="156"/>
      <c r="D84" s="156"/>
    </row>
    <row r="85" spans="1:4" x14ac:dyDescent="0.3">
      <c r="A85" s="156"/>
      <c r="B85" s="157"/>
      <c r="C85" s="156"/>
      <c r="D85" s="156"/>
    </row>
    <row r="86" spans="1:4" x14ac:dyDescent="0.3">
      <c r="A86" s="156"/>
      <c r="B86" s="157"/>
      <c r="C86" s="156"/>
      <c r="D86" s="156"/>
    </row>
    <row r="87" spans="1:4" x14ac:dyDescent="0.3">
      <c r="A87" s="156"/>
      <c r="B87" s="157"/>
      <c r="C87" s="156"/>
      <c r="D87" s="156"/>
    </row>
    <row r="88" spans="1:4" x14ac:dyDescent="0.3">
      <c r="A88" s="156"/>
      <c r="B88" s="157"/>
      <c r="C88" s="156"/>
      <c r="D88" s="156"/>
    </row>
    <row r="89" spans="1:4" x14ac:dyDescent="0.3">
      <c r="A89" s="156"/>
      <c r="B89" s="157"/>
      <c r="C89" s="156"/>
      <c r="D89" s="156"/>
    </row>
    <row r="90" spans="1:4" x14ac:dyDescent="0.3">
      <c r="A90" s="156"/>
      <c r="B90" s="157"/>
      <c r="C90" s="156"/>
      <c r="D90" s="156"/>
    </row>
    <row r="91" spans="1:4" x14ac:dyDescent="0.3">
      <c r="A91" s="156"/>
      <c r="B91" s="157"/>
      <c r="C91" s="156"/>
      <c r="D91" s="156"/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60"/>
  <sheetViews>
    <sheetView tabSelected="1" topLeftCell="I1" zoomScale="90" zoomScaleNormal="90" zoomScalePageLayoutView="55" workbookViewId="0">
      <selection activeCell="W9" sqref="W9"/>
    </sheetView>
  </sheetViews>
  <sheetFormatPr baseColWidth="10" defaultRowHeight="14.4" x14ac:dyDescent="0.3"/>
  <cols>
    <col min="1" max="1" width="17.77734375" customWidth="1"/>
    <col min="2" max="2" width="13.777343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1.21875" style="11" bestFit="1" customWidth="1"/>
    <col min="11" max="11" width="11.21875" style="11" hidden="1" customWidth="1"/>
    <col min="12" max="12" width="14.44140625" hidden="1" customWidth="1"/>
    <col min="13" max="13" width="12.109375" hidden="1" customWidth="1"/>
    <col min="14" max="14" width="20.6640625" hidden="1" customWidth="1"/>
    <col min="15" max="15" width="17.6640625" hidden="1" customWidth="1"/>
    <col min="16" max="16" width="21.88671875" hidden="1" customWidth="1"/>
    <col min="17" max="17" width="15" hidden="1" customWidth="1"/>
    <col min="18" max="18" width="21.77734375" hidden="1" customWidth="1"/>
    <col min="19" max="19" width="15" hidden="1" customWidth="1"/>
    <col min="20" max="20" width="20.109375" hidden="1" customWidth="1"/>
    <col min="21" max="21" width="11.5546875" hidden="1" customWidth="1"/>
    <col min="22" max="22" width="22.33203125" customWidth="1"/>
    <col min="23" max="63" width="15.77734375" customWidth="1"/>
  </cols>
  <sheetData>
    <row r="1" spans="1:29" ht="15.6" customHeight="1" x14ac:dyDescent="0.3">
      <c r="A1" s="214"/>
      <c r="B1" s="214"/>
      <c r="C1" s="12"/>
      <c r="D1" s="12"/>
      <c r="E1" s="13"/>
      <c r="F1" s="13"/>
      <c r="G1" s="13"/>
      <c r="H1" s="220" t="s">
        <v>101</v>
      </c>
      <c r="I1" s="220"/>
      <c r="J1" s="220"/>
      <c r="K1" s="96"/>
      <c r="L1" s="12"/>
      <c r="M1" s="12"/>
      <c r="N1" s="12"/>
      <c r="O1" s="12"/>
      <c r="P1" s="15"/>
      <c r="Q1" s="15"/>
      <c r="R1" s="15"/>
      <c r="S1" s="15"/>
      <c r="T1" s="15"/>
    </row>
    <row r="2" spans="1:29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9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  <c r="V3" s="114"/>
      <c r="W3" s="114"/>
      <c r="X3" s="114"/>
      <c r="Y3" s="114"/>
      <c r="Z3" s="114"/>
      <c r="AA3" s="114"/>
      <c r="AB3" s="114"/>
      <c r="AC3" s="114"/>
    </row>
    <row r="4" spans="1:29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  <c r="V4" s="114"/>
      <c r="W4" s="114"/>
      <c r="X4" s="114"/>
      <c r="Y4" s="114"/>
      <c r="Z4" s="114"/>
      <c r="AA4" s="114"/>
      <c r="AB4" s="114"/>
      <c r="AC4" s="114"/>
    </row>
    <row r="5" spans="1:29" ht="19.8" customHeight="1" x14ac:dyDescent="0.3">
      <c r="A5" s="76" t="s">
        <v>46</v>
      </c>
      <c r="B5" s="91"/>
      <c r="C5" s="17" t="s">
        <v>36</v>
      </c>
      <c r="D5" s="217"/>
      <c r="E5" s="218"/>
      <c r="F5" s="218"/>
      <c r="G5" s="219" t="s">
        <v>22</v>
      </c>
      <c r="H5" s="219"/>
      <c r="I5" s="100" t="str">
        <f ca="1">MID(CELL("filename",A1),FIND("]",CELL("filename",A1))+1,99)</f>
        <v>Janvier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  <c r="V5" s="114"/>
      <c r="W5" s="114"/>
      <c r="X5" s="114"/>
      <c r="Y5" s="114"/>
      <c r="Z5" s="114"/>
      <c r="AA5" s="114"/>
      <c r="AB5" s="114"/>
      <c r="AC5" s="114"/>
    </row>
    <row r="6" spans="1:29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  <c r="V6" s="114"/>
      <c r="W6" s="114"/>
      <c r="X6" s="114"/>
      <c r="Y6" s="114"/>
      <c r="Z6" s="114"/>
      <c r="AA6" s="114"/>
      <c r="AB6" s="114"/>
      <c r="AC6" s="114"/>
    </row>
    <row r="7" spans="1:29" ht="15" thickBot="1" x14ac:dyDescent="0.35">
      <c r="A7" s="55" t="s">
        <v>23</v>
      </c>
      <c r="B7" s="92"/>
      <c r="C7" s="21" t="s">
        <v>24</v>
      </c>
      <c r="D7" s="21"/>
      <c r="E7" s="92"/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  <c r="V7" s="114"/>
      <c r="W7" s="114"/>
      <c r="X7" s="114"/>
      <c r="Y7" s="114"/>
      <c r="Z7" s="114"/>
      <c r="AA7" s="114"/>
      <c r="AB7" s="114"/>
      <c r="AC7" s="114"/>
    </row>
    <row r="8" spans="1:29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  <c r="V8" s="114"/>
      <c r="W8" s="114"/>
      <c r="X8" s="114"/>
      <c r="Y8" s="114"/>
      <c r="Z8" s="114"/>
      <c r="AA8" s="114"/>
      <c r="AB8" s="114"/>
      <c r="AC8" s="114"/>
    </row>
    <row r="9" spans="1:29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U9" s="226">
        <f>W9-W10</f>
        <v>-54.666666666666657</v>
      </c>
      <c r="V9" s="173" t="s">
        <v>125</v>
      </c>
      <c r="W9" s="180">
        <v>173</v>
      </c>
      <c r="X9" s="114"/>
      <c r="Y9" s="116"/>
      <c r="Z9" s="114"/>
      <c r="AB9" s="114"/>
      <c r="AC9" s="114"/>
    </row>
    <row r="10" spans="1:29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U10" s="226">
        <f>U9</f>
        <v>-54.666666666666657</v>
      </c>
      <c r="V10" s="176" t="s">
        <v>126</v>
      </c>
      <c r="W10" s="179">
        <f>J50</f>
        <v>227.66666666666666</v>
      </c>
      <c r="X10" s="114"/>
      <c r="Y10" s="114"/>
      <c r="Z10" s="114"/>
      <c r="AB10" s="114"/>
      <c r="AC10" s="114"/>
    </row>
    <row r="11" spans="1:29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14"/>
      <c r="X11" s="114"/>
      <c r="Y11" s="114"/>
      <c r="Z11" s="114"/>
    </row>
    <row r="12" spans="1:29" s="6" customFormat="1" ht="43.2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5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15"/>
      <c r="X12" s="115"/>
      <c r="Y12" s="115"/>
      <c r="Z12" s="115"/>
    </row>
    <row r="13" spans="1:29" x14ac:dyDescent="0.3">
      <c r="A13" s="4">
        <v>43132</v>
      </c>
      <c r="B13" s="1" t="s">
        <v>71</v>
      </c>
      <c r="C13" s="103">
        <v>0.75</v>
      </c>
      <c r="D13" s="103">
        <v>0.25</v>
      </c>
      <c r="E13" s="3">
        <v>4.1666666666666664E-2</v>
      </c>
      <c r="F13" s="3">
        <v>8.3333333333333329E-2</v>
      </c>
      <c r="G13" s="3">
        <v>8.3333333333333329E-2</v>
      </c>
      <c r="H13" s="3">
        <v>0.125</v>
      </c>
      <c r="I13" s="47">
        <f>0.1*(H_Janv[[#This Row],[Heures de nuit]]+IF(H_Janv[[#This Row],[majoration dim &amp; JF]]="non",0,H_Janv[[#This Row],[heures jour dimanche]]+H_Janv[[#This Row],[heures jour fériés]]))</f>
        <v>0.7</v>
      </c>
      <c r="J13" s="48">
        <f>(MOD(H_Janv[[#This Row],[Fin]]-H_Janv[[#This Row],[début]],1)-MOD(H_Janv[[#This Row],[PNP Fin]]-H_Janv[[#This Row],[PNP Début]],1))*24</f>
        <v>11</v>
      </c>
      <c r="K13" s="48">
        <f>IFERROR(VLOOKUP(H_Janv[[#This Row],[Service]],Codes[],4,0),"")</f>
        <v>0</v>
      </c>
      <c r="L13" s="30">
        <f>IF(H_Janv[[#This Row],[PNP Début]]=0,0,IF(H_Janv[[#This Row],[PNP Début]]&lt;H_Janv[[#This Row],[début]],1,0)+H_Janv[[#This Row],[PNP Début]])</f>
        <v>1.0833333333333333</v>
      </c>
      <c r="M13" s="30">
        <f>IF(H_Janv[[#This Row],[PNP Fin]]=0,0,IF(H_Janv[[#This Row],[PNP Fin]]&lt;H_Janv[[#This Row],[début]],1,0)+H_Janv[[#This Row],[PNP Fin]])</f>
        <v>1.125</v>
      </c>
      <c r="N13" s="30">
        <f>IF(H_Janv[[#This Row],[Fin]]&lt;H_Janv[[#This Row],[début]],1,0)+H_Janv[[#This Row],[Fin]]</f>
        <v>1.25</v>
      </c>
      <c r="O1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3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3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3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3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3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13" s="166"/>
      <c r="W13" s="114"/>
      <c r="X13" s="114"/>
      <c r="Y13" s="114"/>
      <c r="Z13" s="114"/>
    </row>
    <row r="14" spans="1:29" ht="15" thickBot="1" x14ac:dyDescent="0.35">
      <c r="A14" s="4">
        <v>43133</v>
      </c>
      <c r="B14" s="1" t="s">
        <v>71</v>
      </c>
      <c r="C14" s="103">
        <v>0.75</v>
      </c>
      <c r="D14" s="103">
        <v>0.25</v>
      </c>
      <c r="E14" s="3">
        <v>4.1666666666666664E-2</v>
      </c>
      <c r="F14" s="3">
        <v>8.3333333333333329E-2</v>
      </c>
      <c r="G14" s="3">
        <v>8.3333333333333329E-2</v>
      </c>
      <c r="H14" s="3">
        <v>0.125</v>
      </c>
      <c r="I14" s="47">
        <f>0.1*(H_Janv[[#This Row],[Heures de nuit]]+IF(H_Janv[[#This Row],[majoration dim &amp; JF]]="non",0,H_Janv[[#This Row],[heures jour dimanche]]+H_Janv[[#This Row],[heures jour fériés]]))</f>
        <v>0.7</v>
      </c>
      <c r="J14" s="48">
        <f>(MOD(H_Janv[[#This Row],[Fin]]-H_Janv[[#This Row],[début]],1)-MOD(H_Janv[[#This Row],[PNP Fin]]-H_Janv[[#This Row],[PNP Début]],1))*24</f>
        <v>11</v>
      </c>
      <c r="K14" s="48">
        <f>IFERROR(VLOOKUP(H_Janv[[#This Row],[Service]],Codes[],4,0),"")</f>
        <v>0</v>
      </c>
      <c r="L14" s="30">
        <f>IF(H_Janv[[#This Row],[PNP Début]]=0,0,IF(H_Janv[[#This Row],[PNP Début]]&lt;H_Janv[[#This Row],[début]],1,0)+H_Janv[[#This Row],[PNP Début]])</f>
        <v>1.0833333333333333</v>
      </c>
      <c r="M14" s="30">
        <f>IF(H_Janv[[#This Row],[PNP Fin]]=0,0,IF(H_Janv[[#This Row],[PNP Fin]]&lt;H_Janv[[#This Row],[début]],1,0)+H_Janv[[#This Row],[PNP Fin]])</f>
        <v>1.125</v>
      </c>
      <c r="N14" s="30">
        <f>IF(H_Janv[[#This Row],[Fin]]&lt;H_Janv[[#This Row],[début]],1,0)+H_Janv[[#This Row],[Fin]]</f>
        <v>1.25</v>
      </c>
      <c r="O1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4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4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4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4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4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14" s="166"/>
      <c r="W14" s="114"/>
      <c r="X14" s="114"/>
      <c r="Y14" s="114"/>
      <c r="Z14" s="114"/>
    </row>
    <row r="15" spans="1:29" x14ac:dyDescent="0.3">
      <c r="A15" s="4">
        <v>43134</v>
      </c>
      <c r="B15" s="1" t="s">
        <v>71</v>
      </c>
      <c r="C15" s="2">
        <v>0.75</v>
      </c>
      <c r="D15" s="2">
        <v>0.25</v>
      </c>
      <c r="E15" s="3">
        <v>4.1666666666666664E-2</v>
      </c>
      <c r="F15" s="3">
        <v>8.3333333333333329E-2</v>
      </c>
      <c r="G15" s="3">
        <v>8.3333333333333329E-2</v>
      </c>
      <c r="H15" s="3">
        <v>0.125</v>
      </c>
      <c r="I15" s="47">
        <f>0.1*(H_Janv[[#This Row],[Heures de nuit]]+IF(H_Janv[[#This Row],[majoration dim &amp; JF]]="non",0,H_Janv[[#This Row],[heures jour dimanche]]+H_Janv[[#This Row],[heures jour fériés]]))</f>
        <v>0.7</v>
      </c>
      <c r="J15" s="48">
        <f>(MOD(H_Janv[[#This Row],[Fin]]-H_Janv[[#This Row],[début]],1)-MOD(H_Janv[[#This Row],[PNP Fin]]-H_Janv[[#This Row],[PNP Début]],1))*24</f>
        <v>11</v>
      </c>
      <c r="K15" s="48">
        <f>IFERROR(VLOOKUP(H_Janv[[#This Row],[Service]],Codes[],4,0),"")</f>
        <v>0</v>
      </c>
      <c r="L15" s="30">
        <f>IF(H_Janv[[#This Row],[PNP Début]]=0,0,IF(H_Janv[[#This Row],[PNP Début]]&lt;H_Janv[[#This Row],[début]],1,0)+H_Janv[[#This Row],[PNP Début]])</f>
        <v>1.0833333333333333</v>
      </c>
      <c r="M15" s="30">
        <f>IF(H_Janv[[#This Row],[PNP Fin]]=0,0,IF(H_Janv[[#This Row],[PNP Fin]]&lt;H_Janv[[#This Row],[début]],1,0)+H_Janv[[#This Row],[PNP Fin]])</f>
        <v>1.125</v>
      </c>
      <c r="N15" s="30">
        <f>IF(H_Janv[[#This Row],[Fin]]&lt;H_Janv[[#This Row],[début]],1,0)+H_Janv[[#This Row],[Fin]]</f>
        <v>1.25</v>
      </c>
      <c r="O1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5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5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5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5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5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15" s="173" t="s">
        <v>127</v>
      </c>
      <c r="W15" s="174" t="s">
        <v>129</v>
      </c>
      <c r="X15" s="174" t="s">
        <v>132</v>
      </c>
      <c r="Y15" s="174" t="s">
        <v>131</v>
      </c>
      <c r="Z15" s="175" t="s">
        <v>130</v>
      </c>
    </row>
    <row r="16" spans="1:29" ht="15" thickBot="1" x14ac:dyDescent="0.35">
      <c r="A16" s="4">
        <v>43135</v>
      </c>
      <c r="B16" s="1" t="s">
        <v>71</v>
      </c>
      <c r="C16" s="2">
        <v>0.75</v>
      </c>
      <c r="D16" s="2">
        <v>0.25</v>
      </c>
      <c r="E16" s="3">
        <v>4.1666666666666664E-2</v>
      </c>
      <c r="F16" s="3">
        <v>8.3333333333333329E-2</v>
      </c>
      <c r="G16" s="3">
        <v>8.3333333333333329E-2</v>
      </c>
      <c r="H16" s="3">
        <v>0.125</v>
      </c>
      <c r="I16" s="47">
        <f>0.1*(H_Janv[[#This Row],[Heures de nuit]]+IF(H_Janv[[#This Row],[majoration dim &amp; JF]]="non",0,H_Janv[[#This Row],[heures jour dimanche]]+H_Janv[[#This Row],[heures jour fériés]]))</f>
        <v>1.2000000000000002</v>
      </c>
      <c r="J16" s="48">
        <f>(MOD(H_Janv[[#This Row],[Fin]]-H_Janv[[#This Row],[début]],1)-MOD(H_Janv[[#This Row],[PNP Fin]]-H_Janv[[#This Row],[PNP Début]],1))*24</f>
        <v>11</v>
      </c>
      <c r="K16" s="48">
        <f>IFERROR(VLOOKUP(H_Janv[[#This Row],[Service]],Codes[],4,0),"")</f>
        <v>0</v>
      </c>
      <c r="L16" s="30">
        <f>IF(H_Janv[[#This Row],[PNP Début]]=0,0,IF(H_Janv[[#This Row],[PNP Début]]&lt;H_Janv[[#This Row],[début]],1,0)+H_Janv[[#This Row],[PNP Début]])</f>
        <v>1.0833333333333333</v>
      </c>
      <c r="M16" s="30">
        <f>IF(H_Janv[[#This Row],[PNP Fin]]=0,0,IF(H_Janv[[#This Row],[PNP Fin]]&lt;H_Janv[[#This Row],[début]],1,0)+H_Janv[[#This Row],[PNP Fin]])</f>
        <v>1.125</v>
      </c>
      <c r="N16" s="34">
        <f>IF(H_Janv[[#This Row],[Fin]]&lt;H_Janv[[#This Row],[début]],1,0)+H_Janv[[#This Row],[Fin]]</f>
        <v>1.25</v>
      </c>
      <c r="O1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6" s="35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6" s="35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5.0000000000000009</v>
      </c>
      <c r="R16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5.0000000000000009</v>
      </c>
      <c r="S16" s="3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6" s="3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16" s="176" t="s">
        <v>128</v>
      </c>
      <c r="W16" s="181">
        <v>10</v>
      </c>
      <c r="X16" s="177">
        <f>I50</f>
        <v>10.1</v>
      </c>
      <c r="Y16" s="227" t="str">
        <f>IF(U10&lt;0,"0",IF(U10&lt;&gt;"",U10,""))</f>
        <v>0</v>
      </c>
      <c r="Z16" s="179">
        <f>W16+X16-Y16</f>
        <v>20.100000000000001</v>
      </c>
    </row>
    <row r="17" spans="1:26" x14ac:dyDescent="0.3">
      <c r="A17" s="4">
        <v>43136</v>
      </c>
      <c r="B17" s="1" t="s">
        <v>71</v>
      </c>
      <c r="C17" s="2">
        <v>0.75</v>
      </c>
      <c r="D17" s="2">
        <v>0.25</v>
      </c>
      <c r="E17" s="3">
        <v>4.1666666666666664E-2</v>
      </c>
      <c r="F17" s="3">
        <v>8.3333333333333329E-2</v>
      </c>
      <c r="G17" s="3">
        <v>8.3333333333333329E-2</v>
      </c>
      <c r="H17" s="3">
        <v>0.125</v>
      </c>
      <c r="I17" s="47">
        <f>0.1*(H_Janv[[#This Row],[Heures de nuit]]+IF(H_Janv[[#This Row],[majoration dim &amp; JF]]="non",0,H_Janv[[#This Row],[heures jour dimanche]]+H_Janv[[#This Row],[heures jour fériés]]))</f>
        <v>0.7</v>
      </c>
      <c r="J17" s="48">
        <f>(MOD(H_Janv[[#This Row],[Fin]]-H_Janv[[#This Row],[début]],1)-MOD(H_Janv[[#This Row],[PNP Fin]]-H_Janv[[#This Row],[PNP Début]],1))*24</f>
        <v>11</v>
      </c>
      <c r="K17" s="109">
        <f>IFERROR(VLOOKUP(H_Janv[[#This Row],[Service]],Codes[],4,0),"")</f>
        <v>0</v>
      </c>
      <c r="L17" s="39">
        <f>IF(H_Janv[[#This Row],[PNP Début]]=0,0,IF(H_Janv[[#This Row],[PNP Début]]&lt;H_Janv[[#This Row],[début]],1,0)+H_Janv[[#This Row],[PNP Début]])</f>
        <v>1.0833333333333333</v>
      </c>
      <c r="M17" s="40">
        <f>IF(H_Janv[[#This Row],[PNP Fin]]=0,0,IF(H_Janv[[#This Row],[PNP Fin]]&lt;H_Janv[[#This Row],[début]],1,0)+H_Janv[[#This Row],[PNP Fin]])</f>
        <v>1.125</v>
      </c>
      <c r="N17" s="40">
        <f>IF(H_Janv[[#This Row],[Fin]]&lt;H_Janv[[#This Row],[début]],1,0)+H_Janv[[#This Row],[Fin]]</f>
        <v>1.25</v>
      </c>
      <c r="O1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7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7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7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7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7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17" s="163"/>
      <c r="W17" s="114"/>
      <c r="X17" s="114"/>
      <c r="Y17" s="114"/>
      <c r="Z17" s="114"/>
    </row>
    <row r="18" spans="1:26" ht="15" thickBot="1" x14ac:dyDescent="0.35">
      <c r="A18" s="4">
        <v>43137</v>
      </c>
      <c r="B18" s="1" t="s">
        <v>71</v>
      </c>
      <c r="C18" s="2">
        <v>0.75</v>
      </c>
      <c r="D18" s="2">
        <v>0.25</v>
      </c>
      <c r="E18" s="3">
        <v>4.1666666666666664E-2</v>
      </c>
      <c r="F18" s="3">
        <v>8.3333333333333329E-2</v>
      </c>
      <c r="G18" s="3">
        <v>8.3333333333333329E-2</v>
      </c>
      <c r="H18" s="3">
        <v>0.125</v>
      </c>
      <c r="I18" s="47">
        <f>0.1*(H_Janv[[#This Row],[Heures de nuit]]+IF(H_Janv[[#This Row],[majoration dim &amp; JF]]="non",0,H_Janv[[#This Row],[heures jour dimanche]]+H_Janv[[#This Row],[heures jour fériés]]))</f>
        <v>0.7</v>
      </c>
      <c r="J18" s="48">
        <f>(MOD(H_Janv[[#This Row],[Fin]]-H_Janv[[#This Row],[début]],1)-MOD(H_Janv[[#This Row],[PNP Fin]]-H_Janv[[#This Row],[PNP Début]],1))*24</f>
        <v>11</v>
      </c>
      <c r="K18" s="109">
        <f>IFERROR(VLOOKUP(H_Janv[[#This Row],[Service]],Codes[],4,0),"")</f>
        <v>0</v>
      </c>
      <c r="L18" s="39">
        <f>IF(H_Janv[[#This Row],[PNP Début]]=0,0,IF(H_Janv[[#This Row],[PNP Début]]&lt;H_Janv[[#This Row],[début]],1,0)+H_Janv[[#This Row],[PNP Début]])</f>
        <v>1.0833333333333333</v>
      </c>
      <c r="M18" s="40">
        <f>IF(H_Janv[[#This Row],[PNP Fin]]=0,0,IF(H_Janv[[#This Row],[PNP Fin]]&lt;H_Janv[[#This Row],[début]],1,0)+H_Janv[[#This Row],[PNP Fin]])</f>
        <v>1.125</v>
      </c>
      <c r="N18" s="40">
        <f>IF(H_Janv[[#This Row],[Fin]]&lt;H_Janv[[#This Row],[début]],1,0)+H_Janv[[#This Row],[Fin]]</f>
        <v>1.25</v>
      </c>
      <c r="O1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8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8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8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8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8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18" s="163"/>
      <c r="W18" s="114"/>
      <c r="X18" s="114"/>
      <c r="Y18" s="114"/>
      <c r="Z18" s="114"/>
    </row>
    <row r="19" spans="1:26" ht="15" thickBot="1" x14ac:dyDescent="0.35">
      <c r="A19" s="4">
        <v>43138</v>
      </c>
      <c r="B19" s="1" t="s">
        <v>71</v>
      </c>
      <c r="C19" s="2">
        <v>0.75</v>
      </c>
      <c r="D19" s="2">
        <v>0.25</v>
      </c>
      <c r="E19" s="3">
        <v>4.1666666666666664E-2</v>
      </c>
      <c r="F19" s="3">
        <v>8.3333333333333329E-2</v>
      </c>
      <c r="G19" s="3">
        <v>8.3333333333333329E-2</v>
      </c>
      <c r="H19" s="3">
        <v>0.125</v>
      </c>
      <c r="I19" s="47">
        <f>0.1*(H_Janv[[#This Row],[Heures de nuit]]+IF(H_Janv[[#This Row],[majoration dim &amp; JF]]="non",0,H_Janv[[#This Row],[heures jour dimanche]]+H_Janv[[#This Row],[heures jour fériés]]))</f>
        <v>0.7</v>
      </c>
      <c r="J19" s="48">
        <f>(MOD(H_Janv[[#This Row],[Fin]]-H_Janv[[#This Row],[début]],1)-MOD(H_Janv[[#This Row],[PNP Fin]]-H_Janv[[#This Row],[PNP Début]],1))*24</f>
        <v>11</v>
      </c>
      <c r="K19" s="109">
        <f>IFERROR(VLOOKUP(H_Janv[[#This Row],[Service]],Codes[],4,0),"")</f>
        <v>0</v>
      </c>
      <c r="L19" s="39">
        <f>IF(H_Janv[[#This Row],[PNP Début]]=0,0,IF(H_Janv[[#This Row],[PNP Début]]&lt;H_Janv[[#This Row],[début]],1,0)+H_Janv[[#This Row],[PNP Début]])</f>
        <v>1.0833333333333333</v>
      </c>
      <c r="M19" s="40">
        <f>IF(H_Janv[[#This Row],[PNP Fin]]=0,0,IF(H_Janv[[#This Row],[PNP Fin]]&lt;H_Janv[[#This Row],[début]],1,0)+H_Janv[[#This Row],[PNP Fin]])</f>
        <v>1.125</v>
      </c>
      <c r="N19" s="40">
        <f>IF(H_Janv[[#This Row],[Fin]]&lt;H_Janv[[#This Row],[début]],1,0)+H_Janv[[#This Row],[Fin]]</f>
        <v>1.25</v>
      </c>
      <c r="O1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19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19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9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9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9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19" s="164" t="s">
        <v>166</v>
      </c>
      <c r="W19" s="162">
        <f>COUNTIF(B13:B49,"*Vacances*")</f>
        <v>7</v>
      </c>
      <c r="X19" s="114"/>
      <c r="Y19" s="114"/>
      <c r="Z19" s="114"/>
    </row>
    <row r="20" spans="1:26" ht="15" thickBot="1" x14ac:dyDescent="0.35">
      <c r="A20" s="4">
        <v>43139</v>
      </c>
      <c r="B20" s="1" t="s">
        <v>71</v>
      </c>
      <c r="C20" s="2">
        <v>0.75</v>
      </c>
      <c r="D20" s="2">
        <v>0.25</v>
      </c>
      <c r="E20" s="3">
        <v>4.1666666666666664E-2</v>
      </c>
      <c r="F20" s="3">
        <v>8.3333333333333329E-2</v>
      </c>
      <c r="G20" s="3">
        <v>8.3333333333333329E-2</v>
      </c>
      <c r="H20" s="3">
        <v>0.125</v>
      </c>
      <c r="I20" s="47">
        <f>0.1*(H_Janv[[#This Row],[Heures de nuit]]+IF(H_Janv[[#This Row],[majoration dim &amp; JF]]="non",0,H_Janv[[#This Row],[heures jour dimanche]]+H_Janv[[#This Row],[heures jour fériés]]))</f>
        <v>0.7</v>
      </c>
      <c r="J20" s="48">
        <f>(MOD(H_Janv[[#This Row],[Fin]]-H_Janv[[#This Row],[début]],1)-MOD(H_Janv[[#This Row],[PNP Fin]]-H_Janv[[#This Row],[PNP Début]],1))*24</f>
        <v>11</v>
      </c>
      <c r="K20" s="109">
        <f>IFERROR(VLOOKUP(H_Janv[[#This Row],[Service]],Codes[],4,0),"")</f>
        <v>0</v>
      </c>
      <c r="L20" s="39">
        <f>IF(H_Janv[[#This Row],[PNP Début]]=0,0,IF(H_Janv[[#This Row],[PNP Début]]&lt;H_Janv[[#This Row],[début]],1,0)+H_Janv[[#This Row],[PNP Début]])</f>
        <v>1.0833333333333333</v>
      </c>
      <c r="M20" s="40">
        <f>IF(H_Janv[[#This Row],[PNP Fin]]=0,0,IF(H_Janv[[#This Row],[PNP Fin]]&lt;H_Janv[[#This Row],[début]],1,0)+H_Janv[[#This Row],[PNP Fin]])</f>
        <v>1.125</v>
      </c>
      <c r="N20" s="40">
        <f>IF(H_Janv[[#This Row],[Fin]]&lt;H_Janv[[#This Row],[début]],1,0)+H_Janv[[#This Row],[Fin]]</f>
        <v>1.25</v>
      </c>
      <c r="O2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0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0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0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0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0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20" s="163"/>
    </row>
    <row r="21" spans="1:26" ht="15" thickBot="1" x14ac:dyDescent="0.35">
      <c r="A21" s="4">
        <v>43140</v>
      </c>
      <c r="B21" s="1" t="s">
        <v>71</v>
      </c>
      <c r="C21" s="2">
        <v>0.75</v>
      </c>
      <c r="D21" s="2">
        <v>0.25</v>
      </c>
      <c r="E21" s="3">
        <v>4.1666666666666664E-2</v>
      </c>
      <c r="F21" s="3">
        <v>8.3333333333333329E-2</v>
      </c>
      <c r="G21" s="3">
        <v>8.3333333333333329E-2</v>
      </c>
      <c r="H21" s="3">
        <v>0.125</v>
      </c>
      <c r="I21" s="47">
        <f>0.1*(H_Janv[[#This Row],[Heures de nuit]]+IF(H_Janv[[#This Row],[majoration dim &amp; JF]]="non",0,H_Janv[[#This Row],[heures jour dimanche]]+H_Janv[[#This Row],[heures jour fériés]]))</f>
        <v>0.7</v>
      </c>
      <c r="J21" s="48">
        <f>(MOD(H_Janv[[#This Row],[Fin]]-H_Janv[[#This Row],[début]],1)-MOD(H_Janv[[#This Row],[PNP Fin]]-H_Janv[[#This Row],[PNP Début]],1))*24</f>
        <v>11</v>
      </c>
      <c r="K21" s="110">
        <f>IFERROR(VLOOKUP(H_Janv[[#This Row],[Service]],Codes[],4,0),"")</f>
        <v>0</v>
      </c>
      <c r="L21" s="44">
        <f>IF(H_Janv[[#This Row],[PNP Début]]=0,0,IF(H_Janv[[#This Row],[PNP Début]]&lt;H_Janv[[#This Row],[début]],1,0)+H_Janv[[#This Row],[PNP Début]])</f>
        <v>1.0833333333333333</v>
      </c>
      <c r="M21" s="45">
        <f>IF(H_Janv[[#This Row],[PNP Fin]]=0,0,IF(H_Janv[[#This Row],[PNP Fin]]&lt;H_Janv[[#This Row],[début]],1,0)+H_Janv[[#This Row],[PNP Fin]])</f>
        <v>1.125</v>
      </c>
      <c r="N21" s="45">
        <f>IF(H_Janv[[#This Row],[Fin]]&lt;H_Janv[[#This Row],[début]],1,0)+H_Janv[[#This Row],[Fin]]</f>
        <v>1.25</v>
      </c>
      <c r="O2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1" s="46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1" s="46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1" s="46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1" s="4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1" s="4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21" s="164" t="s">
        <v>167</v>
      </c>
      <c r="W21" s="162">
        <f>COUNTIF(B13:B49,"*récuperations*")</f>
        <v>1</v>
      </c>
    </row>
    <row r="22" spans="1:26" ht="15" thickBot="1" x14ac:dyDescent="0.35">
      <c r="A22" s="4">
        <v>43141</v>
      </c>
      <c r="B22" s="1" t="s">
        <v>71</v>
      </c>
      <c r="C22" s="2">
        <v>0.75</v>
      </c>
      <c r="D22" s="2">
        <v>0.25</v>
      </c>
      <c r="E22" s="3">
        <v>4.1666666666666664E-2</v>
      </c>
      <c r="F22" s="3">
        <v>8.3333333333333329E-2</v>
      </c>
      <c r="G22" s="3">
        <v>8.3333333333333329E-2</v>
      </c>
      <c r="H22" s="3">
        <v>0.125</v>
      </c>
      <c r="I22" s="47">
        <f>0.1*(H_Janv[[#This Row],[Heures de nuit]]+IF(H_Janv[[#This Row],[majoration dim &amp; JF]]="non",0,H_Janv[[#This Row],[heures jour dimanche]]+H_Janv[[#This Row],[heures jour fériés]]))</f>
        <v>0.7</v>
      </c>
      <c r="J22" s="48">
        <f>(MOD(H_Janv[[#This Row],[Fin]]-H_Janv[[#This Row],[début]],1)-MOD(H_Janv[[#This Row],[PNP Fin]]-H_Janv[[#This Row],[PNP Début]],1))*24</f>
        <v>11</v>
      </c>
      <c r="K22" s="109">
        <f>IFERROR(VLOOKUP(H_Janv[[#This Row],[Service]],Codes[],4,0),"")</f>
        <v>0</v>
      </c>
      <c r="L22" s="49">
        <f>IF(H_Janv[[#This Row],[PNP Début]]=0,0,IF(H_Janv[[#This Row],[PNP Début]]&lt;H_Janv[[#This Row],[début]],1,0)+H_Janv[[#This Row],[PNP Début]])</f>
        <v>1.0833333333333333</v>
      </c>
      <c r="M22" s="50">
        <f>IF(H_Janv[[#This Row],[PNP Fin]]=0,0,IF(H_Janv[[#This Row],[PNP Fin]]&lt;H_Janv[[#This Row],[début]],1,0)+H_Janv[[#This Row],[PNP Fin]])</f>
        <v>1.125</v>
      </c>
      <c r="N22" s="50">
        <f>IF(H_Janv[[#This Row],[Fin]]&lt;H_Janv[[#This Row],[début]],1,0)+H_Janv[[#This Row],[Fin]]</f>
        <v>1.25</v>
      </c>
      <c r="O2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22" s="165"/>
    </row>
    <row r="23" spans="1:26" ht="15" thickBot="1" x14ac:dyDescent="0.35">
      <c r="A23" s="4">
        <v>43142</v>
      </c>
      <c r="B23" s="1" t="s">
        <v>71</v>
      </c>
      <c r="C23" s="2">
        <v>0.75</v>
      </c>
      <c r="D23" s="2">
        <v>0.25</v>
      </c>
      <c r="E23" s="3">
        <v>4.1666666666666664E-2</v>
      </c>
      <c r="F23" s="3">
        <v>8.3333333333333329E-2</v>
      </c>
      <c r="G23" s="3">
        <v>8.3333333333333329E-2</v>
      </c>
      <c r="H23" s="3">
        <v>0.125</v>
      </c>
      <c r="I23" s="47">
        <f>0.1*(H_Janv[[#This Row],[Heures de nuit]]+IF(H_Janv[[#This Row],[majoration dim &amp; JF]]="non",0,H_Janv[[#This Row],[heures jour dimanche]]+H_Janv[[#This Row],[heures jour fériés]]))</f>
        <v>1.2000000000000002</v>
      </c>
      <c r="J23" s="48">
        <f>(MOD(H_Janv[[#This Row],[Fin]]-H_Janv[[#This Row],[début]],1)-MOD(H_Janv[[#This Row],[PNP Fin]]-H_Janv[[#This Row],[PNP Début]],1))*24</f>
        <v>11</v>
      </c>
      <c r="K23" s="109">
        <f>IFERROR(VLOOKUP(H_Janv[[#This Row],[Service]],Codes[],4,0),"")</f>
        <v>0</v>
      </c>
      <c r="L23" s="49">
        <f>IF(H_Janv[[#This Row],[PNP Début]]=0,0,IF(H_Janv[[#This Row],[PNP Début]]&lt;H_Janv[[#This Row],[début]],1,0)+H_Janv[[#This Row],[PNP Début]])</f>
        <v>1.0833333333333333</v>
      </c>
      <c r="M23" s="50">
        <f>IF(H_Janv[[#This Row],[PNP Fin]]=0,0,IF(H_Janv[[#This Row],[PNP Fin]]&lt;H_Janv[[#This Row],[début]],1,0)+H_Janv[[#This Row],[PNP Fin]])</f>
        <v>1.125</v>
      </c>
      <c r="N23" s="50">
        <f>IF(H_Janv[[#This Row],[Fin]]&lt;H_Janv[[#This Row],[début]],1,0)+H_Janv[[#This Row],[Fin]]</f>
        <v>1.25</v>
      </c>
      <c r="O2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5.0000000000000009</v>
      </c>
      <c r="R2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5.0000000000000009</v>
      </c>
      <c r="S2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  <c r="V23" s="164" t="s">
        <v>168</v>
      </c>
      <c r="W23" s="162">
        <f>COUNTIF(B13:B49,"*CCT*")</f>
        <v>1</v>
      </c>
    </row>
    <row r="24" spans="1:26" ht="14.4" customHeight="1" x14ac:dyDescent="0.3">
      <c r="A24" s="4">
        <v>43143</v>
      </c>
      <c r="B24" s="1" t="s">
        <v>71</v>
      </c>
      <c r="C24" s="2">
        <v>0.75</v>
      </c>
      <c r="D24" s="2">
        <v>0.25</v>
      </c>
      <c r="E24" s="3">
        <v>4.1666666666666664E-2</v>
      </c>
      <c r="F24" s="3">
        <v>8.3333333333333329E-2</v>
      </c>
      <c r="G24" s="3">
        <v>8.3333333333333329E-2</v>
      </c>
      <c r="H24" s="3">
        <v>0.125</v>
      </c>
      <c r="I24" s="47">
        <f>0.1*(H_Janv[[#This Row],[Heures de nuit]]+IF(H_Janv[[#This Row],[majoration dim &amp; JF]]="non",0,H_Janv[[#This Row],[heures jour dimanche]]+H_Janv[[#This Row],[heures jour fériés]]))</f>
        <v>0.7</v>
      </c>
      <c r="J24" s="48">
        <f>(MOD(H_Janv[[#This Row],[Fin]]-H_Janv[[#This Row],[début]],1)-MOD(H_Janv[[#This Row],[PNP Fin]]-H_Janv[[#This Row],[PNP Début]],1))*24</f>
        <v>11</v>
      </c>
      <c r="K24" s="109">
        <f>IFERROR(VLOOKUP(H_Janv[[#This Row],[Service]],Codes[],4,0),"")</f>
        <v>0</v>
      </c>
      <c r="L24" s="49">
        <f>IF(H_Janv[[#This Row],[PNP Début]]=0,0,IF(H_Janv[[#This Row],[PNP Début]]&lt;H_Janv[[#This Row],[début]],1,0)+H_Janv[[#This Row],[PNP Début]])</f>
        <v>1.0833333333333333</v>
      </c>
      <c r="M24" s="50">
        <f>IF(H_Janv[[#This Row],[PNP Fin]]=0,0,IF(H_Janv[[#This Row],[PNP Fin]]&lt;H_Janv[[#This Row],[début]],1,0)+H_Janv[[#This Row],[PNP Fin]])</f>
        <v>1.125</v>
      </c>
      <c r="N24" s="50">
        <f>IF(H_Janv[[#This Row],[Fin]]&lt;H_Janv[[#This Row],[début]],1,0)+H_Janv[[#This Row],[Fin]]</f>
        <v>1.25</v>
      </c>
      <c r="O2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5" spans="1:26" ht="14.4" customHeight="1" x14ac:dyDescent="0.3">
      <c r="A25" s="4">
        <v>43144</v>
      </c>
      <c r="B25" s="1" t="s">
        <v>71</v>
      </c>
      <c r="C25" s="2">
        <v>0.75</v>
      </c>
      <c r="D25" s="2">
        <v>0.25</v>
      </c>
      <c r="E25" s="3">
        <v>4.1666666666666664E-2</v>
      </c>
      <c r="F25" s="3">
        <v>8.3333333333333329E-2</v>
      </c>
      <c r="G25" s="3">
        <v>8.3333333333333329E-2</v>
      </c>
      <c r="H25" s="3">
        <v>0.125</v>
      </c>
      <c r="I25" s="47">
        <f>0.1*(H_Janv[[#This Row],[Heures de nuit]]+IF(H_Janv[[#This Row],[majoration dim &amp; JF]]="non",0,H_Janv[[#This Row],[heures jour dimanche]]+H_Janv[[#This Row],[heures jour fériés]]))</f>
        <v>0.7</v>
      </c>
      <c r="J25" s="48">
        <f>(MOD(H_Janv[[#This Row],[Fin]]-H_Janv[[#This Row],[début]],1)-MOD(H_Janv[[#This Row],[PNP Fin]]-H_Janv[[#This Row],[PNP Début]],1))*24</f>
        <v>11</v>
      </c>
      <c r="K25" s="109">
        <f>IFERROR(VLOOKUP(H_Janv[[#This Row],[Service]],Codes[],4,0),"")</f>
        <v>0</v>
      </c>
      <c r="L25" s="49">
        <f>IF(H_Janv[[#This Row],[PNP Début]]=0,0,IF(H_Janv[[#This Row],[PNP Début]]&lt;H_Janv[[#This Row],[début]],1,0)+H_Janv[[#This Row],[PNP Début]])</f>
        <v>1.0833333333333333</v>
      </c>
      <c r="M25" s="50">
        <f>IF(H_Janv[[#This Row],[PNP Fin]]=0,0,IF(H_Janv[[#This Row],[PNP Fin]]&lt;H_Janv[[#This Row],[début]],1,0)+H_Janv[[#This Row],[PNP Fin]])</f>
        <v>1.125</v>
      </c>
      <c r="N25" s="50">
        <f>IF(H_Janv[[#This Row],[Fin]]&lt;H_Janv[[#This Row],[début]],1,0)+H_Janv[[#This Row],[Fin]]</f>
        <v>1.25</v>
      </c>
      <c r="O2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P2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Q2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6" spans="1:26" ht="14.4" customHeight="1" x14ac:dyDescent="0.3">
      <c r="A26" s="4">
        <v>43145</v>
      </c>
      <c r="B26" s="1" t="s">
        <v>70</v>
      </c>
      <c r="C26" s="2">
        <v>0.25</v>
      </c>
      <c r="D26" s="2">
        <v>0.75</v>
      </c>
      <c r="E26" s="3"/>
      <c r="F26" s="3"/>
      <c r="G26" s="3"/>
      <c r="H26" s="3"/>
      <c r="I26" s="47">
        <f>0.1*(H_Janv[[#This Row],[Heures de nuit]]+IF(H_Janv[[#This Row],[majoration dim &amp; JF]]="non",0,H_Janv[[#This Row],[heures jour dimanche]]+H_Janv[[#This Row],[heures jour fériés]]))</f>
        <v>0</v>
      </c>
      <c r="J26" s="48">
        <f>(MOD(H_Janv[[#This Row],[Fin]]-H_Janv[[#This Row],[début]],1)-MOD(H_Janv[[#This Row],[PNP Fin]]-H_Janv[[#This Row],[PNP Début]],1))*24</f>
        <v>12</v>
      </c>
      <c r="K26" s="109">
        <f>IFERROR(VLOOKUP(H_Janv[[#This Row],[Service]],Codes[],4,0),"")</f>
        <v>0</v>
      </c>
      <c r="L26" s="49">
        <f>IF(H_Janv[[#This Row],[PNP Début]]=0,0,IF(H_Janv[[#This Row],[PNP Début]]&lt;H_Janv[[#This Row],[début]],1,0)+H_Janv[[#This Row],[PNP Début]])</f>
        <v>0</v>
      </c>
      <c r="M26" s="50">
        <f>IF(H_Janv[[#This Row],[PNP Fin]]=0,0,IF(H_Janv[[#This Row],[PNP Fin]]&lt;H_Janv[[#This Row],[début]],1,0)+H_Janv[[#This Row],[PNP Fin]])</f>
        <v>0</v>
      </c>
      <c r="N26" s="50">
        <f>IF(H_Janv[[#This Row],[Fin]]&lt;H_Janv[[#This Row],[début]],1,0)+H_Janv[[#This Row],[Fin]]</f>
        <v>0.75</v>
      </c>
      <c r="O2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7" spans="1:26" ht="14.4" customHeight="1" x14ac:dyDescent="0.3">
      <c r="A27" s="4">
        <v>43146</v>
      </c>
      <c r="B27" s="1" t="s">
        <v>70</v>
      </c>
      <c r="C27" s="2">
        <v>0.25</v>
      </c>
      <c r="D27" s="2">
        <v>0.75</v>
      </c>
      <c r="E27" s="3"/>
      <c r="F27" s="3"/>
      <c r="G27" s="3"/>
      <c r="H27" s="3"/>
      <c r="I27" s="47">
        <f>0.1*(H_Janv[[#This Row],[Heures de nuit]]+IF(H_Janv[[#This Row],[majoration dim &amp; JF]]="non",0,H_Janv[[#This Row],[heures jour dimanche]]+H_Janv[[#This Row],[heures jour fériés]]))</f>
        <v>0</v>
      </c>
      <c r="J27" s="48">
        <f>(MOD(H_Janv[[#This Row],[Fin]]-H_Janv[[#This Row],[début]],1)-MOD(H_Janv[[#This Row],[PNP Fin]]-H_Janv[[#This Row],[PNP Début]],1))*24</f>
        <v>12</v>
      </c>
      <c r="K27" s="109">
        <f>IFERROR(VLOOKUP(H_Janv[[#This Row],[Service]],Codes[],4,0),"")</f>
        <v>0</v>
      </c>
      <c r="L27" s="49">
        <f>IF(H_Janv[[#This Row],[PNP Début]]=0,0,IF(H_Janv[[#This Row],[PNP Début]]&lt;H_Janv[[#This Row],[début]],1,0)+H_Janv[[#This Row],[PNP Début]])</f>
        <v>0</v>
      </c>
      <c r="M27" s="50">
        <f>IF(H_Janv[[#This Row],[PNP Fin]]=0,0,IF(H_Janv[[#This Row],[PNP Fin]]&lt;H_Janv[[#This Row],[début]],1,0)+H_Janv[[#This Row],[PNP Fin]])</f>
        <v>0</v>
      </c>
      <c r="N27" s="50">
        <f>IF(H_Janv[[#This Row],[Fin]]&lt;H_Janv[[#This Row],[début]],1,0)+H_Janv[[#This Row],[Fin]]</f>
        <v>0.75</v>
      </c>
      <c r="O2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8" spans="1:26" ht="14.4" customHeight="1" x14ac:dyDescent="0.3">
      <c r="A28" s="4">
        <v>43101</v>
      </c>
      <c r="B28" s="1" t="s">
        <v>122</v>
      </c>
      <c r="C28" s="2">
        <v>0.375</v>
      </c>
      <c r="D28" s="2">
        <v>0.66319444444444442</v>
      </c>
      <c r="E28" s="3"/>
      <c r="F28" s="3"/>
      <c r="G28" s="3"/>
      <c r="H28" s="3"/>
      <c r="I28" s="47">
        <f>0.1*(H_Janv[[#This Row],[Heures de nuit]]+IF(H_Janv[[#This Row],[majoration dim &amp; JF]]="non",0,H_Janv[[#This Row],[heures jour dimanche]]+H_Janv[[#This Row],[heures jour fériés]]))</f>
        <v>0</v>
      </c>
      <c r="J28" s="48">
        <f>(MOD(H_Janv[[#This Row],[Fin]]-H_Janv[[#This Row],[début]],1)-MOD(H_Janv[[#This Row],[PNP Fin]]-H_Janv[[#This Row],[PNP Début]],1))*24</f>
        <v>6.9166666666666661</v>
      </c>
      <c r="K28" s="109" t="str">
        <f>IFERROR(VLOOKUP(H_Janv[[#This Row],[Service]],Codes[],4,0),"")</f>
        <v>non</v>
      </c>
      <c r="L28" s="49">
        <f>IF(H_Janv[[#This Row],[PNP Début]]=0,0,IF(H_Janv[[#This Row],[PNP Début]]&lt;H_Janv[[#This Row],[début]],1,0)+H_Janv[[#This Row],[PNP Début]])</f>
        <v>0</v>
      </c>
      <c r="M28" s="50">
        <f>IF(H_Janv[[#This Row],[PNP Fin]]=0,0,IF(H_Janv[[#This Row],[PNP Fin]]&lt;H_Janv[[#This Row],[début]],1,0)+H_Janv[[#This Row],[PNP Fin]])</f>
        <v>0</v>
      </c>
      <c r="N28" s="50">
        <f>IF(H_Janv[[#This Row],[Fin]]&lt;H_Janv[[#This Row],[début]],1,0)+H_Janv[[#This Row],[Fin]]</f>
        <v>0.66319444444444442</v>
      </c>
      <c r="O2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6.9166666666666661</v>
      </c>
      <c r="T2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6.9166666666666661</v>
      </c>
    </row>
    <row r="29" spans="1:26" ht="14.4" customHeight="1" x14ac:dyDescent="0.3">
      <c r="A29" s="4">
        <v>43102</v>
      </c>
      <c r="B29" s="1" t="s">
        <v>122</v>
      </c>
      <c r="C29" s="2">
        <v>0.375</v>
      </c>
      <c r="D29" s="2">
        <v>0.66319444444444442</v>
      </c>
      <c r="E29" s="3"/>
      <c r="F29" s="3"/>
      <c r="G29" s="3"/>
      <c r="H29" s="3"/>
      <c r="I29" s="47">
        <f>0.1*(H_Janv[[#This Row],[Heures de nuit]]+IF(H_Janv[[#This Row],[majoration dim &amp; JF]]="non",0,H_Janv[[#This Row],[heures jour dimanche]]+H_Janv[[#This Row],[heures jour fériés]]))</f>
        <v>0</v>
      </c>
      <c r="J29" s="48">
        <f>(MOD(H_Janv[[#This Row],[Fin]]-H_Janv[[#This Row],[début]],1)-MOD(H_Janv[[#This Row],[PNP Fin]]-H_Janv[[#This Row],[PNP Début]],1))*24</f>
        <v>6.9166666666666661</v>
      </c>
      <c r="K29" s="109" t="str">
        <f>IFERROR(VLOOKUP(H_Janv[[#This Row],[Service]],Codes[],4,0),"")</f>
        <v>non</v>
      </c>
      <c r="L29" s="49">
        <f>IF(H_Janv[[#This Row],[PNP Début]]=0,0,IF(H_Janv[[#This Row],[PNP Début]]&lt;H_Janv[[#This Row],[début]],1,0)+H_Janv[[#This Row],[PNP Début]])</f>
        <v>0</v>
      </c>
      <c r="M29" s="50">
        <f>IF(H_Janv[[#This Row],[PNP Fin]]=0,0,IF(H_Janv[[#This Row],[PNP Fin]]&lt;H_Janv[[#This Row],[début]],1,0)+H_Janv[[#This Row],[PNP Fin]])</f>
        <v>0</v>
      </c>
      <c r="N29" s="50">
        <f>IF(H_Janv[[#This Row],[Fin]]&lt;H_Janv[[#This Row],[début]],1,0)+H_Janv[[#This Row],[Fin]]</f>
        <v>0.66319444444444442</v>
      </c>
      <c r="O2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0" spans="1:26" ht="14.4" customHeight="1" x14ac:dyDescent="0.3">
      <c r="A30" s="4">
        <v>43103</v>
      </c>
      <c r="B30" s="1" t="s">
        <v>122</v>
      </c>
      <c r="C30" s="2">
        <v>0.375</v>
      </c>
      <c r="D30" s="2">
        <v>0.66319444444444442</v>
      </c>
      <c r="E30" s="3"/>
      <c r="F30" s="3"/>
      <c r="G30" s="3"/>
      <c r="H30" s="3"/>
      <c r="I30" s="47">
        <f>0.1*(H_Janv[[#This Row],[Heures de nuit]]+IF(H_Janv[[#This Row],[majoration dim &amp; JF]]="non",0,H_Janv[[#This Row],[heures jour dimanche]]+H_Janv[[#This Row],[heures jour fériés]]))</f>
        <v>0</v>
      </c>
      <c r="J30" s="48">
        <f>(MOD(H_Janv[[#This Row],[Fin]]-H_Janv[[#This Row],[début]],1)-MOD(H_Janv[[#This Row],[PNP Fin]]-H_Janv[[#This Row],[PNP Début]],1))*24</f>
        <v>6.9166666666666661</v>
      </c>
      <c r="K30" s="109" t="str">
        <f>IFERROR(VLOOKUP(H_Janv[[#This Row],[Service]],Codes[],4,0),"")</f>
        <v>non</v>
      </c>
      <c r="L30" s="49">
        <f>IF(H_Janv[[#This Row],[PNP Début]]=0,0,IF(H_Janv[[#This Row],[PNP Début]]&lt;H_Janv[[#This Row],[début]],1,0)+H_Janv[[#This Row],[PNP Début]])</f>
        <v>0</v>
      </c>
      <c r="M30" s="50">
        <f>IF(H_Janv[[#This Row],[PNP Fin]]=0,0,IF(H_Janv[[#This Row],[PNP Fin]]&lt;H_Janv[[#This Row],[début]],1,0)+H_Janv[[#This Row],[PNP Fin]])</f>
        <v>0</v>
      </c>
      <c r="N30" s="50">
        <f>IF(H_Janv[[#This Row],[Fin]]&lt;H_Janv[[#This Row],[début]],1,0)+H_Janv[[#This Row],[Fin]]</f>
        <v>0.66319444444444442</v>
      </c>
      <c r="O3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0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1" spans="1:26" ht="14.4" customHeight="1" x14ac:dyDescent="0.3">
      <c r="A31" s="4">
        <v>43104</v>
      </c>
      <c r="B31" s="1" t="s">
        <v>121</v>
      </c>
      <c r="C31" s="2">
        <v>0.375</v>
      </c>
      <c r="D31" s="2">
        <v>0.70763888888888893</v>
      </c>
      <c r="E31" s="3"/>
      <c r="F31" s="3"/>
      <c r="G31" s="3"/>
      <c r="H31" s="3"/>
      <c r="I31" s="47">
        <f>0.1*(H_Janv[[#This Row],[Heures de nuit]]+IF(H_Janv[[#This Row],[majoration dim &amp; JF]]="non",0,H_Janv[[#This Row],[heures jour dimanche]]+H_Janv[[#This Row],[heures jour fériés]]))</f>
        <v>0</v>
      </c>
      <c r="J31" s="48">
        <f>(MOD(H_Janv[[#This Row],[Fin]]-H_Janv[[#This Row],[début]],1)-MOD(H_Janv[[#This Row],[PNP Fin]]-H_Janv[[#This Row],[PNP Début]],1))*24</f>
        <v>7.9833333333333343</v>
      </c>
      <c r="K31" s="109" t="str">
        <f>IFERROR(VLOOKUP(H_Janv[[#This Row],[Service]],Codes[],4,0),"")</f>
        <v>non</v>
      </c>
      <c r="L31" s="49">
        <f>IF(H_Janv[[#This Row],[PNP Début]]=0,0,IF(H_Janv[[#This Row],[PNP Début]]&lt;H_Janv[[#This Row],[début]],1,0)+H_Janv[[#This Row],[PNP Début]])</f>
        <v>0</v>
      </c>
      <c r="M31" s="50">
        <f>IF(H_Janv[[#This Row],[PNP Fin]]=0,0,IF(H_Janv[[#This Row],[PNP Fin]]&lt;H_Janv[[#This Row],[début]],1,0)+H_Janv[[#This Row],[PNP Fin]])</f>
        <v>0</v>
      </c>
      <c r="N31" s="50">
        <f>IF(H_Janv[[#This Row],[Fin]]&lt;H_Janv[[#This Row],[début]],1,0)+H_Janv[[#This Row],[Fin]]</f>
        <v>0.70763888888888893</v>
      </c>
      <c r="O3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1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2" spans="1:26" ht="14.55" customHeight="1" x14ac:dyDescent="0.3">
      <c r="A32" s="4">
        <v>43105</v>
      </c>
      <c r="B32" s="1" t="s">
        <v>121</v>
      </c>
      <c r="C32" s="2">
        <v>0.375</v>
      </c>
      <c r="D32" s="2">
        <v>0.70763888888888893</v>
      </c>
      <c r="E32" s="3"/>
      <c r="F32" s="3"/>
      <c r="G32" s="3"/>
      <c r="H32" s="3"/>
      <c r="I32" s="47">
        <f>0.1*(H_Janv[[#This Row],[Heures de nuit]]+IF(H_Janv[[#This Row],[majoration dim &amp; JF]]="non",0,H_Janv[[#This Row],[heures jour dimanche]]+H_Janv[[#This Row],[heures jour fériés]]))</f>
        <v>0</v>
      </c>
      <c r="J32" s="48">
        <f>(MOD(H_Janv[[#This Row],[Fin]]-H_Janv[[#This Row],[début]],1)-MOD(H_Janv[[#This Row],[PNP Fin]]-H_Janv[[#This Row],[PNP Début]],1))*24</f>
        <v>7.9833333333333343</v>
      </c>
      <c r="K32" s="109" t="str">
        <f>IFERROR(VLOOKUP(H_Janv[[#This Row],[Service]],Codes[],4,0),"")</f>
        <v>non</v>
      </c>
      <c r="L32" s="49">
        <f>IF(H_Janv[[#This Row],[PNP Début]]=0,0,IF(H_Janv[[#This Row],[PNP Début]]&lt;H_Janv[[#This Row],[début]],1,0)+H_Janv[[#This Row],[PNP Début]])</f>
        <v>0</v>
      </c>
      <c r="M32" s="50">
        <f>IF(H_Janv[[#This Row],[PNP Fin]]=0,0,IF(H_Janv[[#This Row],[PNP Fin]]&lt;H_Janv[[#This Row],[début]],1,0)+H_Janv[[#This Row],[PNP Fin]])</f>
        <v>0</v>
      </c>
      <c r="N32" s="50">
        <f>IF(H_Janv[[#This Row],[Fin]]&lt;H_Janv[[#This Row],[début]],1,0)+H_Janv[[#This Row],[Fin]]</f>
        <v>0.70763888888888893</v>
      </c>
      <c r="O3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3" spans="1:20" x14ac:dyDescent="0.3">
      <c r="A33" s="4">
        <v>43106</v>
      </c>
      <c r="B33" s="1" t="s">
        <v>121</v>
      </c>
      <c r="C33" s="2">
        <v>0.375</v>
      </c>
      <c r="D33" s="2">
        <v>0.70763888888888893</v>
      </c>
      <c r="E33" s="3"/>
      <c r="F33" s="3"/>
      <c r="G33" s="3"/>
      <c r="H33" s="3"/>
      <c r="I33" s="47">
        <f>0.1*(H_Janv[[#This Row],[Heures de nuit]]+IF(H_Janv[[#This Row],[majoration dim &amp; JF]]="non",0,H_Janv[[#This Row],[heures jour dimanche]]+H_Janv[[#This Row],[heures jour fériés]]))</f>
        <v>0</v>
      </c>
      <c r="J33" s="48">
        <f>(MOD(H_Janv[[#This Row],[Fin]]-H_Janv[[#This Row],[début]],1)-MOD(H_Janv[[#This Row],[PNP Fin]]-H_Janv[[#This Row],[PNP Début]],1))*24</f>
        <v>7.9833333333333343</v>
      </c>
      <c r="K33" s="109" t="str">
        <f>IFERROR(VLOOKUP(H_Janv[[#This Row],[Service]],Codes[],4,0),"")</f>
        <v>non</v>
      </c>
      <c r="L33" s="49">
        <f>IF(H_Janv[[#This Row],[PNP Début]]=0,0,IF(H_Janv[[#This Row],[PNP Début]]&lt;H_Janv[[#This Row],[début]],1,0)+H_Janv[[#This Row],[PNP Début]])</f>
        <v>0</v>
      </c>
      <c r="M33" s="50">
        <f>IF(H_Janv[[#This Row],[PNP Fin]]=0,0,IF(H_Janv[[#This Row],[PNP Fin]]&lt;H_Janv[[#This Row],[début]],1,0)+H_Janv[[#This Row],[PNP Fin]])</f>
        <v>0</v>
      </c>
      <c r="N33" s="50">
        <f>IF(H_Janv[[#This Row],[Fin]]&lt;H_Janv[[#This Row],[début]],1,0)+H_Janv[[#This Row],[Fin]]</f>
        <v>0.70763888888888893</v>
      </c>
      <c r="O3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0.1*(H_Janv[[#This Row],[Heures de nuit]]+IF(H_Janv[[#This Row],[majoration dim &amp; JF]]="non",0,H_Janv[[#This Row],[heures jour dimanche]]+H_Janv[[#This Row],[heures jour fériés]]))</f>
        <v>0</v>
      </c>
      <c r="J34" s="48">
        <f>(MOD(H_Janv[[#This Row],[Fin]]-H_Janv[[#This Row],[début]],1)-MOD(H_Janv[[#This Row],[PNP Fin]]-H_Janv[[#This Row],[PNP Début]],1))*24</f>
        <v>0</v>
      </c>
      <c r="K34" s="109" t="str">
        <f>IFERROR(VLOOKUP(H_Janv[[#This Row],[Service]],Codes[],4,0),"")</f>
        <v/>
      </c>
      <c r="L34" s="49">
        <f>IF(H_Janv[[#This Row],[PNP Début]]=0,0,IF(H_Janv[[#This Row],[PNP Début]]&lt;H_Janv[[#This Row],[début]],1,0)+H_Janv[[#This Row],[PNP Début]])</f>
        <v>0</v>
      </c>
      <c r="M34" s="50">
        <f>IF(H_Janv[[#This Row],[PNP Fin]]=0,0,IF(H_Janv[[#This Row],[PNP Fin]]&lt;H_Janv[[#This Row],[début]],1,0)+H_Janv[[#This Row],[PNP Fin]])</f>
        <v>0</v>
      </c>
      <c r="N34" s="50">
        <f>IF(H_Janv[[#This Row],[Fin]]&lt;H_Janv[[#This Row],[début]],1,0)+H_Janv[[#This Row],[Fin]]</f>
        <v>0</v>
      </c>
      <c r="O3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5" spans="1:20" x14ac:dyDescent="0.3">
      <c r="A35" s="4"/>
      <c r="B35" s="1" t="s">
        <v>121</v>
      </c>
      <c r="C35" s="2">
        <v>0.375</v>
      </c>
      <c r="D35" s="2">
        <v>0.70763888888888893</v>
      </c>
      <c r="E35" s="3"/>
      <c r="F35" s="3"/>
      <c r="G35" s="3"/>
      <c r="H35" s="3"/>
      <c r="I35" s="47">
        <f>0.1*(H_Janv[[#This Row],[Heures de nuit]]+IF(H_Janv[[#This Row],[majoration dim &amp; JF]]="non",0,H_Janv[[#This Row],[heures jour dimanche]]+H_Janv[[#This Row],[heures jour fériés]]))</f>
        <v>0</v>
      </c>
      <c r="J35" s="48">
        <f>(MOD(H_Janv[[#This Row],[Fin]]-H_Janv[[#This Row],[début]],1)-MOD(H_Janv[[#This Row],[PNP Fin]]-H_Janv[[#This Row],[PNP Début]],1))*24</f>
        <v>7.9833333333333343</v>
      </c>
      <c r="K35" s="109" t="str">
        <f>IFERROR(VLOOKUP(H_Janv[[#This Row],[Service]],Codes[],4,0),"")</f>
        <v>non</v>
      </c>
      <c r="L35" s="49">
        <f>IF(H_Janv[[#This Row],[PNP Début]]=0,0,IF(H_Janv[[#This Row],[PNP Début]]&lt;H_Janv[[#This Row],[début]],1,0)+H_Janv[[#This Row],[PNP Début]])</f>
        <v>0</v>
      </c>
      <c r="M35" s="50">
        <f>IF(H_Janv[[#This Row],[PNP Fin]]=0,0,IF(H_Janv[[#This Row],[PNP Fin]]&lt;H_Janv[[#This Row],[début]],1,0)+H_Janv[[#This Row],[PNP Fin]])</f>
        <v>0</v>
      </c>
      <c r="N35" s="50">
        <f>IF(H_Janv[[#This Row],[Fin]]&lt;H_Janv[[#This Row],[début]],1,0)+H_Janv[[#This Row],[Fin]]</f>
        <v>0.70763888888888893</v>
      </c>
      <c r="O3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6" spans="1:20" x14ac:dyDescent="0.3">
      <c r="A36" s="4"/>
      <c r="B36" s="1" t="s">
        <v>120</v>
      </c>
      <c r="C36" s="2"/>
      <c r="D36" s="2"/>
      <c r="E36" s="3"/>
      <c r="F36" s="3"/>
      <c r="G36" s="3"/>
      <c r="H36" s="3"/>
      <c r="I36" s="47">
        <f>0.1*(H_Janv[[#This Row],[Heures de nuit]]+IF(H_Janv[[#This Row],[majoration dim &amp; JF]]="non",0,H_Janv[[#This Row],[heures jour dimanche]]+H_Janv[[#This Row],[heures jour fériés]]))</f>
        <v>0</v>
      </c>
      <c r="J36" s="48">
        <f>(MOD(H_Janv[[#This Row],[Fin]]-H_Janv[[#This Row],[début]],1)-MOD(H_Janv[[#This Row],[PNP Fin]]-H_Janv[[#This Row],[PNP Début]],1))*24</f>
        <v>0</v>
      </c>
      <c r="K36" s="109" t="str">
        <f>IFERROR(VLOOKUP(H_Janv[[#This Row],[Service]],Codes[],4,0),"")</f>
        <v>non</v>
      </c>
      <c r="L36" s="49">
        <f>IF(H_Janv[[#This Row],[PNP Début]]=0,0,IF(H_Janv[[#This Row],[PNP Début]]&lt;H_Janv[[#This Row],[début]],1,0)+H_Janv[[#This Row],[PNP Début]])</f>
        <v>0</v>
      </c>
      <c r="M36" s="50">
        <f>IF(H_Janv[[#This Row],[PNP Fin]]=0,0,IF(H_Janv[[#This Row],[PNP Fin]]&lt;H_Janv[[#This Row],[début]],1,0)+H_Janv[[#This Row],[PNP Fin]])</f>
        <v>0</v>
      </c>
      <c r="N36" s="50">
        <f>IF(H_Janv[[#This Row],[Fin]]&lt;H_Janv[[#This Row],[début]],1,0)+H_Janv[[#This Row],[Fin]]</f>
        <v>0</v>
      </c>
      <c r="O3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7" spans="1:20" x14ac:dyDescent="0.3">
      <c r="A37" s="4"/>
      <c r="B37" s="1" t="s">
        <v>63</v>
      </c>
      <c r="C37" s="2">
        <v>0.41666666666666669</v>
      </c>
      <c r="D37" s="2">
        <v>0.74930555555555556</v>
      </c>
      <c r="E37" s="3"/>
      <c r="F37" s="3"/>
      <c r="G37" s="3"/>
      <c r="H37" s="3"/>
      <c r="I37" s="47">
        <f>0.1*(H_Janv[[#This Row],[Heures de nuit]]+IF(H_Janv[[#This Row],[majoration dim &amp; JF]]="non",0,H_Janv[[#This Row],[heures jour dimanche]]+H_Janv[[#This Row],[heures jour fériés]]))</f>
        <v>0</v>
      </c>
      <c r="J37" s="48">
        <f>(MOD(H_Janv[[#This Row],[Fin]]-H_Janv[[#This Row],[début]],1)-MOD(H_Janv[[#This Row],[PNP Fin]]-H_Janv[[#This Row],[PNP Début]],1))*24</f>
        <v>7.9833333333333325</v>
      </c>
      <c r="K37" s="109" t="str">
        <f>IFERROR(VLOOKUP(H_Janv[[#This Row],[Service]],Codes[],4,0),"")</f>
        <v>non</v>
      </c>
      <c r="L37" s="49">
        <f>IF(H_Janv[[#This Row],[PNP Début]]=0,0,IF(H_Janv[[#This Row],[PNP Début]]&lt;H_Janv[[#This Row],[début]],1,0)+H_Janv[[#This Row],[PNP Début]])</f>
        <v>0</v>
      </c>
      <c r="M37" s="50">
        <f>IF(H_Janv[[#This Row],[PNP Fin]]=0,0,IF(H_Janv[[#This Row],[PNP Fin]]&lt;H_Janv[[#This Row],[début]],1,0)+H_Janv[[#This Row],[PNP Fin]])</f>
        <v>0</v>
      </c>
      <c r="N37" s="50">
        <f>IF(H_Janv[[#This Row],[Fin]]&lt;H_Janv[[#This Row],[début]],1,0)+H_Janv[[#This Row],[Fin]]</f>
        <v>0.74930555555555556</v>
      </c>
      <c r="O3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0.1*(H_Janv[[#This Row],[Heures de nuit]]+IF(H_Janv[[#This Row],[majoration dim &amp; JF]]="non",0,H_Janv[[#This Row],[heures jour dimanche]]+H_Janv[[#This Row],[heures jour fériés]]))</f>
        <v>0</v>
      </c>
      <c r="J38" s="48">
        <f>(MOD(H_Janv[[#This Row],[Fin]]-H_Janv[[#This Row],[début]],1)-MOD(H_Janv[[#This Row],[PNP Fin]]-H_Janv[[#This Row],[PNP Début]],1))*24</f>
        <v>0</v>
      </c>
      <c r="K38" s="109" t="str">
        <f>IFERROR(VLOOKUP(H_Janv[[#This Row],[Service]],Codes[],4,0),"")</f>
        <v/>
      </c>
      <c r="L38" s="49">
        <f>IF(H_Janv[[#This Row],[PNP Début]]=0,0,IF(H_Janv[[#This Row],[PNP Début]]&lt;H_Janv[[#This Row],[début]],1,0)+H_Janv[[#This Row],[PNP Début]])</f>
        <v>0</v>
      </c>
      <c r="M38" s="50">
        <f>IF(H_Janv[[#This Row],[PNP Fin]]=0,0,IF(H_Janv[[#This Row],[PNP Fin]]&lt;H_Janv[[#This Row],[début]],1,0)+H_Janv[[#This Row],[PNP Fin]])</f>
        <v>0</v>
      </c>
      <c r="N38" s="50">
        <f>IF(H_Janv[[#This Row],[Fin]]&lt;H_Janv[[#This Row],[début]],1,0)+H_Janv[[#This Row],[Fin]]</f>
        <v>0</v>
      </c>
      <c r="O3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0.1*(H_Janv[[#This Row],[Heures de nuit]]+IF(H_Janv[[#This Row],[majoration dim &amp; JF]]="non",0,H_Janv[[#This Row],[heures jour dimanche]]+H_Janv[[#This Row],[heures jour fériés]]))</f>
        <v>0</v>
      </c>
      <c r="J39" s="48">
        <f>(MOD(H_Janv[[#This Row],[Fin]]-H_Janv[[#This Row],[début]],1)-MOD(H_Janv[[#This Row],[PNP Fin]]-H_Janv[[#This Row],[PNP Début]],1))*24</f>
        <v>0</v>
      </c>
      <c r="K39" s="109" t="str">
        <f>IFERROR(VLOOKUP(H_Janv[[#This Row],[Service]],Codes[],4,0),"")</f>
        <v/>
      </c>
      <c r="L39" s="49">
        <f>IF(H_Janv[[#This Row],[PNP Début]]=0,0,IF(H_Janv[[#This Row],[PNP Début]]&lt;H_Janv[[#This Row],[début]],1,0)+H_Janv[[#This Row],[PNP Début]])</f>
        <v>0</v>
      </c>
      <c r="M39" s="50">
        <f>IF(H_Janv[[#This Row],[PNP Fin]]=0,0,IF(H_Janv[[#This Row],[PNP Fin]]&lt;H_Janv[[#This Row],[début]],1,0)+H_Janv[[#This Row],[PNP Fin]])</f>
        <v>0</v>
      </c>
      <c r="N39" s="50">
        <f>IF(H_Janv[[#This Row],[Fin]]&lt;H_Janv[[#This Row],[début]],1,0)+H_Janv[[#This Row],[Fin]]</f>
        <v>0</v>
      </c>
      <c r="O3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0.1*(H_Janv[[#This Row],[Heures de nuit]]+IF(H_Janv[[#This Row],[majoration dim &amp; JF]]="non",0,H_Janv[[#This Row],[heures jour dimanche]]+H_Janv[[#This Row],[heures jour fériés]]))</f>
        <v>0</v>
      </c>
      <c r="J40" s="48">
        <f>(MOD(H_Janv[[#This Row],[Fin]]-H_Janv[[#This Row],[début]],1)-MOD(H_Janv[[#This Row],[PNP Fin]]-H_Janv[[#This Row],[PNP Début]],1))*24</f>
        <v>0</v>
      </c>
      <c r="K40" s="109" t="str">
        <f>IFERROR(VLOOKUP(H_Janv[[#This Row],[Service]],Codes[],4,0),"")</f>
        <v/>
      </c>
      <c r="L40" s="49">
        <f>IF(H_Janv[[#This Row],[PNP Début]]=0,0,IF(H_Janv[[#This Row],[PNP Début]]&lt;H_Janv[[#This Row],[début]],1,0)+H_Janv[[#This Row],[PNP Début]])</f>
        <v>0</v>
      </c>
      <c r="M40" s="50">
        <f>IF(H_Janv[[#This Row],[PNP Fin]]=0,0,IF(H_Janv[[#This Row],[PNP Fin]]&lt;H_Janv[[#This Row],[début]],1,0)+H_Janv[[#This Row],[PNP Fin]])</f>
        <v>0</v>
      </c>
      <c r="N40" s="50">
        <f>IF(H_Janv[[#This Row],[Fin]]&lt;H_Janv[[#This Row],[début]],1,0)+H_Janv[[#This Row],[Fin]]</f>
        <v>0</v>
      </c>
      <c r="O4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0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0.1*(H_Janv[[#This Row],[Heures de nuit]]+IF(H_Janv[[#This Row],[majoration dim &amp; JF]]="non",0,H_Janv[[#This Row],[heures jour dimanche]]+H_Janv[[#This Row],[heures jour fériés]]))</f>
        <v>0</v>
      </c>
      <c r="J41" s="48">
        <f>(MOD(H_Janv[[#This Row],[Fin]]-H_Janv[[#This Row],[début]],1)-MOD(H_Janv[[#This Row],[PNP Fin]]-H_Janv[[#This Row],[PNP Début]],1))*24</f>
        <v>0</v>
      </c>
      <c r="K41" s="109" t="str">
        <f>IFERROR(VLOOKUP(H_Janv[[#This Row],[Service]],Codes[],4,0),"")</f>
        <v/>
      </c>
      <c r="L41" s="49">
        <f>IF(H_Janv[[#This Row],[PNP Début]]=0,0,IF(H_Janv[[#This Row],[PNP Début]]&lt;H_Janv[[#This Row],[début]],1,0)+H_Janv[[#This Row],[PNP Début]])</f>
        <v>0</v>
      </c>
      <c r="M41" s="50">
        <f>IF(H_Janv[[#This Row],[PNP Fin]]=0,0,IF(H_Janv[[#This Row],[PNP Fin]]&lt;H_Janv[[#This Row],[début]],1,0)+H_Janv[[#This Row],[PNP Fin]])</f>
        <v>0</v>
      </c>
      <c r="N41" s="50">
        <f>IF(H_Janv[[#This Row],[Fin]]&lt;H_Janv[[#This Row],[début]],1,0)+H_Janv[[#This Row],[Fin]]</f>
        <v>0</v>
      </c>
      <c r="O4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1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0.1*(H_Janv[[#This Row],[Heures de nuit]]+IF(H_Janv[[#This Row],[majoration dim &amp; JF]]="non",0,H_Janv[[#This Row],[heures jour dimanche]]+H_Janv[[#This Row],[heures jour fériés]]))</f>
        <v>0</v>
      </c>
      <c r="J42" s="48">
        <f>(MOD(H_Janv[[#This Row],[Fin]]-H_Janv[[#This Row],[début]],1)-MOD(H_Janv[[#This Row],[PNP Fin]]-H_Janv[[#This Row],[PNP Début]],1))*24</f>
        <v>0</v>
      </c>
      <c r="K42" s="109" t="str">
        <f>IFERROR(VLOOKUP(H_Janv[[#This Row],[Service]],Codes[],4,0),"")</f>
        <v/>
      </c>
      <c r="L42" s="49">
        <f>IF(H_Janv[[#This Row],[PNP Début]]=0,0,IF(H_Janv[[#This Row],[PNP Début]]&lt;H_Janv[[#This Row],[début]],1,0)+H_Janv[[#This Row],[PNP Début]])</f>
        <v>0</v>
      </c>
      <c r="M42" s="50">
        <f>IF(H_Janv[[#This Row],[PNP Fin]]=0,0,IF(H_Janv[[#This Row],[PNP Fin]]&lt;H_Janv[[#This Row],[début]],1,0)+H_Janv[[#This Row],[PNP Fin]])</f>
        <v>0</v>
      </c>
      <c r="N42" s="50">
        <f>IF(H_Janv[[#This Row],[Fin]]&lt;H_Janv[[#This Row],[début]],1,0)+H_Janv[[#This Row],[Fin]]</f>
        <v>0</v>
      </c>
      <c r="O4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0.1*(H_Janv[[#This Row],[Heures de nuit]]+IF(H_Janv[[#This Row],[majoration dim &amp; JF]]="non",0,H_Janv[[#This Row],[heures jour dimanche]]+H_Janv[[#This Row],[heures jour fériés]]))</f>
        <v>0</v>
      </c>
      <c r="J43" s="48">
        <f>(MOD(H_Janv[[#This Row],[Fin]]-H_Janv[[#This Row],[début]],1)-MOD(H_Janv[[#This Row],[PNP Fin]]-H_Janv[[#This Row],[PNP Début]],1))*24</f>
        <v>0</v>
      </c>
      <c r="K43" s="109" t="str">
        <f>IFERROR(VLOOKUP(H_Janv[[#This Row],[Service]],Codes[],4,0),"")</f>
        <v/>
      </c>
      <c r="L43" s="49">
        <f>IF(H_Janv[[#This Row],[PNP Début]]=0,0,IF(H_Janv[[#This Row],[PNP Début]]&lt;H_Janv[[#This Row],[début]],1,0)+H_Janv[[#This Row],[PNP Début]])</f>
        <v>0</v>
      </c>
      <c r="M43" s="50">
        <f>IF(H_Janv[[#This Row],[PNP Fin]]=0,0,IF(H_Janv[[#This Row],[PNP Fin]]&lt;H_Janv[[#This Row],[début]],1,0)+H_Janv[[#This Row],[PNP Fin]])</f>
        <v>0</v>
      </c>
      <c r="N43" s="50">
        <f>IF(H_Janv[[#This Row],[Fin]]&lt;H_Janv[[#This Row],[début]],1,0)+H_Janv[[#This Row],[Fin]]</f>
        <v>0</v>
      </c>
      <c r="O4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0.1*(H_Janv[[#This Row],[Heures de nuit]]+IF(H_Janv[[#This Row],[majoration dim &amp; JF]]="non",0,H_Janv[[#This Row],[heures jour dimanche]]+H_Janv[[#This Row],[heures jour fériés]]))</f>
        <v>0</v>
      </c>
      <c r="J44" s="48">
        <f>(MOD(H_Janv[[#This Row],[Fin]]-H_Janv[[#This Row],[début]],1)-MOD(H_Janv[[#This Row],[PNP Fin]]-H_Janv[[#This Row],[PNP Début]],1))*24</f>
        <v>0</v>
      </c>
      <c r="K44" s="109" t="str">
        <f>IFERROR(VLOOKUP(H_Janv[[#This Row],[Service]],Codes[],4,0),"")</f>
        <v/>
      </c>
      <c r="L44" s="49">
        <f>IF(H_Janv[[#This Row],[PNP Début]]=0,0,IF(H_Janv[[#This Row],[PNP Début]]&lt;H_Janv[[#This Row],[début]],1,0)+H_Janv[[#This Row],[PNP Début]])</f>
        <v>0</v>
      </c>
      <c r="M44" s="50">
        <f>IF(H_Janv[[#This Row],[PNP Fin]]=0,0,IF(H_Janv[[#This Row],[PNP Fin]]&lt;H_Janv[[#This Row],[début]],1,0)+H_Janv[[#This Row],[PNP Fin]])</f>
        <v>0</v>
      </c>
      <c r="N44" s="50">
        <f>IF(H_Janv[[#This Row],[Fin]]&lt;H_Janv[[#This Row],[début]],1,0)+H_Janv[[#This Row],[Fin]]</f>
        <v>0</v>
      </c>
      <c r="O4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0.1*(H_Janv[[#This Row],[Heures de nuit]]+IF(H_Janv[[#This Row],[majoration dim &amp; JF]]="non",0,H_Janv[[#This Row],[heures jour dimanche]]+H_Janv[[#This Row],[heures jour fériés]]))</f>
        <v>0</v>
      </c>
      <c r="J45" s="48">
        <f>(MOD(H_Janv[[#This Row],[Fin]]-H_Janv[[#This Row],[début]],1)-MOD(H_Janv[[#This Row],[PNP Fin]]-H_Janv[[#This Row],[PNP Début]],1))*24</f>
        <v>0</v>
      </c>
      <c r="K45" s="109" t="str">
        <f>IFERROR(VLOOKUP(H_Janv[[#This Row],[Service]],Codes[],4,0),"")</f>
        <v/>
      </c>
      <c r="L45" s="49">
        <f>IF(H_Janv[[#This Row],[PNP Début]]=0,0,IF(H_Janv[[#This Row],[PNP Début]]&lt;H_Janv[[#This Row],[début]],1,0)+H_Janv[[#This Row],[PNP Début]])</f>
        <v>0</v>
      </c>
      <c r="M45" s="50">
        <f>IF(H_Janv[[#This Row],[PNP Fin]]=0,0,IF(H_Janv[[#This Row],[PNP Fin]]&lt;H_Janv[[#This Row],[début]],1,0)+H_Janv[[#This Row],[PNP Fin]])</f>
        <v>0</v>
      </c>
      <c r="N45" s="50">
        <f>IF(H_Janv[[#This Row],[Fin]]&lt;H_Janv[[#This Row],[début]],1,0)+H_Janv[[#This Row],[Fin]]</f>
        <v>0</v>
      </c>
      <c r="O4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0.1*(H_Janv[[#This Row],[Heures de nuit]]+IF(H_Janv[[#This Row],[majoration dim &amp; JF]]="non",0,H_Janv[[#This Row],[heures jour dimanche]]+H_Janv[[#This Row],[heures jour fériés]]))</f>
        <v>0</v>
      </c>
      <c r="J46" s="48">
        <f>(MOD(H_Janv[[#This Row],[Fin]]-H_Janv[[#This Row],[début]],1)-MOD(H_Janv[[#This Row],[PNP Fin]]-H_Janv[[#This Row],[PNP Début]],1))*24</f>
        <v>0</v>
      </c>
      <c r="K46" s="109" t="str">
        <f>IFERROR(VLOOKUP(H_Janv[[#This Row],[Service]],Codes[],4,0),"")</f>
        <v/>
      </c>
      <c r="L46" s="49">
        <f>IF(H_Janv[[#This Row],[PNP Début]]=0,0,IF(H_Janv[[#This Row],[PNP Début]]&lt;H_Janv[[#This Row],[début]],1,0)+H_Janv[[#This Row],[PNP Début]])</f>
        <v>0</v>
      </c>
      <c r="M46" s="50">
        <f>IF(H_Janv[[#This Row],[PNP Fin]]=0,0,IF(H_Janv[[#This Row],[PNP Fin]]&lt;H_Janv[[#This Row],[début]],1,0)+H_Janv[[#This Row],[PNP Fin]])</f>
        <v>0</v>
      </c>
      <c r="N46" s="50">
        <f>IF(H_Janv[[#This Row],[Fin]]&lt;H_Janv[[#This Row],[début]],1,0)+H_Janv[[#This Row],[Fin]]</f>
        <v>0</v>
      </c>
      <c r="O4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0.1*(H_Janv[[#This Row],[Heures de nuit]]+IF(H_Janv[[#This Row],[majoration dim &amp; JF]]="non",0,H_Janv[[#This Row],[heures jour dimanche]]+H_Janv[[#This Row],[heures jour fériés]]))</f>
        <v>0</v>
      </c>
      <c r="J47" s="48">
        <f>(MOD(H_Janv[[#This Row],[Fin]]-H_Janv[[#This Row],[début]],1)-MOD(H_Janv[[#This Row],[PNP Fin]]-H_Janv[[#This Row],[PNP Début]],1))*24</f>
        <v>0</v>
      </c>
      <c r="K47" s="109" t="str">
        <f>IFERROR(VLOOKUP(H_Janv[[#This Row],[Service]],Codes[],4,0),"")</f>
        <v/>
      </c>
      <c r="L47" s="49">
        <f>IF(H_Janv[[#This Row],[PNP Début]]=0,0,IF(H_Janv[[#This Row],[PNP Début]]&lt;H_Janv[[#This Row],[début]],1,0)+H_Janv[[#This Row],[PNP Début]])</f>
        <v>0</v>
      </c>
      <c r="M47" s="50">
        <f>IF(H_Janv[[#This Row],[PNP Fin]]=0,0,IF(H_Janv[[#This Row],[PNP Fin]]&lt;H_Janv[[#This Row],[début]],1,0)+H_Janv[[#This Row],[PNP Fin]])</f>
        <v>0</v>
      </c>
      <c r="N47" s="50">
        <f>IF(H_Janv[[#This Row],[Fin]]&lt;H_Janv[[#This Row],[début]],1,0)+H_Janv[[#This Row],[Fin]]</f>
        <v>0</v>
      </c>
      <c r="O4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0.1*(H_Janv[[#This Row],[Heures de nuit]]+IF(H_Janv[[#This Row],[majoration dim &amp; JF]]="non",0,H_Janv[[#This Row],[heures jour dimanche]]+H_Janv[[#This Row],[heures jour fériés]]))</f>
        <v>0</v>
      </c>
      <c r="J48" s="48">
        <f>(MOD(H_Janv[[#This Row],[Fin]]-H_Janv[[#This Row],[début]],1)-MOD(H_Janv[[#This Row],[PNP Fin]]-H_Janv[[#This Row],[PNP Début]],1))*24</f>
        <v>0</v>
      </c>
      <c r="K48" s="109" t="str">
        <f>IFERROR(VLOOKUP(H_Janv[[#This Row],[Service]],Codes[],4,0),"")</f>
        <v/>
      </c>
      <c r="L48" s="49">
        <f>IF(H_Janv[[#This Row],[PNP Début]]=0,0,IF(H_Janv[[#This Row],[PNP Début]]&lt;H_Janv[[#This Row],[début]],1,0)+H_Janv[[#This Row],[PNP Début]])</f>
        <v>0</v>
      </c>
      <c r="M48" s="50">
        <f>IF(H_Janv[[#This Row],[PNP Fin]]=0,0,IF(H_Janv[[#This Row],[PNP Fin]]&lt;H_Janv[[#This Row],[début]],1,0)+H_Janv[[#This Row],[PNP Fin]])</f>
        <v>0</v>
      </c>
      <c r="N48" s="50">
        <f>IF(H_Janv[[#This Row],[Fin]]&lt;H_Janv[[#This Row],[début]],1,0)+H_Janv[[#This Row],[Fin]]</f>
        <v>0</v>
      </c>
      <c r="O4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0.1*(H_Janv[[#This Row],[Heures de nuit]]+IF(H_Janv[[#This Row],[majoration dim &amp; JF]]="non",0,H_Janv[[#This Row],[heures jour dimanche]]+H_Janv[[#This Row],[heures jour fériés]]))</f>
        <v>0</v>
      </c>
      <c r="J49" s="48">
        <f>(MOD(H_Janv[[#This Row],[Fin]]-H_Janv[[#This Row],[début]],1)-MOD(H_Janv[[#This Row],[PNP Fin]]-H_Janv[[#This Row],[PNP Début]],1))*24</f>
        <v>0</v>
      </c>
      <c r="K49" s="109" t="str">
        <f>IFERROR(VLOOKUP(H_Janv[[#This Row],[Service]],Codes[],4,0),"")</f>
        <v/>
      </c>
      <c r="L49" s="49">
        <f>IF(H_Janv[[#This Row],[PNP Début]]=0,0,IF(H_Janv[[#This Row],[PNP Début]]&lt;H_Janv[[#This Row],[début]],1,0)+H_Janv[[#This Row],[PNP Début]])</f>
        <v>0</v>
      </c>
      <c r="M49" s="50">
        <f>IF(H_Janv[[#This Row],[PNP Fin]]=0,0,IF(H_Janv[[#This Row],[PNP Fin]]&lt;H_Janv[[#This Row],[début]],1,0)+H_Janv[[#This Row],[PNP Fin]])</f>
        <v>0</v>
      </c>
      <c r="N49" s="50">
        <f>IF(H_Janv[[#This Row],[Fin]]&lt;H_Janv[[#This Row],[début]],1,0)+H_Janv[[#This Row],[Fin]]</f>
        <v>0</v>
      </c>
      <c r="O4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SUM(H_Janv[Majoration])</f>
        <v>10.1</v>
      </c>
      <c r="J50" s="54">
        <f>SUM(H_Janv[Heures totales payées])</f>
        <v>227.66666666666666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94"/>
      <c r="B52" s="195"/>
      <c r="C52" s="195"/>
      <c r="D52" s="196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97"/>
      <c r="B53" s="198"/>
      <c r="C53" s="198"/>
      <c r="D53" s="199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0"/>
      <c r="B54" s="201"/>
      <c r="C54" s="201"/>
      <c r="D54" s="202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6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20">
    <mergeCell ref="A1:B2"/>
    <mergeCell ref="A3:J4"/>
    <mergeCell ref="D5:F5"/>
    <mergeCell ref="G5:H5"/>
    <mergeCell ref="H1:J1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5" priority="3">
      <formula>$K13="non"</formula>
    </cfRule>
  </conditionalFormatting>
  <conditionalFormatting sqref="Y16">
    <cfRule type="cellIs" dxfId="2" priority="2" operator="equal">
      <formula>0</formula>
    </cfRule>
    <cfRule type="cellIs" dxfId="1" priority="1" operator="equal">
      <formula>0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.23622047244094491" right="0.23622047244094491" top="0" bottom="0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print="0" autoLine="0" r:id="rId5">
            <anchor moveWithCells="1">
              <from>
                <xdr:col>8</xdr:col>
                <xdr:colOff>723900</xdr:colOff>
                <xdr:row>0</xdr:row>
                <xdr:rowOff>106680</xdr:rowOff>
              </from>
              <to>
                <xdr:col>21</xdr:col>
                <xdr:colOff>7620</xdr:colOff>
                <xdr:row>3</xdr:row>
                <xdr:rowOff>220980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60"/>
  <sheetViews>
    <sheetView zoomScaleNormal="100" zoomScalePageLayoutView="55" workbookViewId="0">
      <selection activeCell="W29" sqref="W29"/>
    </sheetView>
  </sheetViews>
  <sheetFormatPr baseColWidth="10" defaultRowHeight="14.4" x14ac:dyDescent="0.3"/>
  <cols>
    <col min="1" max="1" width="20.1093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1.21875" style="11" bestFit="1" customWidth="1"/>
    <col min="11" max="11" width="11.21875" style="11" hidden="1" customWidth="1"/>
    <col min="12" max="12" width="14.44140625" hidden="1" customWidth="1"/>
    <col min="13" max="13" width="12.109375" hidden="1" customWidth="1"/>
    <col min="14" max="14" width="20.6640625" hidden="1" customWidth="1"/>
    <col min="15" max="15" width="17.6640625" hidden="1" customWidth="1"/>
    <col min="16" max="16" width="21.88671875" hidden="1" customWidth="1"/>
    <col min="17" max="17" width="15" hidden="1" customWidth="1"/>
    <col min="18" max="18" width="21.77734375" hidden="1" customWidth="1"/>
    <col min="19" max="19" width="15" hidden="1" customWidth="1"/>
    <col min="20" max="20" width="20.109375" hidden="1" customWidth="1"/>
    <col min="21" max="21" width="2.33203125" hidden="1" customWidth="1"/>
    <col min="22" max="22" width="22.664062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17" t="s">
        <v>35</v>
      </c>
      <c r="I1" s="118"/>
      <c r="J1" s="117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46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Février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14"/>
      <c r="Y9" s="116"/>
      <c r="Z9" s="114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14"/>
      <c r="Y10" s="114"/>
      <c r="Z10" s="114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14"/>
      <c r="X11" s="114"/>
      <c r="Y11" s="114"/>
      <c r="Z11" s="114"/>
    </row>
    <row r="12" spans="1:26" s="6" customFormat="1" ht="43.2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15"/>
      <c r="X12" s="115"/>
      <c r="Y12" s="115"/>
      <c r="Z12" s="115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0.1*(H_Fev[[#This Row],[Heures de nuit]]+IF(H_Fev[[#This Row],[majoration dim &amp; JF]]="non",0,H_Fev[[#This Row],[heures jour dimanche]]+H_Fev[[#This Row],[heures jour fériés]]))</f>
        <v>0</v>
      </c>
      <c r="J13" s="29">
        <f>(MOD(H_Fev[[#This Row],[Fin]]-H_Fev[[#This Row],[début]],1)-MOD(H_Fev[[#This Row],[PNP Fin]]-H_Fev[[#This Row],[PNP Début]],1))*24</f>
        <v>0</v>
      </c>
      <c r="K13" s="48" t="str">
        <f>IFERROR(VLOOKUP(H_Fev[[#This Row],[Service]],Codes[],4,0),"")</f>
        <v/>
      </c>
      <c r="L13" s="30">
        <f>IF(H_Fev[[#This Row],[PNP Début]]=0,0,IF(H_Fev[[#This Row],[PNP Début]]&lt;H_Fev[[#This Row],[début]],1,0)+H_Fev[[#This Row],[PNP Début]])</f>
        <v>0</v>
      </c>
      <c r="M13" s="30">
        <f>IF(H_Fev[[#This Row],[PNP Fin]]=0,0,IF(H_Fev[[#This Row],[PNP Fin]]&lt;H_Fev[[#This Row],[début]],1,0)+H_Fev[[#This Row],[PNP Fin]])</f>
        <v>0</v>
      </c>
      <c r="N13" s="30">
        <f>IF(H_Fev[[#This Row],[Fin]]&lt;H_Fev[[#This Row],[début]],1,0)+H_Fev[[#This Row],[Fin]]</f>
        <v>0</v>
      </c>
      <c r="O1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3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3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3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3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3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13" s="166"/>
      <c r="W13" s="114"/>
      <c r="X13" s="114"/>
      <c r="Y13" s="114"/>
      <c r="Z13" s="114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0.1*(H_Fev[[#This Row],[Heures de nuit]]+IF(H_Fev[[#This Row],[majoration dim &amp; JF]]="non",0,H_Fev[[#This Row],[heures jour dimanche]]+H_Fev[[#This Row],[heures jour fériés]]))</f>
        <v>0</v>
      </c>
      <c r="J14" s="29">
        <f>(MOD(H_Fev[[#This Row],[Fin]]-H_Fev[[#This Row],[début]],1)-MOD(H_Fev[[#This Row],[PNP Fin]]-H_Fev[[#This Row],[PNP Début]],1))*24</f>
        <v>0</v>
      </c>
      <c r="K14" s="48" t="str">
        <f>IFERROR(VLOOKUP(H_Fev[[#This Row],[Service]],Codes[],4,0),"")</f>
        <v/>
      </c>
      <c r="L14" s="30">
        <f>IF(H_Fev[[#This Row],[PNP Début]]=0,0,IF(H_Fev[[#This Row],[PNP Début]]&lt;H_Fev[[#This Row],[début]],1,0)+H_Fev[[#This Row],[PNP Début]])</f>
        <v>0</v>
      </c>
      <c r="M14" s="30">
        <f>IF(H_Fev[[#This Row],[PNP Fin]]=0,0,IF(H_Fev[[#This Row],[PNP Fin]]&lt;H_Fev[[#This Row],[début]],1,0)+H_Fev[[#This Row],[PNP Fin]])</f>
        <v>0</v>
      </c>
      <c r="N14" s="30">
        <f>IF(H_Fev[[#This Row],[Fin]]&lt;H_Fev[[#This Row],[début]],1,0)+H_Fev[[#This Row],[Fin]]</f>
        <v>0</v>
      </c>
      <c r="O1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4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4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4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4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4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14" s="166"/>
      <c r="W14" s="114"/>
      <c r="X14" s="114"/>
      <c r="Y14" s="114"/>
      <c r="Z14" s="114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0.1*(H_Fev[[#This Row],[Heures de nuit]]+IF(H_Fev[[#This Row],[majoration dim &amp; JF]]="non",0,H_Fev[[#This Row],[heures jour dimanche]]+H_Fev[[#This Row],[heures jour fériés]]))</f>
        <v>0</v>
      </c>
      <c r="J15" s="29">
        <f>(MOD(H_Fev[[#This Row],[Fin]]-H_Fev[[#This Row],[début]],1)-MOD(H_Fev[[#This Row],[PNP Fin]]-H_Fev[[#This Row],[PNP Début]],1))*24</f>
        <v>0</v>
      </c>
      <c r="K15" s="48" t="str">
        <f>IFERROR(VLOOKUP(H_Fev[[#This Row],[Service]],Codes[],4,0),"")</f>
        <v/>
      </c>
      <c r="L15" s="30">
        <f>IF(H_Fev[[#This Row],[PNP Début]]=0,0,IF(H_Fev[[#This Row],[PNP Début]]&lt;H_Fev[[#This Row],[début]],1,0)+H_Fev[[#This Row],[PNP Début]])</f>
        <v>0</v>
      </c>
      <c r="M15" s="30">
        <f>IF(H_Fev[[#This Row],[PNP Fin]]=0,0,IF(H_Fev[[#This Row],[PNP Fin]]&lt;H_Fev[[#This Row],[début]],1,0)+H_Fev[[#This Row],[PNP Fin]])</f>
        <v>0</v>
      </c>
      <c r="N15" s="30">
        <f>IF(H_Fev[[#This Row],[Fin]]&lt;H_Fev[[#This Row],[début]],1,0)+H_Fev[[#This Row],[Fin]]</f>
        <v>0</v>
      </c>
      <c r="O1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5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5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5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5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5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15" s="173" t="s">
        <v>127</v>
      </c>
      <c r="W15" s="174" t="s">
        <v>129</v>
      </c>
      <c r="X15" s="174" t="s">
        <v>132</v>
      </c>
      <c r="Y15" s="174" t="s">
        <v>131</v>
      </c>
      <c r="Z15" s="175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0.1*(H_Fev[[#This Row],[Heures de nuit]]+IF(H_Fev[[#This Row],[majoration dim &amp; JF]]="non",0,H_Fev[[#This Row],[heures jour dimanche]]+H_Fev[[#This Row],[heures jour fériés]]))</f>
        <v>0</v>
      </c>
      <c r="J16" s="33">
        <f>(MOD(H_Fev[[#This Row],[Fin]]-H_Fev[[#This Row],[début]],1)-MOD(H_Fev[[#This Row],[PNP Fin]]-H_Fev[[#This Row],[PNP Début]],1))*24</f>
        <v>0</v>
      </c>
      <c r="K16" s="48" t="str">
        <f>IFERROR(VLOOKUP(H_Fev[[#This Row],[Service]],Codes[],4,0),"")</f>
        <v/>
      </c>
      <c r="L16" s="30">
        <f>IF(H_Fev[[#This Row],[PNP Début]]=0,0,IF(H_Fev[[#This Row],[PNP Début]]&lt;H_Fev[[#This Row],[début]],1,0)+H_Fev[[#This Row],[PNP Début]])</f>
        <v>0</v>
      </c>
      <c r="M16" s="30">
        <f>IF(H_Fev[[#This Row],[PNP Fin]]=0,0,IF(H_Fev[[#This Row],[PNP Fin]]&lt;H_Fev[[#This Row],[début]],1,0)+H_Fev[[#This Row],[PNP Fin]])</f>
        <v>0</v>
      </c>
      <c r="N16" s="34">
        <f>IF(H_Fev[[#This Row],[Fin]]&lt;H_Fev[[#This Row],[début]],1,0)+H_Fev[[#This Row],[Fin]]</f>
        <v>0</v>
      </c>
      <c r="O1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6" s="35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6" s="35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6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6" s="3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6" s="3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16" s="176" t="s">
        <v>128</v>
      </c>
      <c r="W16" s="177">
        <f>'Janvier 18'!Z16</f>
        <v>20.100000000000001</v>
      </c>
      <c r="X16" s="177">
        <f>I50</f>
        <v>0</v>
      </c>
      <c r="Y16" s="178"/>
      <c r="Z16" s="179">
        <f>W16+X16-Y16</f>
        <v>20.100000000000001</v>
      </c>
    </row>
    <row r="17" spans="1:23" x14ac:dyDescent="0.3">
      <c r="A17" s="4"/>
      <c r="B17" s="1"/>
      <c r="C17" s="2"/>
      <c r="D17" s="2"/>
      <c r="E17" s="3"/>
      <c r="F17" s="3"/>
      <c r="G17" s="5"/>
      <c r="H17" s="5"/>
      <c r="I17" s="37">
        <f>0.1*(H_Fev[[#This Row],[Heures de nuit]]+IF(H_Fev[[#This Row],[majoration dim &amp; JF]]="non",0,H_Fev[[#This Row],[heures jour dimanche]]+H_Fev[[#This Row],[heures jour fériés]]))</f>
        <v>0</v>
      </c>
      <c r="J17" s="38">
        <f>(MOD(H_Fev[[#This Row],[Fin]]-H_Fev[[#This Row],[début]],1)-MOD(H_Fev[[#This Row],[PNP Fin]]-H_Fev[[#This Row],[PNP Début]],1))*24</f>
        <v>0</v>
      </c>
      <c r="K17" s="48" t="str">
        <f>IFERROR(VLOOKUP(H_Fev[[#This Row],[Service]],Codes[],4,0),"")</f>
        <v/>
      </c>
      <c r="L17" s="39">
        <f>IF(H_Fev[[#This Row],[PNP Début]]=0,0,IF(H_Fev[[#This Row],[PNP Début]]&lt;H_Fev[[#This Row],[début]],1,0)+H_Fev[[#This Row],[PNP Début]])</f>
        <v>0</v>
      </c>
      <c r="M17" s="40">
        <f>IF(H_Fev[[#This Row],[PNP Fin]]=0,0,IF(H_Fev[[#This Row],[PNP Fin]]&lt;H_Fev[[#This Row],[début]],1,0)+H_Fev[[#This Row],[PNP Fin]])</f>
        <v>0</v>
      </c>
      <c r="N17" s="40">
        <f>IF(H_Fev[[#This Row],[Fin]]&lt;H_Fev[[#This Row],[début]],1,0)+H_Fev[[#This Row],[Fin]]</f>
        <v>0</v>
      </c>
      <c r="O1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7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7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7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7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7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17" s="163"/>
    </row>
    <row r="18" spans="1:23" ht="15" thickBot="1" x14ac:dyDescent="0.35">
      <c r="A18" s="4"/>
      <c r="B18" s="1"/>
      <c r="C18" s="2"/>
      <c r="D18" s="2"/>
      <c r="E18" s="3"/>
      <c r="F18" s="3"/>
      <c r="G18" s="9"/>
      <c r="H18" s="9"/>
      <c r="I18" s="37">
        <f>0.1*(H_Fev[[#This Row],[Heures de nuit]]+IF(H_Fev[[#This Row],[majoration dim &amp; JF]]="non",0,H_Fev[[#This Row],[heures jour dimanche]]+H_Fev[[#This Row],[heures jour fériés]]))</f>
        <v>0</v>
      </c>
      <c r="J18" s="38">
        <f>(MOD(H_Fev[[#This Row],[Fin]]-H_Fev[[#This Row],[début]],1)-MOD(H_Fev[[#This Row],[PNP Fin]]-H_Fev[[#This Row],[PNP Début]],1))*24</f>
        <v>0</v>
      </c>
      <c r="K18" s="48" t="str">
        <f>IFERROR(VLOOKUP(H_Fev[[#This Row],[Service]],Codes[],4,0),"")</f>
        <v/>
      </c>
      <c r="L18" s="39">
        <f>IF(H_Fev[[#This Row],[PNP Début]]=0,0,IF(H_Fev[[#This Row],[PNP Début]]&lt;H_Fev[[#This Row],[début]],1,0)+H_Fev[[#This Row],[PNP Début]])</f>
        <v>0</v>
      </c>
      <c r="M18" s="40">
        <f>IF(H_Fev[[#This Row],[PNP Fin]]=0,0,IF(H_Fev[[#This Row],[PNP Fin]]&lt;H_Fev[[#This Row],[début]],1,0)+H_Fev[[#This Row],[PNP Fin]])</f>
        <v>0</v>
      </c>
      <c r="N18" s="40">
        <f>IF(H_Fev[[#This Row],[Fin]]&lt;H_Fev[[#This Row],[début]],1,0)+H_Fev[[#This Row],[Fin]]</f>
        <v>0</v>
      </c>
      <c r="O1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8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8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8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8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8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18" s="163"/>
    </row>
    <row r="19" spans="1:23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0.1*(H_Fev[[#This Row],[Heures de nuit]]+IF(H_Fev[[#This Row],[majoration dim &amp; JF]]="non",0,H_Fev[[#This Row],[heures jour dimanche]]+H_Fev[[#This Row],[heures jour fériés]]))</f>
        <v>0</v>
      </c>
      <c r="J19" s="38">
        <f>(MOD(H_Fev[[#This Row],[Fin]]-H_Fev[[#This Row],[début]],1)-MOD(H_Fev[[#This Row],[PNP Fin]]-H_Fev[[#This Row],[PNP Début]],1))*24</f>
        <v>0</v>
      </c>
      <c r="K19" s="48" t="str">
        <f>IFERROR(VLOOKUP(H_Fev[[#This Row],[Service]],Codes[],4,0),"")</f>
        <v/>
      </c>
      <c r="L19" s="39">
        <f>IF(H_Fev[[#This Row],[PNP Début]]=0,0,IF(H_Fev[[#This Row],[PNP Début]]&lt;H_Fev[[#This Row],[début]],1,0)+H_Fev[[#This Row],[PNP Début]])</f>
        <v>0</v>
      </c>
      <c r="M19" s="40">
        <f>IF(H_Fev[[#This Row],[PNP Fin]]=0,0,IF(H_Fev[[#This Row],[PNP Fin]]&lt;H_Fev[[#This Row],[début]],1,0)+H_Fev[[#This Row],[PNP Fin]])</f>
        <v>0</v>
      </c>
      <c r="N19" s="40">
        <f>IF(H_Fev[[#This Row],[Fin]]&lt;H_Fev[[#This Row],[début]],1,0)+H_Fev[[#This Row],[Fin]]</f>
        <v>0</v>
      </c>
      <c r="O1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9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9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9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9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9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19" s="164" t="s">
        <v>166</v>
      </c>
      <c r="W19" s="162">
        <f>COUNTIF(B13:B49,"Vacances 173")+COUNTIF(B13:B49,"Vacances 150")</f>
        <v>0</v>
      </c>
    </row>
    <row r="20" spans="1:23" ht="15" thickBot="1" x14ac:dyDescent="0.35">
      <c r="A20" s="4"/>
      <c r="B20" s="1"/>
      <c r="C20" s="2"/>
      <c r="D20" s="2"/>
      <c r="E20" s="3"/>
      <c r="F20" s="3"/>
      <c r="G20" s="5"/>
      <c r="H20" s="5"/>
      <c r="I20" s="37">
        <f>0.1*(H_Fev[[#This Row],[Heures de nuit]]+IF(H_Fev[[#This Row],[majoration dim &amp; JF]]="non",0,H_Fev[[#This Row],[heures jour dimanche]]+H_Fev[[#This Row],[heures jour fériés]]))</f>
        <v>0</v>
      </c>
      <c r="J20" s="38">
        <f>(MOD(H_Fev[[#This Row],[Fin]]-H_Fev[[#This Row],[début]],1)-MOD(H_Fev[[#This Row],[PNP Fin]]-H_Fev[[#This Row],[PNP Début]],1))*24</f>
        <v>0</v>
      </c>
      <c r="K20" s="48" t="str">
        <f>IFERROR(VLOOKUP(H_Fev[[#This Row],[Service]],Codes[],4,0),"")</f>
        <v/>
      </c>
      <c r="L20" s="39">
        <f>IF(H_Fev[[#This Row],[PNP Début]]=0,0,IF(H_Fev[[#This Row],[PNP Début]]&lt;H_Fev[[#This Row],[début]],1,0)+H_Fev[[#This Row],[PNP Début]])</f>
        <v>0</v>
      </c>
      <c r="M20" s="40">
        <f>IF(H_Fev[[#This Row],[PNP Fin]]=0,0,IF(H_Fev[[#This Row],[PNP Fin]]&lt;H_Fev[[#This Row],[début]],1,0)+H_Fev[[#This Row],[PNP Fin]])</f>
        <v>0</v>
      </c>
      <c r="N20" s="40">
        <f>IF(H_Fev[[#This Row],[Fin]]&lt;H_Fev[[#This Row],[début]],1,0)+H_Fev[[#This Row],[Fin]]</f>
        <v>0</v>
      </c>
      <c r="O2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0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0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0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0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0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20" s="163"/>
    </row>
    <row r="21" spans="1:23" ht="15" thickBot="1" x14ac:dyDescent="0.35">
      <c r="A21" s="4"/>
      <c r="B21" s="1"/>
      <c r="C21" s="2"/>
      <c r="D21" s="2"/>
      <c r="E21" s="3"/>
      <c r="F21" s="3"/>
      <c r="G21" s="5"/>
      <c r="H21" s="5"/>
      <c r="I21" s="42">
        <f>0.1*(H_Fev[[#This Row],[Heures de nuit]]+IF(H_Fev[[#This Row],[majoration dim &amp; JF]]="non",0,H_Fev[[#This Row],[heures jour dimanche]]+H_Fev[[#This Row],[heures jour fériés]]))</f>
        <v>0</v>
      </c>
      <c r="J21" s="43">
        <f>(MOD(H_Fev[[#This Row],[Fin]]-H_Fev[[#This Row],[début]],1)-MOD(H_Fev[[#This Row],[PNP Fin]]-H_Fev[[#This Row],[PNP Début]],1))*24</f>
        <v>0</v>
      </c>
      <c r="K21" s="48" t="str">
        <f>IFERROR(VLOOKUP(H_Fev[[#This Row],[Service]],Codes[],4,0),"")</f>
        <v/>
      </c>
      <c r="L21" s="44">
        <f>IF(H_Fev[[#This Row],[PNP Début]]=0,0,IF(H_Fev[[#This Row],[PNP Début]]&lt;H_Fev[[#This Row],[début]],1,0)+H_Fev[[#This Row],[PNP Début]])</f>
        <v>0</v>
      </c>
      <c r="M21" s="45">
        <f>IF(H_Fev[[#This Row],[PNP Fin]]=0,0,IF(H_Fev[[#This Row],[PNP Fin]]&lt;H_Fev[[#This Row],[début]],1,0)+H_Fev[[#This Row],[PNP Fin]])</f>
        <v>0</v>
      </c>
      <c r="N21" s="45">
        <f>IF(H_Fev[[#This Row],[Fin]]&lt;H_Fev[[#This Row],[début]],1,0)+H_Fev[[#This Row],[Fin]]</f>
        <v>0</v>
      </c>
      <c r="O2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1" s="46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1" s="46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1" s="46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1" s="4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1" s="4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21" s="164" t="s">
        <v>167</v>
      </c>
      <c r="W21" s="162">
        <f>COUNTIF(B13:B49,"*récuperations*")</f>
        <v>0</v>
      </c>
    </row>
    <row r="22" spans="1:23" ht="14.4" customHeight="1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0.1*(H_Fev[[#This Row],[Heures de nuit]]+IF(H_Fev[[#This Row],[majoration dim &amp; JF]]="non",0,H_Fev[[#This Row],[heures jour dimanche]]+H_Fev[[#This Row],[heures jour fériés]]))</f>
        <v>0</v>
      </c>
      <c r="J22" s="48">
        <f>(MOD(H_Fev[[#This Row],[Fin]]-H_Fev[[#This Row],[début]],1)-MOD(H_Fev[[#This Row],[PNP Fin]]-H_Fev[[#This Row],[PNP Début]],1))*24</f>
        <v>0</v>
      </c>
      <c r="K22" s="48" t="str">
        <f>IFERROR(VLOOKUP(H_Fev[[#This Row],[Service]],Codes[],4,0),"")</f>
        <v/>
      </c>
      <c r="L22" s="49">
        <f>IF(H_Fev[[#This Row],[PNP Début]]=0,0,IF(H_Fev[[#This Row],[PNP Début]]&lt;H_Fev[[#This Row],[début]],1,0)+H_Fev[[#This Row],[PNP Début]])</f>
        <v>0</v>
      </c>
      <c r="M22" s="50">
        <f>IF(H_Fev[[#This Row],[PNP Fin]]=0,0,IF(H_Fev[[#This Row],[PNP Fin]]&lt;H_Fev[[#This Row],[début]],1,0)+H_Fev[[#This Row],[PNP Fin]])</f>
        <v>0</v>
      </c>
      <c r="N22" s="50">
        <f>IF(H_Fev[[#This Row],[Fin]]&lt;H_Fev[[#This Row],[début]],1,0)+H_Fev[[#This Row],[Fin]]</f>
        <v>0</v>
      </c>
      <c r="O2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22" s="165"/>
    </row>
    <row r="23" spans="1:23" ht="14.4" customHeight="1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0.1*(H_Fev[[#This Row],[Heures de nuit]]+IF(H_Fev[[#This Row],[majoration dim &amp; JF]]="non",0,H_Fev[[#This Row],[heures jour dimanche]]+H_Fev[[#This Row],[heures jour fériés]]))</f>
        <v>0</v>
      </c>
      <c r="J23" s="48">
        <f>(MOD(H_Fev[[#This Row],[Fin]]-H_Fev[[#This Row],[début]],1)-MOD(H_Fev[[#This Row],[PNP Fin]]-H_Fev[[#This Row],[PNP Début]],1))*24</f>
        <v>0</v>
      </c>
      <c r="K23" s="48" t="str">
        <f>IFERROR(VLOOKUP(H_Fev[[#This Row],[Service]],Codes[],4,0),"")</f>
        <v/>
      </c>
      <c r="L23" s="49">
        <f>IF(H_Fev[[#This Row],[PNP Début]]=0,0,IF(H_Fev[[#This Row],[PNP Début]]&lt;H_Fev[[#This Row],[début]],1,0)+H_Fev[[#This Row],[PNP Début]])</f>
        <v>0</v>
      </c>
      <c r="M23" s="50">
        <f>IF(H_Fev[[#This Row],[PNP Fin]]=0,0,IF(H_Fev[[#This Row],[PNP Fin]]&lt;H_Fev[[#This Row],[début]],1,0)+H_Fev[[#This Row],[PNP Fin]])</f>
        <v>0</v>
      </c>
      <c r="N23" s="50">
        <f>IF(H_Fev[[#This Row],[Fin]]&lt;H_Fev[[#This Row],[début]],1,0)+H_Fev[[#This Row],[Fin]]</f>
        <v>0</v>
      </c>
      <c r="O2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  <c r="V23" s="164" t="s">
        <v>168</v>
      </c>
      <c r="W23" s="162">
        <f>COUNTIF(B13:B49,"*CCT*")</f>
        <v>0</v>
      </c>
    </row>
    <row r="24" spans="1:23" ht="14.4" customHeight="1" x14ac:dyDescent="0.3">
      <c r="A24" s="4"/>
      <c r="B24" s="1"/>
      <c r="C24" s="2"/>
      <c r="D24" s="2"/>
      <c r="E24" s="3"/>
      <c r="F24" s="3"/>
      <c r="G24" s="5"/>
      <c r="H24" s="5"/>
      <c r="I24" s="47">
        <f>0.1*(H_Fev[[#This Row],[Heures de nuit]]+IF(H_Fev[[#This Row],[majoration dim &amp; JF]]="non",0,H_Fev[[#This Row],[heures jour dimanche]]+H_Fev[[#This Row],[heures jour fériés]]))</f>
        <v>0</v>
      </c>
      <c r="J24" s="48">
        <f>(MOD(H_Fev[[#This Row],[Fin]]-H_Fev[[#This Row],[début]],1)-MOD(H_Fev[[#This Row],[PNP Fin]]-H_Fev[[#This Row],[PNP Début]],1))*24</f>
        <v>0</v>
      </c>
      <c r="K24" s="48" t="str">
        <f>IFERROR(VLOOKUP(H_Fev[[#This Row],[Service]],Codes[],4,0),"")</f>
        <v/>
      </c>
      <c r="L24" s="49">
        <f>IF(H_Fev[[#This Row],[PNP Début]]=0,0,IF(H_Fev[[#This Row],[PNP Début]]&lt;H_Fev[[#This Row],[début]],1,0)+H_Fev[[#This Row],[PNP Début]])</f>
        <v>0</v>
      </c>
      <c r="M24" s="50">
        <f>IF(H_Fev[[#This Row],[PNP Fin]]=0,0,IF(H_Fev[[#This Row],[PNP Fin]]&lt;H_Fev[[#This Row],[début]],1,0)+H_Fev[[#This Row],[PNP Fin]])</f>
        <v>0</v>
      </c>
      <c r="N24" s="50">
        <f>IF(H_Fev[[#This Row],[Fin]]&lt;H_Fev[[#This Row],[début]],1,0)+H_Fev[[#This Row],[Fin]]</f>
        <v>0</v>
      </c>
      <c r="O2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5" spans="1:23" ht="14.4" customHeight="1" x14ac:dyDescent="0.3">
      <c r="A25" s="4"/>
      <c r="B25" s="1"/>
      <c r="C25" s="2"/>
      <c r="D25" s="2"/>
      <c r="E25" s="3"/>
      <c r="F25" s="3"/>
      <c r="G25" s="5"/>
      <c r="H25" s="5"/>
      <c r="I25" s="47">
        <f>0.1*(H_Fev[[#This Row],[Heures de nuit]]+IF(H_Fev[[#This Row],[majoration dim &amp; JF]]="non",0,H_Fev[[#This Row],[heures jour dimanche]]+H_Fev[[#This Row],[heures jour fériés]]))</f>
        <v>0</v>
      </c>
      <c r="J25" s="48">
        <f>(MOD(H_Fev[[#This Row],[Fin]]-H_Fev[[#This Row],[début]],1)-MOD(H_Fev[[#This Row],[PNP Fin]]-H_Fev[[#This Row],[PNP Début]],1))*24</f>
        <v>0</v>
      </c>
      <c r="K25" s="48" t="str">
        <f>IFERROR(VLOOKUP(H_Fev[[#This Row],[Service]],Codes[],4,0),"")</f>
        <v/>
      </c>
      <c r="L25" s="49">
        <f>IF(H_Fev[[#This Row],[PNP Début]]=0,0,IF(H_Fev[[#This Row],[PNP Début]]&lt;H_Fev[[#This Row],[début]],1,0)+H_Fev[[#This Row],[PNP Début]])</f>
        <v>0</v>
      </c>
      <c r="M25" s="50">
        <f>IF(H_Fev[[#This Row],[PNP Fin]]=0,0,IF(H_Fev[[#This Row],[PNP Fin]]&lt;H_Fev[[#This Row],[début]],1,0)+H_Fev[[#This Row],[PNP Fin]])</f>
        <v>0</v>
      </c>
      <c r="N25" s="50">
        <f>IF(H_Fev[[#This Row],[Fin]]&lt;H_Fev[[#This Row],[début]],1,0)+H_Fev[[#This Row],[Fin]]</f>
        <v>0</v>
      </c>
      <c r="O2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6" spans="1:23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0.1*(H_Fev[[#This Row],[Heures de nuit]]+IF(H_Fev[[#This Row],[majoration dim &amp; JF]]="non",0,H_Fev[[#This Row],[heures jour dimanche]]+H_Fev[[#This Row],[heures jour fériés]]))</f>
        <v>0</v>
      </c>
      <c r="J26" s="48">
        <f>(MOD(H_Fev[[#This Row],[Fin]]-H_Fev[[#This Row],[début]],1)-MOD(H_Fev[[#This Row],[PNP Fin]]-H_Fev[[#This Row],[PNP Début]],1))*24</f>
        <v>0</v>
      </c>
      <c r="K26" s="48" t="str">
        <f>IFERROR(VLOOKUP(H_Fev[[#This Row],[Service]],Codes[],4,0),"")</f>
        <v/>
      </c>
      <c r="L26" s="49">
        <f>IF(H_Fev[[#This Row],[PNP Début]]=0,0,IF(H_Fev[[#This Row],[PNP Début]]&lt;H_Fev[[#This Row],[début]],1,0)+H_Fev[[#This Row],[PNP Début]])</f>
        <v>0</v>
      </c>
      <c r="M26" s="50">
        <f>IF(H_Fev[[#This Row],[PNP Fin]]=0,0,IF(H_Fev[[#This Row],[PNP Fin]]&lt;H_Fev[[#This Row],[début]],1,0)+H_Fev[[#This Row],[PNP Fin]])</f>
        <v>0</v>
      </c>
      <c r="N26" s="50">
        <f>IF(H_Fev[[#This Row],[Fin]]&lt;H_Fev[[#This Row],[début]],1,0)+H_Fev[[#This Row],[Fin]]</f>
        <v>0</v>
      </c>
      <c r="O2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7" spans="1:23" ht="14.4" customHeight="1" x14ac:dyDescent="0.3">
      <c r="A27" s="4"/>
      <c r="B27" s="1"/>
      <c r="C27" s="2"/>
      <c r="D27" s="2"/>
      <c r="E27" s="3"/>
      <c r="F27" s="3"/>
      <c r="G27" s="3"/>
      <c r="H27" s="3"/>
      <c r="I27" s="47">
        <f>0.1*(H_Fev[[#This Row],[Heures de nuit]]+IF(H_Fev[[#This Row],[majoration dim &amp; JF]]="non",0,H_Fev[[#This Row],[heures jour dimanche]]+H_Fev[[#This Row],[heures jour fériés]]))</f>
        <v>0</v>
      </c>
      <c r="J27" s="48">
        <f>(MOD(H_Fev[[#This Row],[Fin]]-H_Fev[[#This Row],[début]],1)-MOD(H_Fev[[#This Row],[PNP Fin]]-H_Fev[[#This Row],[PNP Début]],1))*24</f>
        <v>0</v>
      </c>
      <c r="K27" s="48" t="str">
        <f>IFERROR(VLOOKUP(H_Fev[[#This Row],[Service]],Codes[],4,0),"")</f>
        <v/>
      </c>
      <c r="L27" s="49">
        <f>IF(H_Fev[[#This Row],[PNP Début]]=0,0,IF(H_Fev[[#This Row],[PNP Début]]&lt;H_Fev[[#This Row],[début]],1,0)+H_Fev[[#This Row],[PNP Début]])</f>
        <v>0</v>
      </c>
      <c r="M27" s="50">
        <f>IF(H_Fev[[#This Row],[PNP Fin]]=0,0,IF(H_Fev[[#This Row],[PNP Fin]]&lt;H_Fev[[#This Row],[début]],1,0)+H_Fev[[#This Row],[PNP Fin]])</f>
        <v>0</v>
      </c>
      <c r="N27" s="50">
        <f>IF(H_Fev[[#This Row],[Fin]]&lt;H_Fev[[#This Row],[début]],1,0)+H_Fev[[#This Row],[Fin]]</f>
        <v>0</v>
      </c>
      <c r="O2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8" spans="1:23" ht="14.4" customHeight="1" x14ac:dyDescent="0.3">
      <c r="A28" s="4"/>
      <c r="B28" s="1"/>
      <c r="C28" s="2"/>
      <c r="D28" s="2"/>
      <c r="E28" s="3"/>
      <c r="F28" s="3"/>
      <c r="G28" s="3"/>
      <c r="H28" s="3"/>
      <c r="I28" s="47">
        <f>0.1*(H_Fev[[#This Row],[Heures de nuit]]+IF(H_Fev[[#This Row],[majoration dim &amp; JF]]="non",0,H_Fev[[#This Row],[heures jour dimanche]]+H_Fev[[#This Row],[heures jour fériés]]))</f>
        <v>0</v>
      </c>
      <c r="J28" s="48">
        <f>(MOD(H_Fev[[#This Row],[Fin]]-H_Fev[[#This Row],[début]],1)-MOD(H_Fev[[#This Row],[PNP Fin]]-H_Fev[[#This Row],[PNP Début]],1))*24</f>
        <v>0</v>
      </c>
      <c r="K28" s="48" t="str">
        <f>IFERROR(VLOOKUP(H_Fev[[#This Row],[Service]],Codes[],4,0),"")</f>
        <v/>
      </c>
      <c r="L28" s="49">
        <f>IF(H_Fev[[#This Row],[PNP Début]]=0,0,IF(H_Fev[[#This Row],[PNP Début]]&lt;H_Fev[[#This Row],[début]],1,0)+H_Fev[[#This Row],[PNP Début]])</f>
        <v>0</v>
      </c>
      <c r="M28" s="50">
        <f>IF(H_Fev[[#This Row],[PNP Fin]]=0,0,IF(H_Fev[[#This Row],[PNP Fin]]&lt;H_Fev[[#This Row],[début]],1,0)+H_Fev[[#This Row],[PNP Fin]])</f>
        <v>0</v>
      </c>
      <c r="N28" s="50">
        <f>IF(H_Fev[[#This Row],[Fin]]&lt;H_Fev[[#This Row],[début]],1,0)+H_Fev[[#This Row],[Fin]]</f>
        <v>0</v>
      </c>
      <c r="O2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9" spans="1:23" ht="14.4" customHeight="1" x14ac:dyDescent="0.3">
      <c r="A29" s="4"/>
      <c r="B29" s="1"/>
      <c r="C29" s="2"/>
      <c r="D29" s="2"/>
      <c r="E29" s="3"/>
      <c r="F29" s="3"/>
      <c r="G29" s="3"/>
      <c r="H29" s="3"/>
      <c r="I29" s="47">
        <f>0.1*(H_Fev[[#This Row],[Heures de nuit]]+IF(H_Fev[[#This Row],[majoration dim &amp; JF]]="non",0,H_Fev[[#This Row],[heures jour dimanche]]+H_Fev[[#This Row],[heures jour fériés]]))</f>
        <v>0</v>
      </c>
      <c r="J29" s="48">
        <f>(MOD(H_Fev[[#This Row],[Fin]]-H_Fev[[#This Row],[début]],1)-MOD(H_Fev[[#This Row],[PNP Fin]]-H_Fev[[#This Row],[PNP Début]],1))*24</f>
        <v>0</v>
      </c>
      <c r="K29" s="48" t="str">
        <f>IFERROR(VLOOKUP(H_Fev[[#This Row],[Service]],Codes[],4,0),"")</f>
        <v/>
      </c>
      <c r="L29" s="49">
        <f>IF(H_Fev[[#This Row],[PNP Début]]=0,0,IF(H_Fev[[#This Row],[PNP Début]]&lt;H_Fev[[#This Row],[début]],1,0)+H_Fev[[#This Row],[PNP Début]])</f>
        <v>0</v>
      </c>
      <c r="M29" s="50">
        <f>IF(H_Fev[[#This Row],[PNP Fin]]=0,0,IF(H_Fev[[#This Row],[PNP Fin]]&lt;H_Fev[[#This Row],[début]],1,0)+H_Fev[[#This Row],[PNP Fin]])</f>
        <v>0</v>
      </c>
      <c r="N29" s="50">
        <f>IF(H_Fev[[#This Row],[Fin]]&lt;H_Fev[[#This Row],[début]],1,0)+H_Fev[[#This Row],[Fin]]</f>
        <v>0</v>
      </c>
      <c r="O2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0" spans="1:23" ht="14.4" customHeight="1" x14ac:dyDescent="0.3">
      <c r="A30" s="4"/>
      <c r="B30" s="1"/>
      <c r="C30" s="2"/>
      <c r="D30" s="2"/>
      <c r="E30" s="3"/>
      <c r="F30" s="3"/>
      <c r="G30" s="3"/>
      <c r="H30" s="3"/>
      <c r="I30" s="47">
        <f>0.1*(H_Fev[[#This Row],[Heures de nuit]]+IF(H_Fev[[#This Row],[majoration dim &amp; JF]]="non",0,H_Fev[[#This Row],[heures jour dimanche]]+H_Fev[[#This Row],[heures jour fériés]]))</f>
        <v>0</v>
      </c>
      <c r="J30" s="48">
        <f>(MOD(H_Fev[[#This Row],[Fin]]-H_Fev[[#This Row],[début]],1)-MOD(H_Fev[[#This Row],[PNP Fin]]-H_Fev[[#This Row],[PNP Début]],1))*24</f>
        <v>0</v>
      </c>
      <c r="K30" s="48" t="str">
        <f>IFERROR(VLOOKUP(H_Fev[[#This Row],[Service]],Codes[],4,0),"")</f>
        <v/>
      </c>
      <c r="L30" s="49">
        <f>IF(H_Fev[[#This Row],[PNP Début]]=0,0,IF(H_Fev[[#This Row],[PNP Début]]&lt;H_Fev[[#This Row],[début]],1,0)+H_Fev[[#This Row],[PNP Début]])</f>
        <v>0</v>
      </c>
      <c r="M30" s="50">
        <f>IF(H_Fev[[#This Row],[PNP Fin]]=0,0,IF(H_Fev[[#This Row],[PNP Fin]]&lt;H_Fev[[#This Row],[début]],1,0)+H_Fev[[#This Row],[PNP Fin]])</f>
        <v>0</v>
      </c>
      <c r="N30" s="50">
        <f>IF(H_Fev[[#This Row],[Fin]]&lt;H_Fev[[#This Row],[début]],1,0)+H_Fev[[#This Row],[Fin]]</f>
        <v>0</v>
      </c>
      <c r="O3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0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1" spans="1:23" x14ac:dyDescent="0.3">
      <c r="A31" s="4"/>
      <c r="B31" s="1"/>
      <c r="C31" s="2"/>
      <c r="D31" s="2"/>
      <c r="E31" s="3"/>
      <c r="F31" s="3"/>
      <c r="G31" s="3"/>
      <c r="H31" s="3"/>
      <c r="I31" s="47">
        <f>0.1*(H_Fev[[#This Row],[Heures de nuit]]+IF(H_Fev[[#This Row],[majoration dim &amp; JF]]="non",0,H_Fev[[#This Row],[heures jour dimanche]]+H_Fev[[#This Row],[heures jour fériés]]))</f>
        <v>0</v>
      </c>
      <c r="J31" s="48">
        <f>(MOD(H_Fev[[#This Row],[Fin]]-H_Fev[[#This Row],[début]],1)-MOD(H_Fev[[#This Row],[PNP Fin]]-H_Fev[[#This Row],[PNP Début]],1))*24</f>
        <v>0</v>
      </c>
      <c r="K31" s="48" t="str">
        <f>IFERROR(VLOOKUP(H_Fev[[#This Row],[Service]],Codes[],4,0),"")</f>
        <v/>
      </c>
      <c r="L31" s="49">
        <f>IF(H_Fev[[#This Row],[PNP Début]]=0,0,IF(H_Fev[[#This Row],[PNP Début]]&lt;H_Fev[[#This Row],[début]],1,0)+H_Fev[[#This Row],[PNP Début]])</f>
        <v>0</v>
      </c>
      <c r="M31" s="50">
        <f>IF(H_Fev[[#This Row],[PNP Fin]]=0,0,IF(H_Fev[[#This Row],[PNP Fin]]&lt;H_Fev[[#This Row],[début]],1,0)+H_Fev[[#This Row],[PNP Fin]])</f>
        <v>0</v>
      </c>
      <c r="N31" s="50">
        <f>IF(H_Fev[[#This Row],[Fin]]&lt;H_Fev[[#This Row],[début]],1,0)+H_Fev[[#This Row],[Fin]]</f>
        <v>0</v>
      </c>
      <c r="O3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1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2" spans="1:23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0.1*(H_Fev[[#This Row],[Heures de nuit]]+IF(H_Fev[[#This Row],[majoration dim &amp; JF]]="non",0,H_Fev[[#This Row],[heures jour dimanche]]+H_Fev[[#This Row],[heures jour fériés]]))</f>
        <v>0</v>
      </c>
      <c r="J32" s="48">
        <f>(MOD(H_Fev[[#This Row],[Fin]]-H_Fev[[#This Row],[début]],1)-MOD(H_Fev[[#This Row],[PNP Fin]]-H_Fev[[#This Row],[PNP Début]],1))*24</f>
        <v>0</v>
      </c>
      <c r="K32" s="48" t="str">
        <f>IFERROR(VLOOKUP(H_Fev[[#This Row],[Service]],Codes[],4,0),"")</f>
        <v/>
      </c>
      <c r="L32" s="49">
        <f>IF(H_Fev[[#This Row],[PNP Début]]=0,0,IF(H_Fev[[#This Row],[PNP Début]]&lt;H_Fev[[#This Row],[début]],1,0)+H_Fev[[#This Row],[PNP Début]])</f>
        <v>0</v>
      </c>
      <c r="M32" s="50">
        <f>IF(H_Fev[[#This Row],[PNP Fin]]=0,0,IF(H_Fev[[#This Row],[PNP Fin]]&lt;H_Fev[[#This Row],[début]],1,0)+H_Fev[[#This Row],[PNP Fin]])</f>
        <v>0</v>
      </c>
      <c r="N32" s="50">
        <f>IF(H_Fev[[#This Row],[Fin]]&lt;H_Fev[[#This Row],[début]],1,0)+H_Fev[[#This Row],[Fin]]</f>
        <v>0</v>
      </c>
      <c r="O3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0.1*(H_Fev[[#This Row],[Heures de nuit]]+IF(H_Fev[[#This Row],[majoration dim &amp; JF]]="non",0,H_Fev[[#This Row],[heures jour dimanche]]+H_Fev[[#This Row],[heures jour fériés]]))</f>
        <v>0</v>
      </c>
      <c r="J33" s="48">
        <f>(MOD(H_Fev[[#This Row],[Fin]]-H_Fev[[#This Row],[début]],1)-MOD(H_Fev[[#This Row],[PNP Fin]]-H_Fev[[#This Row],[PNP Début]],1))*24</f>
        <v>0</v>
      </c>
      <c r="K33" s="48" t="str">
        <f>IFERROR(VLOOKUP(H_Fev[[#This Row],[Service]],Codes[],4,0),"")</f>
        <v/>
      </c>
      <c r="L33" s="49">
        <f>IF(H_Fev[[#This Row],[PNP Début]]=0,0,IF(H_Fev[[#This Row],[PNP Début]]&lt;H_Fev[[#This Row],[début]],1,0)+H_Fev[[#This Row],[PNP Début]])</f>
        <v>0</v>
      </c>
      <c r="M33" s="50">
        <f>IF(H_Fev[[#This Row],[PNP Fin]]=0,0,IF(H_Fev[[#This Row],[PNP Fin]]&lt;H_Fev[[#This Row],[début]],1,0)+H_Fev[[#This Row],[PNP Fin]])</f>
        <v>0</v>
      </c>
      <c r="N33" s="50">
        <f>IF(H_Fev[[#This Row],[Fin]]&lt;H_Fev[[#This Row],[début]],1,0)+H_Fev[[#This Row],[Fin]]</f>
        <v>0</v>
      </c>
      <c r="O3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0.1*(H_Fev[[#This Row],[Heures de nuit]]+IF(H_Fev[[#This Row],[majoration dim &amp; JF]]="non",0,H_Fev[[#This Row],[heures jour dimanche]]+H_Fev[[#This Row],[heures jour fériés]]))</f>
        <v>0</v>
      </c>
      <c r="J34" s="48">
        <f>(MOD(H_Fev[[#This Row],[Fin]]-H_Fev[[#This Row],[début]],1)-MOD(H_Fev[[#This Row],[PNP Fin]]-H_Fev[[#This Row],[PNP Début]],1))*24</f>
        <v>0</v>
      </c>
      <c r="K34" s="48" t="str">
        <f>IFERROR(VLOOKUP(H_Fev[[#This Row],[Service]],Codes[],4,0),"")</f>
        <v/>
      </c>
      <c r="L34" s="49">
        <f>IF(H_Fev[[#This Row],[PNP Début]]=0,0,IF(H_Fev[[#This Row],[PNP Début]]&lt;H_Fev[[#This Row],[début]],1,0)+H_Fev[[#This Row],[PNP Début]])</f>
        <v>0</v>
      </c>
      <c r="M34" s="50">
        <f>IF(H_Fev[[#This Row],[PNP Fin]]=0,0,IF(H_Fev[[#This Row],[PNP Fin]]&lt;H_Fev[[#This Row],[début]],1,0)+H_Fev[[#This Row],[PNP Fin]])</f>
        <v>0</v>
      </c>
      <c r="N34" s="50">
        <f>IF(H_Fev[[#This Row],[Fin]]&lt;H_Fev[[#This Row],[début]],1,0)+H_Fev[[#This Row],[Fin]]</f>
        <v>0</v>
      </c>
      <c r="O3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0.1*(H_Fev[[#This Row],[Heures de nuit]]+IF(H_Fev[[#This Row],[majoration dim &amp; JF]]="non",0,H_Fev[[#This Row],[heures jour dimanche]]+H_Fev[[#This Row],[heures jour fériés]]))</f>
        <v>0</v>
      </c>
      <c r="J35" s="48">
        <f>(MOD(H_Fev[[#This Row],[Fin]]-H_Fev[[#This Row],[début]],1)-MOD(H_Fev[[#This Row],[PNP Fin]]-H_Fev[[#This Row],[PNP Début]],1))*24</f>
        <v>0</v>
      </c>
      <c r="K35" s="48" t="str">
        <f>IFERROR(VLOOKUP(H_Fev[[#This Row],[Service]],Codes[],4,0),"")</f>
        <v/>
      </c>
      <c r="L35" s="49">
        <f>IF(H_Fev[[#This Row],[PNP Début]]=0,0,IF(H_Fev[[#This Row],[PNP Début]]&lt;H_Fev[[#This Row],[début]],1,0)+H_Fev[[#This Row],[PNP Début]])</f>
        <v>0</v>
      </c>
      <c r="M35" s="50">
        <f>IF(H_Fev[[#This Row],[PNP Fin]]=0,0,IF(H_Fev[[#This Row],[PNP Fin]]&lt;H_Fev[[#This Row],[début]],1,0)+H_Fev[[#This Row],[PNP Fin]])</f>
        <v>0</v>
      </c>
      <c r="N35" s="50">
        <f>IF(H_Fev[[#This Row],[Fin]]&lt;H_Fev[[#This Row],[début]],1,0)+H_Fev[[#This Row],[Fin]]</f>
        <v>0</v>
      </c>
      <c r="O3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0.1*(H_Fev[[#This Row],[Heures de nuit]]+IF(H_Fev[[#This Row],[majoration dim &amp; JF]]="non",0,H_Fev[[#This Row],[heures jour dimanche]]+H_Fev[[#This Row],[heures jour fériés]]))</f>
        <v>0</v>
      </c>
      <c r="J36" s="48">
        <f>(MOD(H_Fev[[#This Row],[Fin]]-H_Fev[[#This Row],[début]],1)-MOD(H_Fev[[#This Row],[PNP Fin]]-H_Fev[[#This Row],[PNP Début]],1))*24</f>
        <v>0</v>
      </c>
      <c r="K36" s="48" t="str">
        <f>IFERROR(VLOOKUP(H_Fev[[#This Row],[Service]],Codes[],4,0),"")</f>
        <v/>
      </c>
      <c r="L36" s="49">
        <f>IF(H_Fev[[#This Row],[PNP Début]]=0,0,IF(H_Fev[[#This Row],[PNP Début]]&lt;H_Fev[[#This Row],[début]],1,0)+H_Fev[[#This Row],[PNP Début]])</f>
        <v>0</v>
      </c>
      <c r="M36" s="50">
        <f>IF(H_Fev[[#This Row],[PNP Fin]]=0,0,IF(H_Fev[[#This Row],[PNP Fin]]&lt;H_Fev[[#This Row],[début]],1,0)+H_Fev[[#This Row],[PNP Fin]])</f>
        <v>0</v>
      </c>
      <c r="N36" s="50">
        <f>IF(H_Fev[[#This Row],[Fin]]&lt;H_Fev[[#This Row],[début]],1,0)+H_Fev[[#This Row],[Fin]]</f>
        <v>0</v>
      </c>
      <c r="O3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0.1*(H_Fev[[#This Row],[Heures de nuit]]+IF(H_Fev[[#This Row],[majoration dim &amp; JF]]="non",0,H_Fev[[#This Row],[heures jour dimanche]]+H_Fev[[#This Row],[heures jour fériés]]))</f>
        <v>0</v>
      </c>
      <c r="J37" s="48">
        <f>(MOD(H_Fev[[#This Row],[Fin]]-H_Fev[[#This Row],[début]],1)-MOD(H_Fev[[#This Row],[PNP Fin]]-H_Fev[[#This Row],[PNP Début]],1))*24</f>
        <v>0</v>
      </c>
      <c r="K37" s="48" t="str">
        <f>IFERROR(VLOOKUP(H_Fev[[#This Row],[Service]],Codes[],4,0),"")</f>
        <v/>
      </c>
      <c r="L37" s="49">
        <f>IF(H_Fev[[#This Row],[PNP Début]]=0,0,IF(H_Fev[[#This Row],[PNP Début]]&lt;H_Fev[[#This Row],[début]],1,0)+H_Fev[[#This Row],[PNP Début]])</f>
        <v>0</v>
      </c>
      <c r="M37" s="50">
        <f>IF(H_Fev[[#This Row],[PNP Fin]]=0,0,IF(H_Fev[[#This Row],[PNP Fin]]&lt;H_Fev[[#This Row],[début]],1,0)+H_Fev[[#This Row],[PNP Fin]])</f>
        <v>0</v>
      </c>
      <c r="N37" s="50">
        <f>IF(H_Fev[[#This Row],[Fin]]&lt;H_Fev[[#This Row],[début]],1,0)+H_Fev[[#This Row],[Fin]]</f>
        <v>0</v>
      </c>
      <c r="O3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0.1*(H_Fev[[#This Row],[Heures de nuit]]+IF(H_Fev[[#This Row],[majoration dim &amp; JF]]="non",0,H_Fev[[#This Row],[heures jour dimanche]]+H_Fev[[#This Row],[heures jour fériés]]))</f>
        <v>0</v>
      </c>
      <c r="J38" s="48">
        <f>(MOD(H_Fev[[#This Row],[Fin]]-H_Fev[[#This Row],[début]],1)-MOD(H_Fev[[#This Row],[PNP Fin]]-H_Fev[[#This Row],[PNP Début]],1))*24</f>
        <v>0</v>
      </c>
      <c r="K38" s="48" t="str">
        <f>IFERROR(VLOOKUP(H_Fev[[#This Row],[Service]],Codes[],4,0),"")</f>
        <v/>
      </c>
      <c r="L38" s="49">
        <f>IF(H_Fev[[#This Row],[PNP Début]]=0,0,IF(H_Fev[[#This Row],[PNP Début]]&lt;H_Fev[[#This Row],[début]],1,0)+H_Fev[[#This Row],[PNP Début]])</f>
        <v>0</v>
      </c>
      <c r="M38" s="50">
        <f>IF(H_Fev[[#This Row],[PNP Fin]]=0,0,IF(H_Fev[[#This Row],[PNP Fin]]&lt;H_Fev[[#This Row],[début]],1,0)+H_Fev[[#This Row],[PNP Fin]])</f>
        <v>0</v>
      </c>
      <c r="N38" s="50">
        <f>IF(H_Fev[[#This Row],[Fin]]&lt;H_Fev[[#This Row],[début]],1,0)+H_Fev[[#This Row],[Fin]]</f>
        <v>0</v>
      </c>
      <c r="O3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0.1*(H_Fev[[#This Row],[Heures de nuit]]+IF(H_Fev[[#This Row],[majoration dim &amp; JF]]="non",0,H_Fev[[#This Row],[heures jour dimanche]]+H_Fev[[#This Row],[heures jour fériés]]))</f>
        <v>0</v>
      </c>
      <c r="J39" s="48">
        <f>(MOD(H_Fev[[#This Row],[Fin]]-H_Fev[[#This Row],[début]],1)-MOD(H_Fev[[#This Row],[PNP Fin]]-H_Fev[[#This Row],[PNP Début]],1))*24</f>
        <v>0</v>
      </c>
      <c r="K39" s="48" t="str">
        <f>IFERROR(VLOOKUP(H_Fev[[#This Row],[Service]],Codes[],4,0),"")</f>
        <v/>
      </c>
      <c r="L39" s="49">
        <f>IF(H_Fev[[#This Row],[PNP Début]]=0,0,IF(H_Fev[[#This Row],[PNP Début]]&lt;H_Fev[[#This Row],[début]],1,0)+H_Fev[[#This Row],[PNP Début]])</f>
        <v>0</v>
      </c>
      <c r="M39" s="50">
        <f>IF(H_Fev[[#This Row],[PNP Fin]]=0,0,IF(H_Fev[[#This Row],[PNP Fin]]&lt;H_Fev[[#This Row],[début]],1,0)+H_Fev[[#This Row],[PNP Fin]])</f>
        <v>0</v>
      </c>
      <c r="N39" s="50">
        <f>IF(H_Fev[[#This Row],[Fin]]&lt;H_Fev[[#This Row],[début]],1,0)+H_Fev[[#This Row],[Fin]]</f>
        <v>0</v>
      </c>
      <c r="O3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0.1*(H_Fev[[#This Row],[Heures de nuit]]+IF(H_Fev[[#This Row],[majoration dim &amp; JF]]="non",0,H_Fev[[#This Row],[heures jour dimanche]]+H_Fev[[#This Row],[heures jour fériés]]))</f>
        <v>0</v>
      </c>
      <c r="J40" s="48">
        <f>(MOD(H_Fev[[#This Row],[Fin]]-H_Fev[[#This Row],[début]],1)-MOD(H_Fev[[#This Row],[PNP Fin]]-H_Fev[[#This Row],[PNP Début]],1))*24</f>
        <v>0</v>
      </c>
      <c r="K40" s="48" t="str">
        <f>IFERROR(VLOOKUP(H_Fev[[#This Row],[Service]],Codes[],4,0),"")</f>
        <v/>
      </c>
      <c r="L40" s="49">
        <f>IF(H_Fev[[#This Row],[PNP Début]]=0,0,IF(H_Fev[[#This Row],[PNP Début]]&lt;H_Fev[[#This Row],[début]],1,0)+H_Fev[[#This Row],[PNP Début]])</f>
        <v>0</v>
      </c>
      <c r="M40" s="50">
        <f>IF(H_Fev[[#This Row],[PNP Fin]]=0,0,IF(H_Fev[[#This Row],[PNP Fin]]&lt;H_Fev[[#This Row],[début]],1,0)+H_Fev[[#This Row],[PNP Fin]])</f>
        <v>0</v>
      </c>
      <c r="N40" s="50">
        <f>IF(H_Fev[[#This Row],[Fin]]&lt;H_Fev[[#This Row],[début]],1,0)+H_Fev[[#This Row],[Fin]]</f>
        <v>0</v>
      </c>
      <c r="O4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0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0.1*(H_Fev[[#This Row],[Heures de nuit]]+IF(H_Fev[[#This Row],[majoration dim &amp; JF]]="non",0,H_Fev[[#This Row],[heures jour dimanche]]+H_Fev[[#This Row],[heures jour fériés]]))</f>
        <v>0</v>
      </c>
      <c r="J41" s="48">
        <f>(MOD(H_Fev[[#This Row],[Fin]]-H_Fev[[#This Row],[début]],1)-MOD(H_Fev[[#This Row],[PNP Fin]]-H_Fev[[#This Row],[PNP Début]],1))*24</f>
        <v>0</v>
      </c>
      <c r="K41" s="48" t="str">
        <f>IFERROR(VLOOKUP(H_Fev[[#This Row],[Service]],Codes[],4,0),"")</f>
        <v/>
      </c>
      <c r="L41" s="49">
        <f>IF(H_Fev[[#This Row],[PNP Début]]=0,0,IF(H_Fev[[#This Row],[PNP Début]]&lt;H_Fev[[#This Row],[début]],1,0)+H_Fev[[#This Row],[PNP Début]])</f>
        <v>0</v>
      </c>
      <c r="M41" s="50">
        <f>IF(H_Fev[[#This Row],[PNP Fin]]=0,0,IF(H_Fev[[#This Row],[PNP Fin]]&lt;H_Fev[[#This Row],[début]],1,0)+H_Fev[[#This Row],[PNP Fin]])</f>
        <v>0</v>
      </c>
      <c r="N41" s="50">
        <f>IF(H_Fev[[#This Row],[Fin]]&lt;H_Fev[[#This Row],[début]],1,0)+H_Fev[[#This Row],[Fin]]</f>
        <v>0</v>
      </c>
      <c r="O4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1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0.1*(H_Fev[[#This Row],[Heures de nuit]]+IF(H_Fev[[#This Row],[majoration dim &amp; JF]]="non",0,H_Fev[[#This Row],[heures jour dimanche]]+H_Fev[[#This Row],[heures jour fériés]]))</f>
        <v>0</v>
      </c>
      <c r="J42" s="48">
        <f>(MOD(H_Fev[[#This Row],[Fin]]-H_Fev[[#This Row],[début]],1)-MOD(H_Fev[[#This Row],[PNP Fin]]-H_Fev[[#This Row],[PNP Début]],1))*24</f>
        <v>0</v>
      </c>
      <c r="K42" s="48" t="str">
        <f>IFERROR(VLOOKUP(H_Fev[[#This Row],[Service]],Codes[],4,0),"")</f>
        <v/>
      </c>
      <c r="L42" s="49">
        <f>IF(H_Fev[[#This Row],[PNP Début]]=0,0,IF(H_Fev[[#This Row],[PNP Début]]&lt;H_Fev[[#This Row],[début]],1,0)+H_Fev[[#This Row],[PNP Début]])</f>
        <v>0</v>
      </c>
      <c r="M42" s="50">
        <f>IF(H_Fev[[#This Row],[PNP Fin]]=0,0,IF(H_Fev[[#This Row],[PNP Fin]]&lt;H_Fev[[#This Row],[début]],1,0)+H_Fev[[#This Row],[PNP Fin]])</f>
        <v>0</v>
      </c>
      <c r="N42" s="50">
        <f>IF(H_Fev[[#This Row],[Fin]]&lt;H_Fev[[#This Row],[début]],1,0)+H_Fev[[#This Row],[Fin]]</f>
        <v>0</v>
      </c>
      <c r="O4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0.1*(H_Fev[[#This Row],[Heures de nuit]]+IF(H_Fev[[#This Row],[majoration dim &amp; JF]]="non",0,H_Fev[[#This Row],[heures jour dimanche]]+H_Fev[[#This Row],[heures jour fériés]]))</f>
        <v>0</v>
      </c>
      <c r="J43" s="48">
        <f>(MOD(H_Fev[[#This Row],[Fin]]-H_Fev[[#This Row],[début]],1)-MOD(H_Fev[[#This Row],[PNP Fin]]-H_Fev[[#This Row],[PNP Début]],1))*24</f>
        <v>0</v>
      </c>
      <c r="K43" s="48" t="str">
        <f>IFERROR(VLOOKUP(H_Fev[[#This Row],[Service]],Codes[],4,0),"")</f>
        <v/>
      </c>
      <c r="L43" s="49">
        <f>IF(H_Fev[[#This Row],[PNP Début]]=0,0,IF(H_Fev[[#This Row],[PNP Début]]&lt;H_Fev[[#This Row],[début]],1,0)+H_Fev[[#This Row],[PNP Début]])</f>
        <v>0</v>
      </c>
      <c r="M43" s="50">
        <f>IF(H_Fev[[#This Row],[PNP Fin]]=0,0,IF(H_Fev[[#This Row],[PNP Fin]]&lt;H_Fev[[#This Row],[début]],1,0)+H_Fev[[#This Row],[PNP Fin]])</f>
        <v>0</v>
      </c>
      <c r="N43" s="50">
        <f>IF(H_Fev[[#This Row],[Fin]]&lt;H_Fev[[#This Row],[début]],1,0)+H_Fev[[#This Row],[Fin]]</f>
        <v>0</v>
      </c>
      <c r="O4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0.1*(H_Fev[[#This Row],[Heures de nuit]]+IF(H_Fev[[#This Row],[majoration dim &amp; JF]]="non",0,H_Fev[[#This Row],[heures jour dimanche]]+H_Fev[[#This Row],[heures jour fériés]]))</f>
        <v>0</v>
      </c>
      <c r="J44" s="48">
        <f>(MOD(H_Fev[[#This Row],[Fin]]-H_Fev[[#This Row],[début]],1)-MOD(H_Fev[[#This Row],[PNP Fin]]-H_Fev[[#This Row],[PNP Début]],1))*24</f>
        <v>0</v>
      </c>
      <c r="K44" s="48" t="str">
        <f>IFERROR(VLOOKUP(H_Fev[[#This Row],[Service]],Codes[],4,0),"")</f>
        <v/>
      </c>
      <c r="L44" s="49">
        <f>IF(H_Fev[[#This Row],[PNP Début]]=0,0,IF(H_Fev[[#This Row],[PNP Début]]&lt;H_Fev[[#This Row],[début]],1,0)+H_Fev[[#This Row],[PNP Début]])</f>
        <v>0</v>
      </c>
      <c r="M44" s="50">
        <f>IF(H_Fev[[#This Row],[PNP Fin]]=0,0,IF(H_Fev[[#This Row],[PNP Fin]]&lt;H_Fev[[#This Row],[début]],1,0)+H_Fev[[#This Row],[PNP Fin]])</f>
        <v>0</v>
      </c>
      <c r="N44" s="50">
        <f>IF(H_Fev[[#This Row],[Fin]]&lt;H_Fev[[#This Row],[début]],1,0)+H_Fev[[#This Row],[Fin]]</f>
        <v>0</v>
      </c>
      <c r="O4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0.1*(H_Fev[[#This Row],[Heures de nuit]]+IF(H_Fev[[#This Row],[majoration dim &amp; JF]]="non",0,H_Fev[[#This Row],[heures jour dimanche]]+H_Fev[[#This Row],[heures jour fériés]]))</f>
        <v>0</v>
      </c>
      <c r="J45" s="48">
        <f>(MOD(H_Fev[[#This Row],[Fin]]-H_Fev[[#This Row],[début]],1)-MOD(H_Fev[[#This Row],[PNP Fin]]-H_Fev[[#This Row],[PNP Début]],1))*24</f>
        <v>0</v>
      </c>
      <c r="K45" s="48" t="str">
        <f>IFERROR(VLOOKUP(H_Fev[[#This Row],[Service]],Codes[],4,0),"")</f>
        <v/>
      </c>
      <c r="L45" s="49">
        <f>IF(H_Fev[[#This Row],[PNP Début]]=0,0,IF(H_Fev[[#This Row],[PNP Début]]&lt;H_Fev[[#This Row],[début]],1,0)+H_Fev[[#This Row],[PNP Début]])</f>
        <v>0</v>
      </c>
      <c r="M45" s="50">
        <f>IF(H_Fev[[#This Row],[PNP Fin]]=0,0,IF(H_Fev[[#This Row],[PNP Fin]]&lt;H_Fev[[#This Row],[début]],1,0)+H_Fev[[#This Row],[PNP Fin]])</f>
        <v>0</v>
      </c>
      <c r="N45" s="50">
        <f>IF(H_Fev[[#This Row],[Fin]]&lt;H_Fev[[#This Row],[début]],1,0)+H_Fev[[#This Row],[Fin]]</f>
        <v>0</v>
      </c>
      <c r="O4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0.1*(H_Fev[[#This Row],[Heures de nuit]]+IF(H_Fev[[#This Row],[majoration dim &amp; JF]]="non",0,H_Fev[[#This Row],[heures jour dimanche]]+H_Fev[[#This Row],[heures jour fériés]]))</f>
        <v>0</v>
      </c>
      <c r="J46" s="48">
        <f>(MOD(H_Fev[[#This Row],[Fin]]-H_Fev[[#This Row],[début]],1)-MOD(H_Fev[[#This Row],[PNP Fin]]-H_Fev[[#This Row],[PNP Début]],1))*24</f>
        <v>0</v>
      </c>
      <c r="K46" s="48" t="str">
        <f>IFERROR(VLOOKUP(H_Fev[[#This Row],[Service]],Codes[],4,0),"")</f>
        <v/>
      </c>
      <c r="L46" s="49">
        <f>IF(H_Fev[[#This Row],[PNP Début]]=0,0,IF(H_Fev[[#This Row],[PNP Début]]&lt;H_Fev[[#This Row],[début]],1,0)+H_Fev[[#This Row],[PNP Début]])</f>
        <v>0</v>
      </c>
      <c r="M46" s="50">
        <f>IF(H_Fev[[#This Row],[PNP Fin]]=0,0,IF(H_Fev[[#This Row],[PNP Fin]]&lt;H_Fev[[#This Row],[début]],1,0)+H_Fev[[#This Row],[PNP Fin]])</f>
        <v>0</v>
      </c>
      <c r="N46" s="50">
        <f>IF(H_Fev[[#This Row],[Fin]]&lt;H_Fev[[#This Row],[début]],1,0)+H_Fev[[#This Row],[Fin]]</f>
        <v>0</v>
      </c>
      <c r="O4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0.1*(H_Fev[[#This Row],[Heures de nuit]]+IF(H_Fev[[#This Row],[majoration dim &amp; JF]]="non",0,H_Fev[[#This Row],[heures jour dimanche]]+H_Fev[[#This Row],[heures jour fériés]]))</f>
        <v>0</v>
      </c>
      <c r="J47" s="48">
        <f>(MOD(H_Fev[[#This Row],[Fin]]-H_Fev[[#This Row],[début]],1)-MOD(H_Fev[[#This Row],[PNP Fin]]-H_Fev[[#This Row],[PNP Début]],1))*24</f>
        <v>0</v>
      </c>
      <c r="K47" s="48" t="str">
        <f>IFERROR(VLOOKUP(H_Fev[[#This Row],[Service]],Codes[],4,0),"")</f>
        <v/>
      </c>
      <c r="L47" s="49">
        <f>IF(H_Fev[[#This Row],[PNP Début]]=0,0,IF(H_Fev[[#This Row],[PNP Début]]&lt;H_Fev[[#This Row],[début]],1,0)+H_Fev[[#This Row],[PNP Début]])</f>
        <v>0</v>
      </c>
      <c r="M47" s="50">
        <f>IF(H_Fev[[#This Row],[PNP Fin]]=0,0,IF(H_Fev[[#This Row],[PNP Fin]]&lt;H_Fev[[#This Row],[début]],1,0)+H_Fev[[#This Row],[PNP Fin]])</f>
        <v>0</v>
      </c>
      <c r="N47" s="50">
        <f>IF(H_Fev[[#This Row],[Fin]]&lt;H_Fev[[#This Row],[début]],1,0)+H_Fev[[#This Row],[Fin]]</f>
        <v>0</v>
      </c>
      <c r="O4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0.1*(H_Fev[[#This Row],[Heures de nuit]]+IF(H_Fev[[#This Row],[majoration dim &amp; JF]]="non",0,H_Fev[[#This Row],[heures jour dimanche]]+H_Fev[[#This Row],[heures jour fériés]]))</f>
        <v>0</v>
      </c>
      <c r="J48" s="48">
        <f>(MOD(H_Fev[[#This Row],[Fin]]-H_Fev[[#This Row],[début]],1)-MOD(H_Fev[[#This Row],[PNP Fin]]-H_Fev[[#This Row],[PNP Début]],1))*24</f>
        <v>0</v>
      </c>
      <c r="K48" s="48" t="str">
        <f>IFERROR(VLOOKUP(H_Fev[[#This Row],[Service]],Codes[],4,0),"")</f>
        <v/>
      </c>
      <c r="L48" s="49">
        <f>IF(H_Fev[[#This Row],[PNP Début]]=0,0,IF(H_Fev[[#This Row],[PNP Début]]&lt;H_Fev[[#This Row],[début]],1,0)+H_Fev[[#This Row],[PNP Début]])</f>
        <v>0</v>
      </c>
      <c r="M48" s="50">
        <f>IF(H_Fev[[#This Row],[PNP Fin]]=0,0,IF(H_Fev[[#This Row],[PNP Fin]]&lt;H_Fev[[#This Row],[début]],1,0)+H_Fev[[#This Row],[PNP Fin]])</f>
        <v>0</v>
      </c>
      <c r="N48" s="50">
        <f>IF(H_Fev[[#This Row],[Fin]]&lt;H_Fev[[#This Row],[début]],1,0)+H_Fev[[#This Row],[Fin]]</f>
        <v>0</v>
      </c>
      <c r="O4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0.1*(H_Fev[[#This Row],[Heures de nuit]]+IF(H_Fev[[#This Row],[majoration dim &amp; JF]]="non",0,H_Fev[[#This Row],[heures jour dimanche]]+H_Fev[[#This Row],[heures jour fériés]]))</f>
        <v>0</v>
      </c>
      <c r="J49" s="48">
        <f>(MOD(H_Fev[[#This Row],[Fin]]-H_Fev[[#This Row],[début]],1)-MOD(H_Fev[[#This Row],[PNP Fin]]-H_Fev[[#This Row],[PNP Début]],1))*24</f>
        <v>0</v>
      </c>
      <c r="K49" s="48" t="str">
        <f>IFERROR(VLOOKUP(H_Fev[[#This Row],[Service]],Codes[],4,0),"")</f>
        <v/>
      </c>
      <c r="L49" s="49">
        <f>IF(H_Fev[[#This Row],[PNP Début]]=0,0,IF(H_Fev[[#This Row],[PNP Début]]&lt;H_Fev[[#This Row],[début]],1,0)+H_Fev[[#This Row],[PNP Début]])</f>
        <v>0</v>
      </c>
      <c r="M49" s="50">
        <f>IF(H_Fev[[#This Row],[PNP Fin]]=0,0,IF(H_Fev[[#This Row],[PNP Fin]]&lt;H_Fev[[#This Row],[début]],1,0)+H_Fev[[#This Row],[PNP Fin]])</f>
        <v>0</v>
      </c>
      <c r="N49" s="50">
        <f>IF(H_Fev[[#This Row],[Fin]]&lt;H_Fev[[#This Row],[début]],1,0)+H_Fev[[#This Row],[Fin]]</f>
        <v>0</v>
      </c>
      <c r="O4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SUM(H_Fev[Majoration])</f>
        <v>0</v>
      </c>
      <c r="J50" s="54">
        <f>SUM(H_Fev[Heures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6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 sort="0" autoFilter="0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292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print="0" autoLine="0" r:id="rId5">
            <anchor moveWithCells="1">
              <from>
                <xdr:col>9</xdr:col>
                <xdr:colOff>297180</xdr:colOff>
                <xdr:row>0</xdr:row>
                <xdr:rowOff>83820</xdr:rowOff>
              </from>
              <to>
                <xdr:col>21</xdr:col>
                <xdr:colOff>312420</xdr:colOff>
                <xdr:row>3</xdr:row>
                <xdr:rowOff>213360</xdr:rowOff>
              </to>
            </anchor>
          </controlPr>
        </control>
      </mc:Choice>
      <mc:Fallback>
        <control shapeId="512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Z60"/>
  <sheetViews>
    <sheetView zoomScaleNormal="100" zoomScalePageLayoutView="55" workbookViewId="0">
      <selection activeCell="X17" sqref="X17"/>
    </sheetView>
  </sheetViews>
  <sheetFormatPr baseColWidth="10" defaultRowHeight="14.4" x14ac:dyDescent="0.3"/>
  <cols>
    <col min="1" max="1" width="20.21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3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46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Mars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68"/>
      <c r="Y9" s="169"/>
      <c r="Z9" s="168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68"/>
      <c r="Y10" s="168"/>
      <c r="Z10" s="168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68"/>
      <c r="X11" s="168"/>
      <c r="Y11" s="168"/>
      <c r="Z11" s="168"/>
    </row>
    <row r="12" spans="1:26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70"/>
      <c r="X12" s="170"/>
      <c r="Y12" s="170"/>
      <c r="Z12" s="170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0.1*(H_Mars[[#This Row],[Heures de nuit]]+IF(H_Mars[[#This Row],[majoration dim &amp; JF]]="non",0,H_Mars[[#This Row],[heures jour dimanche]]+H_Mars[[#This Row],[heures jour fériés]]))</f>
        <v>0</v>
      </c>
      <c r="J13" s="29">
        <f>(MOD(H_Mars[[#This Row],[Fin]]-H_Mars[[#This Row],[début]],1)-MOD(H_Mars[[#This Row],[PNP Fin]]-H_Mars[[#This Row],[PNP Début]],1))*24</f>
        <v>0</v>
      </c>
      <c r="K13" s="29" t="str">
        <f>IFERROR(VLOOKUP(H_Mars[[#This Row],[Service]],Codes[],4,0),"")</f>
        <v/>
      </c>
      <c r="L13" s="30">
        <f>IF(H_Mars[[#This Row],[PNP Début]]=0,0,IF(H_Mars[[#This Row],[PNP Début]]&lt;H_Mars[[#This Row],[début]],1,0)+H_Mars[[#This Row],[PNP Début]])</f>
        <v>0</v>
      </c>
      <c r="M13" s="30">
        <f>IF(H_Mars[[#This Row],[PNP Fin]]=0,0,IF(H_Mars[[#This Row],[PNP Fin]]&lt;H_Mars[[#This Row],[début]],1,0)+H_Mars[[#This Row],[PNP Fin]])</f>
        <v>0</v>
      </c>
      <c r="N13" s="30">
        <f>IF(H_Mars[[#This Row],[Fin]]&lt;H_Mars[[#This Row],[début]],1,0)+H_Mars[[#This Row],[Fin]]</f>
        <v>0</v>
      </c>
      <c r="O1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3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3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3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3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3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13" s="166"/>
      <c r="W13" s="168"/>
      <c r="X13" s="168"/>
      <c r="Y13" s="168"/>
      <c r="Z13" s="168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0.1*(H_Mars[[#This Row],[Heures de nuit]]+IF(H_Mars[[#This Row],[majoration dim &amp; JF]]="non",0,H_Mars[[#This Row],[heures jour dimanche]]+H_Mars[[#This Row],[heures jour fériés]]))</f>
        <v>0</v>
      </c>
      <c r="J14" s="29">
        <f>(MOD(H_Mars[[#This Row],[Fin]]-H_Mars[[#This Row],[début]],1)-MOD(H_Mars[[#This Row],[PNP Fin]]-H_Mars[[#This Row],[PNP Début]],1))*24</f>
        <v>0</v>
      </c>
      <c r="K14" s="29" t="str">
        <f>IFERROR(VLOOKUP(H_Mars[[#This Row],[Service]],Codes[],4,0),"")</f>
        <v/>
      </c>
      <c r="L14" s="30">
        <f>IF(H_Mars[[#This Row],[PNP Début]]=0,0,IF(H_Mars[[#This Row],[PNP Début]]&lt;H_Mars[[#This Row],[début]],1,0)+H_Mars[[#This Row],[PNP Début]])</f>
        <v>0</v>
      </c>
      <c r="M14" s="30">
        <f>IF(H_Mars[[#This Row],[PNP Fin]]=0,0,IF(H_Mars[[#This Row],[PNP Fin]]&lt;H_Mars[[#This Row],[début]],1,0)+H_Mars[[#This Row],[PNP Fin]])</f>
        <v>0</v>
      </c>
      <c r="N14" s="30">
        <f>IF(H_Mars[[#This Row],[Fin]]&lt;H_Mars[[#This Row],[début]],1,0)+H_Mars[[#This Row],[Fin]]</f>
        <v>0</v>
      </c>
      <c r="O1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4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4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4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4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4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14" s="166"/>
      <c r="W14" s="168"/>
      <c r="X14" s="168"/>
      <c r="Y14" s="168"/>
      <c r="Z14" s="168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0.1*(H_Mars[[#This Row],[Heures de nuit]]+IF(H_Mars[[#This Row],[majoration dim &amp; JF]]="non",0,H_Mars[[#This Row],[heures jour dimanche]]+H_Mars[[#This Row],[heures jour fériés]]))</f>
        <v>0</v>
      </c>
      <c r="J15" s="29">
        <f>(MOD(H_Mars[[#This Row],[Fin]]-H_Mars[[#This Row],[début]],1)-MOD(H_Mars[[#This Row],[PNP Fin]]-H_Mars[[#This Row],[PNP Début]],1))*24</f>
        <v>0</v>
      </c>
      <c r="K15" s="29" t="str">
        <f>IFERROR(VLOOKUP(H_Mars[[#This Row],[Service]],Codes[],4,0),"")</f>
        <v/>
      </c>
      <c r="L15" s="30">
        <f>IF(H_Mars[[#This Row],[PNP Début]]=0,0,IF(H_Mars[[#This Row],[PNP Début]]&lt;H_Mars[[#This Row],[début]],1,0)+H_Mars[[#This Row],[PNP Début]])</f>
        <v>0</v>
      </c>
      <c r="M15" s="30">
        <f>IF(H_Mars[[#This Row],[PNP Fin]]=0,0,IF(H_Mars[[#This Row],[PNP Fin]]&lt;H_Mars[[#This Row],[début]],1,0)+H_Mars[[#This Row],[PNP Fin]])</f>
        <v>0</v>
      </c>
      <c r="N15" s="30">
        <f>IF(H_Mars[[#This Row],[Fin]]&lt;H_Mars[[#This Row],[début]],1,0)+H_Mars[[#This Row],[Fin]]</f>
        <v>0</v>
      </c>
      <c r="O1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5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5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5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5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5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0.1*(H_Mars[[#This Row],[Heures de nuit]]+IF(H_Mars[[#This Row],[majoration dim &amp; JF]]="non",0,H_Mars[[#This Row],[heures jour dimanche]]+H_Mars[[#This Row],[heures jour fériés]]))</f>
        <v>0</v>
      </c>
      <c r="J16" s="33">
        <f>(MOD(H_Mars[[#This Row],[Fin]]-H_Mars[[#This Row],[début]],1)-MOD(H_Mars[[#This Row],[PNP Fin]]-H_Mars[[#This Row],[PNP Début]],1))*24</f>
        <v>0</v>
      </c>
      <c r="K16" s="33" t="str">
        <f>IFERROR(VLOOKUP(H_Mars[[#This Row],[Service]],Codes[],4,0),"")</f>
        <v/>
      </c>
      <c r="L16" s="30">
        <f>IF(H_Mars[[#This Row],[PNP Début]]=0,0,IF(H_Mars[[#This Row],[PNP Début]]&lt;H_Mars[[#This Row],[début]],1,0)+H_Mars[[#This Row],[PNP Début]])</f>
        <v>0</v>
      </c>
      <c r="M16" s="30">
        <f>IF(H_Mars[[#This Row],[PNP Fin]]=0,0,IF(H_Mars[[#This Row],[PNP Fin]]&lt;H_Mars[[#This Row],[début]],1,0)+H_Mars[[#This Row],[PNP Fin]])</f>
        <v>0</v>
      </c>
      <c r="N16" s="34">
        <f>IF(H_Mars[[#This Row],[Fin]]&lt;H_Mars[[#This Row],[début]],1,0)+H_Mars[[#This Row],[Fin]]</f>
        <v>0</v>
      </c>
      <c r="O1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6" s="35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6" s="35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6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6" s="3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6" s="3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16" s="176" t="s">
        <v>128</v>
      </c>
      <c r="W16" s="177">
        <f>'Février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6" x14ac:dyDescent="0.3">
      <c r="A17" s="4"/>
      <c r="B17" s="1"/>
      <c r="C17" s="2"/>
      <c r="D17" s="2"/>
      <c r="E17" s="3"/>
      <c r="F17" s="3"/>
      <c r="G17" s="9"/>
      <c r="H17" s="9"/>
      <c r="I17" s="37">
        <f>0.1*(H_Mars[[#This Row],[Heures de nuit]]+IF(H_Mars[[#This Row],[majoration dim &amp; JF]]="non",0,H_Mars[[#This Row],[heures jour dimanche]]+H_Mars[[#This Row],[heures jour fériés]]))</f>
        <v>0</v>
      </c>
      <c r="J17" s="38">
        <f>(MOD(H_Mars[[#This Row],[Fin]]-H_Mars[[#This Row],[début]],1)-MOD(H_Mars[[#This Row],[PNP Fin]]-H_Mars[[#This Row],[PNP Début]],1))*24</f>
        <v>0</v>
      </c>
      <c r="K17" s="112" t="str">
        <f>IFERROR(VLOOKUP(H_Mars[[#This Row],[Service]],Codes[],4,0),"")</f>
        <v/>
      </c>
      <c r="L17" s="39">
        <f>IF(H_Mars[[#This Row],[PNP Début]]=0,0,IF(H_Mars[[#This Row],[PNP Début]]&lt;H_Mars[[#This Row],[début]],1,0)+H_Mars[[#This Row],[PNP Début]])</f>
        <v>0</v>
      </c>
      <c r="M17" s="40">
        <f>IF(H_Mars[[#This Row],[PNP Fin]]=0,0,IF(H_Mars[[#This Row],[PNP Fin]]&lt;H_Mars[[#This Row],[début]],1,0)+H_Mars[[#This Row],[PNP Fin]])</f>
        <v>0</v>
      </c>
      <c r="N17" s="40">
        <f>IF(H_Mars[[#This Row],[Fin]]&lt;H_Mars[[#This Row],[début]],1,0)+H_Mars[[#This Row],[Fin]]</f>
        <v>0</v>
      </c>
      <c r="O1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7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7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7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7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7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17" s="163"/>
      <c r="W17" s="171"/>
      <c r="X17" s="171"/>
      <c r="Y17" s="171"/>
      <c r="Z17" s="171"/>
    </row>
    <row r="18" spans="1:26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0.1*(H_Mars[[#This Row],[Heures de nuit]]+IF(H_Mars[[#This Row],[majoration dim &amp; JF]]="non",0,H_Mars[[#This Row],[heures jour dimanche]]+H_Mars[[#This Row],[heures jour fériés]]))</f>
        <v>0</v>
      </c>
      <c r="J18" s="38">
        <f>(MOD(H_Mars[[#This Row],[Fin]]-H_Mars[[#This Row],[début]],1)-MOD(H_Mars[[#This Row],[PNP Fin]]-H_Mars[[#This Row],[PNP Début]],1))*24</f>
        <v>0</v>
      </c>
      <c r="K18" s="112" t="str">
        <f>IFERROR(VLOOKUP(H_Mars[[#This Row],[Service]],Codes[],4,0),"")</f>
        <v/>
      </c>
      <c r="L18" s="39">
        <f>IF(H_Mars[[#This Row],[PNP Début]]=0,0,IF(H_Mars[[#This Row],[PNP Début]]&lt;H_Mars[[#This Row],[début]],1,0)+H_Mars[[#This Row],[PNP Début]])</f>
        <v>0</v>
      </c>
      <c r="M18" s="40">
        <f>IF(H_Mars[[#This Row],[PNP Fin]]=0,0,IF(H_Mars[[#This Row],[PNP Fin]]&lt;H_Mars[[#This Row],[début]],1,0)+H_Mars[[#This Row],[PNP Fin]])</f>
        <v>0</v>
      </c>
      <c r="N18" s="40">
        <f>IF(H_Mars[[#This Row],[Fin]]&lt;H_Mars[[#This Row],[début]],1,0)+H_Mars[[#This Row],[Fin]]</f>
        <v>0</v>
      </c>
      <c r="O1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8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8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8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8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8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18" s="163"/>
      <c r="W18" s="171"/>
      <c r="X18" s="171"/>
      <c r="Y18" s="171"/>
      <c r="Z18" s="171"/>
    </row>
    <row r="19" spans="1:26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0.1*(H_Mars[[#This Row],[Heures de nuit]]+IF(H_Mars[[#This Row],[majoration dim &amp; JF]]="non",0,H_Mars[[#This Row],[heures jour dimanche]]+H_Mars[[#This Row],[heures jour fériés]]))</f>
        <v>0</v>
      </c>
      <c r="J19" s="38">
        <f>(MOD(H_Mars[[#This Row],[Fin]]-H_Mars[[#This Row],[début]],1)-MOD(H_Mars[[#This Row],[PNP Fin]]-H_Mars[[#This Row],[PNP Début]],1))*24</f>
        <v>0</v>
      </c>
      <c r="K19" s="112" t="str">
        <f>IFERROR(VLOOKUP(H_Mars[[#This Row],[Service]],Codes[],4,0),"")</f>
        <v/>
      </c>
      <c r="L19" s="39">
        <f>IF(H_Mars[[#This Row],[PNP Début]]=0,0,IF(H_Mars[[#This Row],[PNP Début]]&lt;H_Mars[[#This Row],[début]],1,0)+H_Mars[[#This Row],[PNP Début]])</f>
        <v>0</v>
      </c>
      <c r="M19" s="40">
        <f>IF(H_Mars[[#This Row],[PNP Fin]]=0,0,IF(H_Mars[[#This Row],[PNP Fin]]&lt;H_Mars[[#This Row],[début]],1,0)+H_Mars[[#This Row],[PNP Fin]])</f>
        <v>0</v>
      </c>
      <c r="N19" s="40">
        <f>IF(H_Mars[[#This Row],[Fin]]&lt;H_Mars[[#This Row],[début]],1,0)+H_Mars[[#This Row],[Fin]]</f>
        <v>0</v>
      </c>
      <c r="O1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9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9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9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9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9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  <c r="X19" s="171"/>
      <c r="Y19" s="171"/>
      <c r="Z19" s="171"/>
    </row>
    <row r="20" spans="1:26" ht="15" thickBot="1" x14ac:dyDescent="0.35">
      <c r="A20" s="4"/>
      <c r="B20" s="1"/>
      <c r="C20" s="2"/>
      <c r="D20" s="2"/>
      <c r="E20" s="3"/>
      <c r="F20" s="3"/>
      <c r="G20" s="3"/>
      <c r="H20" s="3"/>
      <c r="I20" s="47">
        <f>0.1*(H_Mars[[#This Row],[Heures de nuit]]+IF(H_Mars[[#This Row],[majoration dim &amp; JF]]="non",0,H_Mars[[#This Row],[heures jour dimanche]]+H_Mars[[#This Row],[heures jour fériés]]))</f>
        <v>0</v>
      </c>
      <c r="J20" s="48">
        <f>(MOD(H_Mars[[#This Row],[Fin]]-H_Mars[[#This Row],[début]],1)-MOD(H_Mars[[#This Row],[PNP Fin]]-H_Mars[[#This Row],[PNP Début]],1))*24</f>
        <v>0</v>
      </c>
      <c r="K20" s="109" t="str">
        <f>IFERROR(VLOOKUP(H_Mars[[#This Row],[Service]],Codes[],4,0),"")</f>
        <v/>
      </c>
      <c r="L20" s="49">
        <f>IF(H_Mars[[#This Row],[PNP Début]]=0,0,IF(H_Mars[[#This Row],[PNP Début]]&lt;H_Mars[[#This Row],[début]],1,0)+H_Mars[[#This Row],[PNP Début]])</f>
        <v>0</v>
      </c>
      <c r="M20" s="50">
        <f>IF(H_Mars[[#This Row],[PNP Fin]]=0,0,IF(H_Mars[[#This Row],[PNP Fin]]&lt;H_Mars[[#This Row],[début]],1,0)+H_Mars[[#This Row],[PNP Fin]])</f>
        <v>0</v>
      </c>
      <c r="N20" s="50">
        <f>IF(H_Mars[[#This Row],[Fin]]&lt;H_Mars[[#This Row],[début]],1,0)+H_Mars[[#This Row],[Fin]]</f>
        <v>0</v>
      </c>
      <c r="O2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20" s="163"/>
      <c r="W20" s="171"/>
      <c r="X20" s="171"/>
      <c r="Y20" s="171"/>
      <c r="Z20" s="171"/>
    </row>
    <row r="21" spans="1:26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0.1*(H_Mars[[#This Row],[Heures de nuit]]+IF(H_Mars[[#This Row],[majoration dim &amp; JF]]="non",0,H_Mars[[#This Row],[heures jour dimanche]]+H_Mars[[#This Row],[heures jour fériés]]))</f>
        <v>0</v>
      </c>
      <c r="J21" s="43">
        <f>(MOD(H_Mars[[#This Row],[Fin]]-H_Mars[[#This Row],[début]],1)-MOD(H_Mars[[#This Row],[PNP Fin]]-H_Mars[[#This Row],[PNP Début]],1))*24</f>
        <v>0</v>
      </c>
      <c r="K21" s="113" t="str">
        <f>IFERROR(VLOOKUP(H_Mars[[#This Row],[Service]],Codes[],4,0),"")</f>
        <v/>
      </c>
      <c r="L21" s="44">
        <f>IF(H_Mars[[#This Row],[PNP Début]]=0,0,IF(H_Mars[[#This Row],[PNP Début]]&lt;H_Mars[[#This Row],[début]],1,0)+H_Mars[[#This Row],[PNP Début]])</f>
        <v>0</v>
      </c>
      <c r="M21" s="45">
        <f>IF(H_Mars[[#This Row],[PNP Fin]]=0,0,IF(H_Mars[[#This Row],[PNP Fin]]&lt;H_Mars[[#This Row],[début]],1,0)+H_Mars[[#This Row],[PNP Fin]])</f>
        <v>0</v>
      </c>
      <c r="N21" s="45">
        <f>IF(H_Mars[[#This Row],[Fin]]&lt;H_Mars[[#This Row],[début]],1,0)+H_Mars[[#This Row],[Fin]]</f>
        <v>0</v>
      </c>
      <c r="O2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1" s="46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1" s="46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1" s="46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1" s="4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1" s="4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21" s="164" t="s">
        <v>167</v>
      </c>
      <c r="W21" s="162">
        <f>COUNTIF(B13:B49,"*récuperations*")</f>
        <v>0</v>
      </c>
      <c r="X21" s="171"/>
      <c r="Y21" s="171"/>
      <c r="Z21" s="171"/>
    </row>
    <row r="22" spans="1:26" ht="14.4" customHeight="1" thickBot="1" x14ac:dyDescent="0.35">
      <c r="A22" s="4"/>
      <c r="B22" s="1"/>
      <c r="C22" s="2"/>
      <c r="D22" s="2"/>
      <c r="E22" s="3"/>
      <c r="F22" s="3"/>
      <c r="G22" s="10"/>
      <c r="H22" s="10"/>
      <c r="I22" s="37">
        <f>0.1*(H_Mars[[#This Row],[Heures de nuit]]+IF(H_Mars[[#This Row],[majoration dim &amp; JF]]="non",0,H_Mars[[#This Row],[heures jour dimanche]]+H_Mars[[#This Row],[heures jour fériés]]))</f>
        <v>0</v>
      </c>
      <c r="J22" s="38">
        <f>(MOD(H_Mars[[#This Row],[Fin]]-H_Mars[[#This Row],[début]],1)-MOD(H_Mars[[#This Row],[PNP Fin]]-H_Mars[[#This Row],[PNP Début]],1))*24</f>
        <v>0</v>
      </c>
      <c r="K22" s="112" t="str">
        <f>IFERROR(VLOOKUP(H_Mars[[#This Row],[Service]],Codes[],4,0),"")</f>
        <v/>
      </c>
      <c r="L22" s="39">
        <f>IF(H_Mars[[#This Row],[PNP Début]]=0,0,IF(H_Mars[[#This Row],[PNP Début]]&lt;H_Mars[[#This Row],[début]],1,0)+H_Mars[[#This Row],[PNP Début]])</f>
        <v>0</v>
      </c>
      <c r="M22" s="40">
        <f>IF(H_Mars[[#This Row],[PNP Fin]]=0,0,IF(H_Mars[[#This Row],[PNP Fin]]&lt;H_Mars[[#This Row],[début]],1,0)+H_Mars[[#This Row],[PNP Fin]])</f>
        <v>0</v>
      </c>
      <c r="N22" s="40">
        <f>IF(H_Mars[[#This Row],[Fin]]&lt;H_Mars[[#This Row],[début]],1,0)+H_Mars[[#This Row],[Fin]]</f>
        <v>0</v>
      </c>
      <c r="O2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2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2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2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2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2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22" s="165"/>
      <c r="W22" s="171"/>
      <c r="X22" s="171"/>
      <c r="Y22" s="171"/>
      <c r="Z22" s="171"/>
    </row>
    <row r="23" spans="1:26" ht="14.4" customHeight="1" thickBot="1" x14ac:dyDescent="0.35">
      <c r="A23" s="4"/>
      <c r="B23" s="1"/>
      <c r="C23" s="2"/>
      <c r="D23" s="2"/>
      <c r="E23" s="3"/>
      <c r="F23" s="3"/>
      <c r="G23" s="10"/>
      <c r="H23" s="10"/>
      <c r="I23" s="47">
        <f>0.1*(H_Mars[[#This Row],[Heures de nuit]]+IF(H_Mars[[#This Row],[majoration dim &amp; JF]]="non",0,H_Mars[[#This Row],[heures jour dimanche]]+H_Mars[[#This Row],[heures jour fériés]]))</f>
        <v>0</v>
      </c>
      <c r="J23" s="48">
        <f>(MOD(H_Mars[[#This Row],[Fin]]-H_Mars[[#This Row],[début]],1)-MOD(H_Mars[[#This Row],[PNP Fin]]-H_Mars[[#This Row],[PNP Début]],1))*24</f>
        <v>0</v>
      </c>
      <c r="K23" s="109" t="str">
        <f>IFERROR(VLOOKUP(H_Mars[[#This Row],[Service]],Codes[],4,0),"")</f>
        <v/>
      </c>
      <c r="L23" s="49">
        <f>IF(H_Mars[[#This Row],[PNP Début]]=0,0,IF(H_Mars[[#This Row],[PNP Début]]&lt;H_Mars[[#This Row],[début]],1,0)+H_Mars[[#This Row],[PNP Début]])</f>
        <v>0</v>
      </c>
      <c r="M23" s="50">
        <f>IF(H_Mars[[#This Row],[PNP Fin]]=0,0,IF(H_Mars[[#This Row],[PNP Fin]]&lt;H_Mars[[#This Row],[début]],1,0)+H_Mars[[#This Row],[PNP Fin]])</f>
        <v>0</v>
      </c>
      <c r="N23" s="50">
        <f>IF(H_Mars[[#This Row],[Fin]]&lt;H_Mars[[#This Row],[début]],1,0)+H_Mars[[#This Row],[Fin]]</f>
        <v>0</v>
      </c>
      <c r="O2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V23" s="164" t="s">
        <v>168</v>
      </c>
      <c r="W23" s="162">
        <f>COUNTIF(B13:B49,"*CCT*")</f>
        <v>0</v>
      </c>
      <c r="X23" s="171"/>
      <c r="Y23" s="171"/>
      <c r="Z23" s="171"/>
    </row>
    <row r="24" spans="1:26" ht="14.4" customHeight="1" x14ac:dyDescent="0.3">
      <c r="A24" s="4"/>
      <c r="B24" s="1"/>
      <c r="C24" s="2"/>
      <c r="D24" s="2"/>
      <c r="E24" s="3"/>
      <c r="F24" s="3"/>
      <c r="G24" s="10"/>
      <c r="H24" s="10"/>
      <c r="I24" s="47">
        <f>0.1*(H_Mars[[#This Row],[Heures de nuit]]+IF(H_Mars[[#This Row],[majoration dim &amp; JF]]="non",0,H_Mars[[#This Row],[heures jour dimanche]]+H_Mars[[#This Row],[heures jour fériés]]))</f>
        <v>0</v>
      </c>
      <c r="J24" s="48">
        <f>(MOD(H_Mars[[#This Row],[Fin]]-H_Mars[[#This Row],[début]],1)-MOD(H_Mars[[#This Row],[PNP Fin]]-H_Mars[[#This Row],[PNP Début]],1))*24</f>
        <v>0</v>
      </c>
      <c r="K24" s="109" t="str">
        <f>IFERROR(VLOOKUP(H_Mars[[#This Row],[Service]],Codes[],4,0),"")</f>
        <v/>
      </c>
      <c r="L24" s="49">
        <f>IF(H_Mars[[#This Row],[PNP Début]]=0,0,IF(H_Mars[[#This Row],[PNP Début]]&lt;H_Mars[[#This Row],[début]],1,0)+H_Mars[[#This Row],[PNP Début]])</f>
        <v>0</v>
      </c>
      <c r="M24" s="50">
        <f>IF(H_Mars[[#This Row],[PNP Fin]]=0,0,IF(H_Mars[[#This Row],[PNP Fin]]&lt;H_Mars[[#This Row],[début]],1,0)+H_Mars[[#This Row],[PNP Fin]])</f>
        <v>0</v>
      </c>
      <c r="N24" s="50">
        <f>IF(H_Mars[[#This Row],[Fin]]&lt;H_Mars[[#This Row],[début]],1,0)+H_Mars[[#This Row],[Fin]]</f>
        <v>0</v>
      </c>
      <c r="O2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W24" s="171"/>
      <c r="X24" s="171"/>
      <c r="Y24" s="171"/>
      <c r="Z24" s="171"/>
    </row>
    <row r="25" spans="1:26" ht="14.4" customHeight="1" x14ac:dyDescent="0.3">
      <c r="A25" s="4"/>
      <c r="B25" s="1"/>
      <c r="C25" s="2"/>
      <c r="D25" s="2"/>
      <c r="E25" s="3"/>
      <c r="F25" s="3"/>
      <c r="G25" s="9"/>
      <c r="H25" s="9"/>
      <c r="I25" s="47">
        <f>0.1*(H_Mars[[#This Row],[Heures de nuit]]+IF(H_Mars[[#This Row],[majoration dim &amp; JF]]="non",0,H_Mars[[#This Row],[heures jour dimanche]]+H_Mars[[#This Row],[heures jour fériés]]))</f>
        <v>0</v>
      </c>
      <c r="J25" s="48">
        <f>(MOD(H_Mars[[#This Row],[Fin]]-H_Mars[[#This Row],[début]],1)-MOD(H_Mars[[#This Row],[PNP Fin]]-H_Mars[[#This Row],[PNP Début]],1))*24</f>
        <v>0</v>
      </c>
      <c r="K25" s="109" t="str">
        <f>IFERROR(VLOOKUP(H_Mars[[#This Row],[Service]],Codes[],4,0),"")</f>
        <v/>
      </c>
      <c r="L25" s="49">
        <f>IF(H_Mars[[#This Row],[PNP Début]]=0,0,IF(H_Mars[[#This Row],[PNP Début]]&lt;H_Mars[[#This Row],[début]],1,0)+H_Mars[[#This Row],[PNP Début]])</f>
        <v>0</v>
      </c>
      <c r="M25" s="50">
        <f>IF(H_Mars[[#This Row],[PNP Fin]]=0,0,IF(H_Mars[[#This Row],[PNP Fin]]&lt;H_Mars[[#This Row],[début]],1,0)+H_Mars[[#This Row],[PNP Fin]])</f>
        <v>0</v>
      </c>
      <c r="N25" s="50">
        <f>IF(H_Mars[[#This Row],[Fin]]&lt;H_Mars[[#This Row],[début]],1,0)+H_Mars[[#This Row],[Fin]]</f>
        <v>0</v>
      </c>
      <c r="O2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W25" s="171"/>
      <c r="X25" s="171"/>
      <c r="Y25" s="171"/>
      <c r="Z25" s="171"/>
    </row>
    <row r="26" spans="1:26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0.1*(H_Mars[[#This Row],[Heures de nuit]]+IF(H_Mars[[#This Row],[majoration dim &amp; JF]]="non",0,H_Mars[[#This Row],[heures jour dimanche]]+H_Mars[[#This Row],[heures jour fériés]]))</f>
        <v>0</v>
      </c>
      <c r="J26" s="48">
        <f>(MOD(H_Mars[[#This Row],[Fin]]-H_Mars[[#This Row],[début]],1)-MOD(H_Mars[[#This Row],[PNP Fin]]-H_Mars[[#This Row],[PNP Début]],1))*24</f>
        <v>0</v>
      </c>
      <c r="K26" s="109" t="str">
        <f>IFERROR(VLOOKUP(H_Mars[[#This Row],[Service]],Codes[],4,0),"")</f>
        <v/>
      </c>
      <c r="L26" s="49">
        <f>IF(H_Mars[[#This Row],[PNP Début]]=0,0,IF(H_Mars[[#This Row],[PNP Début]]&lt;H_Mars[[#This Row],[début]],1,0)+H_Mars[[#This Row],[PNP Début]])</f>
        <v>0</v>
      </c>
      <c r="M26" s="50">
        <f>IF(H_Mars[[#This Row],[PNP Fin]]=0,0,IF(H_Mars[[#This Row],[PNP Fin]]&lt;H_Mars[[#This Row],[début]],1,0)+H_Mars[[#This Row],[PNP Fin]])</f>
        <v>0</v>
      </c>
      <c r="N26" s="50">
        <f>IF(H_Mars[[#This Row],[Fin]]&lt;H_Mars[[#This Row],[début]],1,0)+H_Mars[[#This Row],[Fin]]</f>
        <v>0</v>
      </c>
      <c r="O2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  <c r="W26" s="171"/>
      <c r="X26" s="171"/>
      <c r="Y26" s="171"/>
      <c r="Z26" s="171"/>
    </row>
    <row r="27" spans="1:26" ht="14.4" customHeight="1" x14ac:dyDescent="0.3">
      <c r="A27" s="4"/>
      <c r="B27" s="1"/>
      <c r="C27" s="2"/>
      <c r="D27" s="2"/>
      <c r="E27" s="3"/>
      <c r="F27" s="3"/>
      <c r="G27" s="5"/>
      <c r="H27" s="5"/>
      <c r="I27" s="47">
        <f>0.1*(H_Mars[[#This Row],[Heures de nuit]]+IF(H_Mars[[#This Row],[majoration dim &amp; JF]]="non",0,H_Mars[[#This Row],[heures jour dimanche]]+H_Mars[[#This Row],[heures jour fériés]]))</f>
        <v>0</v>
      </c>
      <c r="J27" s="48">
        <f>(MOD(H_Mars[[#This Row],[Fin]]-H_Mars[[#This Row],[début]],1)-MOD(H_Mars[[#This Row],[PNP Fin]]-H_Mars[[#This Row],[PNP Début]],1))*24</f>
        <v>0</v>
      </c>
      <c r="K27" s="109" t="str">
        <f>IFERROR(VLOOKUP(H_Mars[[#This Row],[Service]],Codes[],4,0),"")</f>
        <v/>
      </c>
      <c r="L27" s="49">
        <f>IF(H_Mars[[#This Row],[PNP Début]]=0,0,IF(H_Mars[[#This Row],[PNP Début]]&lt;H_Mars[[#This Row],[début]],1,0)+H_Mars[[#This Row],[PNP Début]])</f>
        <v>0</v>
      </c>
      <c r="M27" s="50">
        <f>IF(H_Mars[[#This Row],[PNP Fin]]=0,0,IF(H_Mars[[#This Row],[PNP Fin]]&lt;H_Mars[[#This Row],[début]],1,0)+H_Mars[[#This Row],[PNP Fin]])</f>
        <v>0</v>
      </c>
      <c r="N27" s="50">
        <f>IF(H_Mars[[#This Row],[Fin]]&lt;H_Mars[[#This Row],[début]],1,0)+H_Mars[[#This Row],[Fin]]</f>
        <v>0</v>
      </c>
      <c r="O2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8" spans="1:26" ht="14.4" customHeight="1" x14ac:dyDescent="0.3">
      <c r="A28" s="4"/>
      <c r="B28" s="1"/>
      <c r="C28" s="2"/>
      <c r="D28" s="2"/>
      <c r="E28" s="3"/>
      <c r="F28" s="3"/>
      <c r="G28" s="10"/>
      <c r="H28" s="10"/>
      <c r="I28" s="47">
        <f>0.1*(H_Mars[[#This Row],[Heures de nuit]]+IF(H_Mars[[#This Row],[majoration dim &amp; JF]]="non",0,H_Mars[[#This Row],[heures jour dimanche]]+H_Mars[[#This Row],[heures jour fériés]]))</f>
        <v>0</v>
      </c>
      <c r="J28" s="48">
        <f>(MOD(H_Mars[[#This Row],[Fin]]-H_Mars[[#This Row],[début]],1)-MOD(H_Mars[[#This Row],[PNP Fin]]-H_Mars[[#This Row],[PNP Début]],1))*24</f>
        <v>0</v>
      </c>
      <c r="K28" s="109" t="str">
        <f>IFERROR(VLOOKUP(H_Mars[[#This Row],[Service]],Codes[],4,0),"")</f>
        <v/>
      </c>
      <c r="L28" s="49">
        <f>IF(H_Mars[[#This Row],[PNP Début]]=0,0,IF(H_Mars[[#This Row],[PNP Début]]&lt;H_Mars[[#This Row],[début]],1,0)+H_Mars[[#This Row],[PNP Début]])</f>
        <v>0</v>
      </c>
      <c r="M28" s="50">
        <f>IF(H_Mars[[#This Row],[PNP Fin]]=0,0,IF(H_Mars[[#This Row],[PNP Fin]]&lt;H_Mars[[#This Row],[début]],1,0)+H_Mars[[#This Row],[PNP Fin]])</f>
        <v>0</v>
      </c>
      <c r="N28" s="50">
        <f>IF(H_Mars[[#This Row],[Fin]]&lt;H_Mars[[#This Row],[début]],1,0)+H_Mars[[#This Row],[Fin]]</f>
        <v>0</v>
      </c>
      <c r="O2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9" spans="1:26" ht="14.4" customHeight="1" x14ac:dyDescent="0.3">
      <c r="A29" s="4"/>
      <c r="B29" s="1"/>
      <c r="C29" s="2"/>
      <c r="D29" s="2"/>
      <c r="E29" s="3"/>
      <c r="F29" s="3"/>
      <c r="G29" s="9"/>
      <c r="H29" s="9"/>
      <c r="I29" s="47">
        <f>0.1*(H_Mars[[#This Row],[Heures de nuit]]+IF(H_Mars[[#This Row],[majoration dim &amp; JF]]="non",0,H_Mars[[#This Row],[heures jour dimanche]]+H_Mars[[#This Row],[heures jour fériés]]))</f>
        <v>0</v>
      </c>
      <c r="J29" s="48">
        <f>(MOD(H_Mars[[#This Row],[Fin]]-H_Mars[[#This Row],[début]],1)-MOD(H_Mars[[#This Row],[PNP Fin]]-H_Mars[[#This Row],[PNP Début]],1))*24</f>
        <v>0</v>
      </c>
      <c r="K29" s="109" t="str">
        <f>IFERROR(VLOOKUP(H_Mars[[#This Row],[Service]],Codes[],4,0),"")</f>
        <v/>
      </c>
      <c r="L29" s="49">
        <f>IF(H_Mars[[#This Row],[PNP Début]]=0,0,IF(H_Mars[[#This Row],[PNP Début]]&lt;H_Mars[[#This Row],[début]],1,0)+H_Mars[[#This Row],[PNP Début]])</f>
        <v>0</v>
      </c>
      <c r="M29" s="50">
        <f>IF(H_Mars[[#This Row],[PNP Fin]]=0,0,IF(H_Mars[[#This Row],[PNP Fin]]&lt;H_Mars[[#This Row],[début]],1,0)+H_Mars[[#This Row],[PNP Fin]])</f>
        <v>0</v>
      </c>
      <c r="N29" s="50">
        <f>IF(H_Mars[[#This Row],[Fin]]&lt;H_Mars[[#This Row],[début]],1,0)+H_Mars[[#This Row],[Fin]]</f>
        <v>0</v>
      </c>
      <c r="O2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0" spans="1:26" ht="14.4" customHeight="1" x14ac:dyDescent="0.3">
      <c r="A30" s="4"/>
      <c r="B30" s="1"/>
      <c r="C30" s="2"/>
      <c r="D30" s="2"/>
      <c r="E30" s="3"/>
      <c r="F30" s="3"/>
      <c r="G30" s="3"/>
      <c r="H30" s="3"/>
      <c r="I30" s="47">
        <f>0.1*(H_Mars[[#This Row],[Heures de nuit]]+IF(H_Mars[[#This Row],[majoration dim &amp; JF]]="non",0,H_Mars[[#This Row],[heures jour dimanche]]+H_Mars[[#This Row],[heures jour fériés]]))</f>
        <v>0</v>
      </c>
      <c r="J30" s="48">
        <f>(MOD(H_Mars[[#This Row],[Fin]]-H_Mars[[#This Row],[début]],1)-MOD(H_Mars[[#This Row],[PNP Fin]]-H_Mars[[#This Row],[PNP Début]],1))*24</f>
        <v>0</v>
      </c>
      <c r="K30" s="109" t="str">
        <f>IFERROR(VLOOKUP(H_Mars[[#This Row],[Service]],Codes[],4,0),"")</f>
        <v/>
      </c>
      <c r="L30" s="49">
        <f>IF(H_Mars[[#This Row],[PNP Début]]=0,0,IF(H_Mars[[#This Row],[PNP Début]]&lt;H_Mars[[#This Row],[début]],1,0)+H_Mars[[#This Row],[PNP Début]])</f>
        <v>0</v>
      </c>
      <c r="M30" s="50">
        <f>IF(H_Mars[[#This Row],[PNP Fin]]=0,0,IF(H_Mars[[#This Row],[PNP Fin]]&lt;H_Mars[[#This Row],[début]],1,0)+H_Mars[[#This Row],[PNP Fin]])</f>
        <v>0</v>
      </c>
      <c r="N30" s="50">
        <f>IF(H_Mars[[#This Row],[Fin]]&lt;H_Mars[[#This Row],[début]],1,0)+H_Mars[[#This Row],[Fin]]</f>
        <v>0</v>
      </c>
      <c r="O3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1" spans="1:26" x14ac:dyDescent="0.3">
      <c r="A31" s="4"/>
      <c r="B31" s="1"/>
      <c r="C31" s="2"/>
      <c r="D31" s="2"/>
      <c r="E31" s="3"/>
      <c r="F31" s="3"/>
      <c r="G31" s="3"/>
      <c r="H31" s="3"/>
      <c r="I31" s="47">
        <f>0.1*(H_Mars[[#This Row],[Heures de nuit]]+IF(H_Mars[[#This Row],[majoration dim &amp; JF]]="non",0,H_Mars[[#This Row],[heures jour dimanche]]+H_Mars[[#This Row],[heures jour fériés]]))</f>
        <v>0</v>
      </c>
      <c r="J31" s="48">
        <f>(MOD(H_Mars[[#This Row],[Fin]]-H_Mars[[#This Row],[début]],1)-MOD(H_Mars[[#This Row],[PNP Fin]]-H_Mars[[#This Row],[PNP Début]],1))*24</f>
        <v>0</v>
      </c>
      <c r="K31" s="109" t="str">
        <f>IFERROR(VLOOKUP(H_Mars[[#This Row],[Service]],Codes[],4,0),"")</f>
        <v/>
      </c>
      <c r="L31" s="49">
        <f>IF(H_Mars[[#This Row],[PNP Début]]=0,0,IF(H_Mars[[#This Row],[PNP Début]]&lt;H_Mars[[#This Row],[début]],1,0)+H_Mars[[#This Row],[PNP Début]])</f>
        <v>0</v>
      </c>
      <c r="M31" s="50">
        <f>IF(H_Mars[[#This Row],[PNP Fin]]=0,0,IF(H_Mars[[#This Row],[PNP Fin]]&lt;H_Mars[[#This Row],[début]],1,0)+H_Mars[[#This Row],[PNP Fin]])</f>
        <v>0</v>
      </c>
      <c r="N31" s="50">
        <f>IF(H_Mars[[#This Row],[Fin]]&lt;H_Mars[[#This Row],[début]],1,0)+H_Mars[[#This Row],[Fin]]</f>
        <v>0</v>
      </c>
      <c r="O3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1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2" spans="1:26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0.1*(H_Mars[[#This Row],[Heures de nuit]]+IF(H_Mars[[#This Row],[majoration dim &amp; JF]]="non",0,H_Mars[[#This Row],[heures jour dimanche]]+H_Mars[[#This Row],[heures jour fériés]]))</f>
        <v>0</v>
      </c>
      <c r="J32" s="48">
        <f>(MOD(H_Mars[[#This Row],[Fin]]-H_Mars[[#This Row],[début]],1)-MOD(H_Mars[[#This Row],[PNP Fin]]-H_Mars[[#This Row],[PNP Début]],1))*24</f>
        <v>0</v>
      </c>
      <c r="K32" s="109" t="str">
        <f>IFERROR(VLOOKUP(H_Mars[[#This Row],[Service]],Codes[],4,0),"")</f>
        <v/>
      </c>
      <c r="L32" s="49">
        <f>IF(H_Mars[[#This Row],[PNP Début]]=0,0,IF(H_Mars[[#This Row],[PNP Début]]&lt;H_Mars[[#This Row],[début]],1,0)+H_Mars[[#This Row],[PNP Début]])</f>
        <v>0</v>
      </c>
      <c r="M32" s="50">
        <f>IF(H_Mars[[#This Row],[PNP Fin]]=0,0,IF(H_Mars[[#This Row],[PNP Fin]]&lt;H_Mars[[#This Row],[début]],1,0)+H_Mars[[#This Row],[PNP Fin]])</f>
        <v>0</v>
      </c>
      <c r="N32" s="50">
        <f>IF(H_Mars[[#This Row],[Fin]]&lt;H_Mars[[#This Row],[début]],1,0)+H_Mars[[#This Row],[Fin]]</f>
        <v>0</v>
      </c>
      <c r="O3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2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0.1*(H_Mars[[#This Row],[Heures de nuit]]+IF(H_Mars[[#This Row],[majoration dim &amp; JF]]="non",0,H_Mars[[#This Row],[heures jour dimanche]]+H_Mars[[#This Row],[heures jour fériés]]))</f>
        <v>0</v>
      </c>
      <c r="J33" s="48">
        <f>(MOD(H_Mars[[#This Row],[Fin]]-H_Mars[[#This Row],[début]],1)-MOD(H_Mars[[#This Row],[PNP Fin]]-H_Mars[[#This Row],[PNP Début]],1))*24</f>
        <v>0</v>
      </c>
      <c r="K33" s="109" t="str">
        <f>IFERROR(VLOOKUP(H_Mars[[#This Row],[Service]],Codes[],4,0),"")</f>
        <v/>
      </c>
      <c r="L33" s="49">
        <f>IF(H_Mars[[#This Row],[PNP Début]]=0,0,IF(H_Mars[[#This Row],[PNP Début]]&lt;H_Mars[[#This Row],[début]],1,0)+H_Mars[[#This Row],[PNP Début]])</f>
        <v>0</v>
      </c>
      <c r="M33" s="50">
        <f>IF(H_Mars[[#This Row],[PNP Fin]]=0,0,IF(H_Mars[[#This Row],[PNP Fin]]&lt;H_Mars[[#This Row],[début]],1,0)+H_Mars[[#This Row],[PNP Fin]])</f>
        <v>0</v>
      </c>
      <c r="N33" s="50">
        <f>IF(H_Mars[[#This Row],[Fin]]&lt;H_Mars[[#This Row],[début]],1,0)+H_Mars[[#This Row],[Fin]]</f>
        <v>0</v>
      </c>
      <c r="O3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0.1*(H_Mars[[#This Row],[Heures de nuit]]+IF(H_Mars[[#This Row],[majoration dim &amp; JF]]="non",0,H_Mars[[#This Row],[heures jour dimanche]]+H_Mars[[#This Row],[heures jour fériés]]))</f>
        <v>0</v>
      </c>
      <c r="J34" s="48">
        <f>(MOD(H_Mars[[#This Row],[Fin]]-H_Mars[[#This Row],[début]],1)-MOD(H_Mars[[#This Row],[PNP Fin]]-H_Mars[[#This Row],[PNP Début]],1))*24</f>
        <v>0</v>
      </c>
      <c r="K34" s="109" t="str">
        <f>IFERROR(VLOOKUP(H_Mars[[#This Row],[Service]],Codes[],4,0),"")</f>
        <v/>
      </c>
      <c r="L34" s="49">
        <f>IF(H_Mars[[#This Row],[PNP Début]]=0,0,IF(H_Mars[[#This Row],[PNP Début]]&lt;H_Mars[[#This Row],[début]],1,0)+H_Mars[[#This Row],[PNP Début]])</f>
        <v>0</v>
      </c>
      <c r="M34" s="50">
        <f>IF(H_Mars[[#This Row],[PNP Fin]]=0,0,IF(H_Mars[[#This Row],[PNP Fin]]&lt;H_Mars[[#This Row],[début]],1,0)+H_Mars[[#This Row],[PNP Fin]])</f>
        <v>0</v>
      </c>
      <c r="N34" s="50">
        <f>IF(H_Mars[[#This Row],[Fin]]&lt;H_Mars[[#This Row],[début]],1,0)+H_Mars[[#This Row],[Fin]]</f>
        <v>0</v>
      </c>
      <c r="O3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0.1*(H_Mars[[#This Row],[Heures de nuit]]+IF(H_Mars[[#This Row],[majoration dim &amp; JF]]="non",0,H_Mars[[#This Row],[heures jour dimanche]]+H_Mars[[#This Row],[heures jour fériés]]))</f>
        <v>0</v>
      </c>
      <c r="J35" s="48">
        <f>(MOD(H_Mars[[#This Row],[Fin]]-H_Mars[[#This Row],[début]],1)-MOD(H_Mars[[#This Row],[PNP Fin]]-H_Mars[[#This Row],[PNP Début]],1))*24</f>
        <v>0</v>
      </c>
      <c r="K35" s="109" t="str">
        <f>IFERROR(VLOOKUP(H_Mars[[#This Row],[Service]],Codes[],4,0),"")</f>
        <v/>
      </c>
      <c r="L35" s="49">
        <f>IF(H_Mars[[#This Row],[PNP Début]]=0,0,IF(H_Mars[[#This Row],[PNP Début]]&lt;H_Mars[[#This Row],[début]],1,0)+H_Mars[[#This Row],[PNP Début]])</f>
        <v>0</v>
      </c>
      <c r="M35" s="50">
        <f>IF(H_Mars[[#This Row],[PNP Fin]]=0,0,IF(H_Mars[[#This Row],[PNP Fin]]&lt;H_Mars[[#This Row],[début]],1,0)+H_Mars[[#This Row],[PNP Fin]])</f>
        <v>0</v>
      </c>
      <c r="N35" s="50">
        <f>IF(H_Mars[[#This Row],[Fin]]&lt;H_Mars[[#This Row],[début]],1,0)+H_Mars[[#This Row],[Fin]]</f>
        <v>0</v>
      </c>
      <c r="O3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0.1*(H_Mars[[#This Row],[Heures de nuit]]+IF(H_Mars[[#This Row],[majoration dim &amp; JF]]="non",0,H_Mars[[#This Row],[heures jour dimanche]]+H_Mars[[#This Row],[heures jour fériés]]))</f>
        <v>0</v>
      </c>
      <c r="J36" s="48">
        <f>(MOD(H_Mars[[#This Row],[Fin]]-H_Mars[[#This Row],[début]],1)-MOD(H_Mars[[#This Row],[PNP Fin]]-H_Mars[[#This Row],[PNP Début]],1))*24</f>
        <v>0</v>
      </c>
      <c r="K36" s="109" t="str">
        <f>IFERROR(VLOOKUP(H_Mars[[#This Row],[Service]],Codes[],4,0),"")</f>
        <v/>
      </c>
      <c r="L36" s="49">
        <f>IF(H_Mars[[#This Row],[PNP Début]]=0,0,IF(H_Mars[[#This Row],[PNP Début]]&lt;H_Mars[[#This Row],[début]],1,0)+H_Mars[[#This Row],[PNP Début]])</f>
        <v>0</v>
      </c>
      <c r="M36" s="50">
        <f>IF(H_Mars[[#This Row],[PNP Fin]]=0,0,IF(H_Mars[[#This Row],[PNP Fin]]&lt;H_Mars[[#This Row],[début]],1,0)+H_Mars[[#This Row],[PNP Fin]])</f>
        <v>0</v>
      </c>
      <c r="N36" s="50">
        <f>IF(H_Mars[[#This Row],[Fin]]&lt;H_Mars[[#This Row],[début]],1,0)+H_Mars[[#This Row],[Fin]]</f>
        <v>0</v>
      </c>
      <c r="O3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0.1*(H_Mars[[#This Row],[Heures de nuit]]+IF(H_Mars[[#This Row],[majoration dim &amp; JF]]="non",0,H_Mars[[#This Row],[heures jour dimanche]]+H_Mars[[#This Row],[heures jour fériés]]))</f>
        <v>0</v>
      </c>
      <c r="J37" s="48">
        <f>(MOD(H_Mars[[#This Row],[Fin]]-H_Mars[[#This Row],[début]],1)-MOD(H_Mars[[#This Row],[PNP Fin]]-H_Mars[[#This Row],[PNP Début]],1))*24</f>
        <v>0</v>
      </c>
      <c r="K37" s="109" t="str">
        <f>IFERROR(VLOOKUP(H_Mars[[#This Row],[Service]],Codes[],4,0),"")</f>
        <v/>
      </c>
      <c r="L37" s="49">
        <f>IF(H_Mars[[#This Row],[PNP Début]]=0,0,IF(H_Mars[[#This Row],[PNP Début]]&lt;H_Mars[[#This Row],[début]],1,0)+H_Mars[[#This Row],[PNP Début]])</f>
        <v>0</v>
      </c>
      <c r="M37" s="50">
        <f>IF(H_Mars[[#This Row],[PNP Fin]]=0,0,IF(H_Mars[[#This Row],[PNP Fin]]&lt;H_Mars[[#This Row],[début]],1,0)+H_Mars[[#This Row],[PNP Fin]])</f>
        <v>0</v>
      </c>
      <c r="N37" s="50">
        <f>IF(H_Mars[[#This Row],[Fin]]&lt;H_Mars[[#This Row],[début]],1,0)+H_Mars[[#This Row],[Fin]]</f>
        <v>0</v>
      </c>
      <c r="O3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0.1*(H_Mars[[#This Row],[Heures de nuit]]+IF(H_Mars[[#This Row],[majoration dim &amp; JF]]="non",0,H_Mars[[#This Row],[heures jour dimanche]]+H_Mars[[#This Row],[heures jour fériés]]))</f>
        <v>0</v>
      </c>
      <c r="J38" s="48">
        <f>(MOD(H_Mars[[#This Row],[Fin]]-H_Mars[[#This Row],[début]],1)-MOD(H_Mars[[#This Row],[PNP Fin]]-H_Mars[[#This Row],[PNP Début]],1))*24</f>
        <v>0</v>
      </c>
      <c r="K38" s="109" t="str">
        <f>IFERROR(VLOOKUP(H_Mars[[#This Row],[Service]],Codes[],4,0),"")</f>
        <v/>
      </c>
      <c r="L38" s="49">
        <f>IF(H_Mars[[#This Row],[PNP Début]]=0,0,IF(H_Mars[[#This Row],[PNP Début]]&lt;H_Mars[[#This Row],[début]],1,0)+H_Mars[[#This Row],[PNP Début]])</f>
        <v>0</v>
      </c>
      <c r="M38" s="50">
        <f>IF(H_Mars[[#This Row],[PNP Fin]]=0,0,IF(H_Mars[[#This Row],[PNP Fin]]&lt;H_Mars[[#This Row],[début]],1,0)+H_Mars[[#This Row],[PNP Fin]])</f>
        <v>0</v>
      </c>
      <c r="N38" s="50">
        <f>IF(H_Mars[[#This Row],[Fin]]&lt;H_Mars[[#This Row],[début]],1,0)+H_Mars[[#This Row],[Fin]]</f>
        <v>0</v>
      </c>
      <c r="O3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0.1*(H_Mars[[#This Row],[Heures de nuit]]+IF(H_Mars[[#This Row],[majoration dim &amp; JF]]="non",0,H_Mars[[#This Row],[heures jour dimanche]]+H_Mars[[#This Row],[heures jour fériés]]))</f>
        <v>0</v>
      </c>
      <c r="J39" s="48">
        <f>(MOD(H_Mars[[#This Row],[Fin]]-H_Mars[[#This Row],[début]],1)-MOD(H_Mars[[#This Row],[PNP Fin]]-H_Mars[[#This Row],[PNP Début]],1))*24</f>
        <v>0</v>
      </c>
      <c r="K39" s="109" t="str">
        <f>IFERROR(VLOOKUP(H_Mars[[#This Row],[Service]],Codes[],4,0),"")</f>
        <v/>
      </c>
      <c r="L39" s="49">
        <f>IF(H_Mars[[#This Row],[PNP Début]]=0,0,IF(H_Mars[[#This Row],[PNP Début]]&lt;H_Mars[[#This Row],[début]],1,0)+H_Mars[[#This Row],[PNP Début]])</f>
        <v>0</v>
      </c>
      <c r="M39" s="50">
        <f>IF(H_Mars[[#This Row],[PNP Fin]]=0,0,IF(H_Mars[[#This Row],[PNP Fin]]&lt;H_Mars[[#This Row],[début]],1,0)+H_Mars[[#This Row],[PNP Fin]])</f>
        <v>0</v>
      </c>
      <c r="N39" s="50">
        <f>IF(H_Mars[[#This Row],[Fin]]&lt;H_Mars[[#This Row],[début]],1,0)+H_Mars[[#This Row],[Fin]]</f>
        <v>0</v>
      </c>
      <c r="O3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0.1*(H_Mars[[#This Row],[Heures de nuit]]+IF(H_Mars[[#This Row],[majoration dim &amp; JF]]="non",0,H_Mars[[#This Row],[heures jour dimanche]]+H_Mars[[#This Row],[heures jour fériés]]))</f>
        <v>0</v>
      </c>
      <c r="J40" s="48">
        <f>(MOD(H_Mars[[#This Row],[Fin]]-H_Mars[[#This Row],[début]],1)-MOD(H_Mars[[#This Row],[PNP Fin]]-H_Mars[[#This Row],[PNP Début]],1))*24</f>
        <v>0</v>
      </c>
      <c r="K40" s="109" t="str">
        <f>IFERROR(VLOOKUP(H_Mars[[#This Row],[Service]],Codes[],4,0),"")</f>
        <v/>
      </c>
      <c r="L40" s="49">
        <f>IF(H_Mars[[#This Row],[PNP Début]]=0,0,IF(H_Mars[[#This Row],[PNP Début]]&lt;H_Mars[[#This Row],[début]],1,0)+H_Mars[[#This Row],[PNP Début]])</f>
        <v>0</v>
      </c>
      <c r="M40" s="50">
        <f>IF(H_Mars[[#This Row],[PNP Fin]]=0,0,IF(H_Mars[[#This Row],[PNP Fin]]&lt;H_Mars[[#This Row],[début]],1,0)+H_Mars[[#This Row],[PNP Fin]])</f>
        <v>0</v>
      </c>
      <c r="N40" s="50">
        <f>IF(H_Mars[[#This Row],[Fin]]&lt;H_Mars[[#This Row],[début]],1,0)+H_Mars[[#This Row],[Fin]]</f>
        <v>0</v>
      </c>
      <c r="O4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0.1*(H_Mars[[#This Row],[Heures de nuit]]+IF(H_Mars[[#This Row],[majoration dim &amp; JF]]="non",0,H_Mars[[#This Row],[heures jour dimanche]]+H_Mars[[#This Row],[heures jour fériés]]))</f>
        <v>0</v>
      </c>
      <c r="J41" s="48">
        <f>(MOD(H_Mars[[#This Row],[Fin]]-H_Mars[[#This Row],[début]],1)-MOD(H_Mars[[#This Row],[PNP Fin]]-H_Mars[[#This Row],[PNP Début]],1))*24</f>
        <v>0</v>
      </c>
      <c r="K41" s="109" t="str">
        <f>IFERROR(VLOOKUP(H_Mars[[#This Row],[Service]],Codes[],4,0),"")</f>
        <v/>
      </c>
      <c r="L41" s="49">
        <f>IF(H_Mars[[#This Row],[PNP Début]]=0,0,IF(H_Mars[[#This Row],[PNP Début]]&lt;H_Mars[[#This Row],[début]],1,0)+H_Mars[[#This Row],[PNP Début]])</f>
        <v>0</v>
      </c>
      <c r="M41" s="50">
        <f>IF(H_Mars[[#This Row],[PNP Fin]]=0,0,IF(H_Mars[[#This Row],[PNP Fin]]&lt;H_Mars[[#This Row],[début]],1,0)+H_Mars[[#This Row],[PNP Fin]])</f>
        <v>0</v>
      </c>
      <c r="N41" s="50">
        <f>IF(H_Mars[[#This Row],[Fin]]&lt;H_Mars[[#This Row],[début]],1,0)+H_Mars[[#This Row],[Fin]]</f>
        <v>0</v>
      </c>
      <c r="O4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1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0.1*(H_Mars[[#This Row],[Heures de nuit]]+IF(H_Mars[[#This Row],[majoration dim &amp; JF]]="non",0,H_Mars[[#This Row],[heures jour dimanche]]+H_Mars[[#This Row],[heures jour fériés]]))</f>
        <v>0</v>
      </c>
      <c r="J42" s="48">
        <f>(MOD(H_Mars[[#This Row],[Fin]]-H_Mars[[#This Row],[début]],1)-MOD(H_Mars[[#This Row],[PNP Fin]]-H_Mars[[#This Row],[PNP Début]],1))*24</f>
        <v>0</v>
      </c>
      <c r="K42" s="109" t="str">
        <f>IFERROR(VLOOKUP(H_Mars[[#This Row],[Service]],Codes[],4,0),"")</f>
        <v/>
      </c>
      <c r="L42" s="49">
        <f>IF(H_Mars[[#This Row],[PNP Début]]=0,0,IF(H_Mars[[#This Row],[PNP Début]]&lt;H_Mars[[#This Row],[début]],1,0)+H_Mars[[#This Row],[PNP Début]])</f>
        <v>0</v>
      </c>
      <c r="M42" s="50">
        <f>IF(H_Mars[[#This Row],[PNP Fin]]=0,0,IF(H_Mars[[#This Row],[PNP Fin]]&lt;H_Mars[[#This Row],[début]],1,0)+H_Mars[[#This Row],[PNP Fin]])</f>
        <v>0</v>
      </c>
      <c r="N42" s="50">
        <f>IF(H_Mars[[#This Row],[Fin]]&lt;H_Mars[[#This Row],[début]],1,0)+H_Mars[[#This Row],[Fin]]</f>
        <v>0</v>
      </c>
      <c r="O4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2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0.1*(H_Mars[[#This Row],[Heures de nuit]]+IF(H_Mars[[#This Row],[majoration dim &amp; JF]]="non",0,H_Mars[[#This Row],[heures jour dimanche]]+H_Mars[[#This Row],[heures jour fériés]]))</f>
        <v>0</v>
      </c>
      <c r="J43" s="48">
        <f>(MOD(H_Mars[[#This Row],[Fin]]-H_Mars[[#This Row],[début]],1)-MOD(H_Mars[[#This Row],[PNP Fin]]-H_Mars[[#This Row],[PNP Début]],1))*24</f>
        <v>0</v>
      </c>
      <c r="K43" s="109" t="str">
        <f>IFERROR(VLOOKUP(H_Mars[[#This Row],[Service]],Codes[],4,0),"")</f>
        <v/>
      </c>
      <c r="L43" s="49">
        <f>IF(H_Mars[[#This Row],[PNP Début]]=0,0,IF(H_Mars[[#This Row],[PNP Début]]&lt;H_Mars[[#This Row],[début]],1,0)+H_Mars[[#This Row],[PNP Début]])</f>
        <v>0</v>
      </c>
      <c r="M43" s="50">
        <f>IF(H_Mars[[#This Row],[PNP Fin]]=0,0,IF(H_Mars[[#This Row],[PNP Fin]]&lt;H_Mars[[#This Row],[début]],1,0)+H_Mars[[#This Row],[PNP Fin]])</f>
        <v>0</v>
      </c>
      <c r="N43" s="50">
        <f>IF(H_Mars[[#This Row],[Fin]]&lt;H_Mars[[#This Row],[début]],1,0)+H_Mars[[#This Row],[Fin]]</f>
        <v>0</v>
      </c>
      <c r="O4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0.1*(H_Mars[[#This Row],[Heures de nuit]]+IF(H_Mars[[#This Row],[majoration dim &amp; JF]]="non",0,H_Mars[[#This Row],[heures jour dimanche]]+H_Mars[[#This Row],[heures jour fériés]]))</f>
        <v>0</v>
      </c>
      <c r="J44" s="48">
        <f>(MOD(H_Mars[[#This Row],[Fin]]-H_Mars[[#This Row],[début]],1)-MOD(H_Mars[[#This Row],[PNP Fin]]-H_Mars[[#This Row],[PNP Début]],1))*24</f>
        <v>0</v>
      </c>
      <c r="K44" s="109" t="str">
        <f>IFERROR(VLOOKUP(H_Mars[[#This Row],[Service]],Codes[],4,0),"")</f>
        <v/>
      </c>
      <c r="L44" s="49">
        <f>IF(H_Mars[[#This Row],[PNP Début]]=0,0,IF(H_Mars[[#This Row],[PNP Début]]&lt;H_Mars[[#This Row],[début]],1,0)+H_Mars[[#This Row],[PNP Début]])</f>
        <v>0</v>
      </c>
      <c r="M44" s="50">
        <f>IF(H_Mars[[#This Row],[PNP Fin]]=0,0,IF(H_Mars[[#This Row],[PNP Fin]]&lt;H_Mars[[#This Row],[début]],1,0)+H_Mars[[#This Row],[PNP Fin]])</f>
        <v>0</v>
      </c>
      <c r="N44" s="50">
        <f>IF(H_Mars[[#This Row],[Fin]]&lt;H_Mars[[#This Row],[début]],1,0)+H_Mars[[#This Row],[Fin]]</f>
        <v>0</v>
      </c>
      <c r="O4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0.1*(H_Mars[[#This Row],[Heures de nuit]]+IF(H_Mars[[#This Row],[majoration dim &amp; JF]]="non",0,H_Mars[[#This Row],[heures jour dimanche]]+H_Mars[[#This Row],[heures jour fériés]]))</f>
        <v>0</v>
      </c>
      <c r="J45" s="48">
        <f>(MOD(H_Mars[[#This Row],[Fin]]-H_Mars[[#This Row],[début]],1)-MOD(H_Mars[[#This Row],[PNP Fin]]-H_Mars[[#This Row],[PNP Début]],1))*24</f>
        <v>0</v>
      </c>
      <c r="K45" s="109" t="str">
        <f>IFERROR(VLOOKUP(H_Mars[[#This Row],[Service]],Codes[],4,0),"")</f>
        <v/>
      </c>
      <c r="L45" s="49">
        <f>IF(H_Mars[[#This Row],[PNP Début]]=0,0,IF(H_Mars[[#This Row],[PNP Début]]&lt;H_Mars[[#This Row],[début]],1,0)+H_Mars[[#This Row],[PNP Début]])</f>
        <v>0</v>
      </c>
      <c r="M45" s="50">
        <f>IF(H_Mars[[#This Row],[PNP Fin]]=0,0,IF(H_Mars[[#This Row],[PNP Fin]]&lt;H_Mars[[#This Row],[début]],1,0)+H_Mars[[#This Row],[PNP Fin]])</f>
        <v>0</v>
      </c>
      <c r="N45" s="50">
        <f>IF(H_Mars[[#This Row],[Fin]]&lt;H_Mars[[#This Row],[début]],1,0)+H_Mars[[#This Row],[Fin]]</f>
        <v>0</v>
      </c>
      <c r="O4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0.1*(H_Mars[[#This Row],[Heures de nuit]]+IF(H_Mars[[#This Row],[majoration dim &amp; JF]]="non",0,H_Mars[[#This Row],[heures jour dimanche]]+H_Mars[[#This Row],[heures jour fériés]]))</f>
        <v>0</v>
      </c>
      <c r="J46" s="48">
        <f>(MOD(H_Mars[[#This Row],[Fin]]-H_Mars[[#This Row],[début]],1)-MOD(H_Mars[[#This Row],[PNP Fin]]-H_Mars[[#This Row],[PNP Début]],1))*24</f>
        <v>0</v>
      </c>
      <c r="K46" s="109" t="str">
        <f>IFERROR(VLOOKUP(H_Mars[[#This Row],[Service]],Codes[],4,0),"")</f>
        <v/>
      </c>
      <c r="L46" s="49">
        <f>IF(H_Mars[[#This Row],[PNP Début]]=0,0,IF(H_Mars[[#This Row],[PNP Début]]&lt;H_Mars[[#This Row],[début]],1,0)+H_Mars[[#This Row],[PNP Début]])</f>
        <v>0</v>
      </c>
      <c r="M46" s="50">
        <f>IF(H_Mars[[#This Row],[PNP Fin]]=0,0,IF(H_Mars[[#This Row],[PNP Fin]]&lt;H_Mars[[#This Row],[début]],1,0)+H_Mars[[#This Row],[PNP Fin]])</f>
        <v>0</v>
      </c>
      <c r="N46" s="50">
        <f>IF(H_Mars[[#This Row],[Fin]]&lt;H_Mars[[#This Row],[début]],1,0)+H_Mars[[#This Row],[Fin]]</f>
        <v>0</v>
      </c>
      <c r="O4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0.1*(H_Mars[[#This Row],[Heures de nuit]]+IF(H_Mars[[#This Row],[majoration dim &amp; JF]]="non",0,H_Mars[[#This Row],[heures jour dimanche]]+H_Mars[[#This Row],[heures jour fériés]]))</f>
        <v>0</v>
      </c>
      <c r="J47" s="48">
        <f>(MOD(H_Mars[[#This Row],[Fin]]-H_Mars[[#This Row],[début]],1)-MOD(H_Mars[[#This Row],[PNP Fin]]-H_Mars[[#This Row],[PNP Début]],1))*24</f>
        <v>0</v>
      </c>
      <c r="K47" s="109" t="str">
        <f>IFERROR(VLOOKUP(H_Mars[[#This Row],[Service]],Codes[],4,0),"")</f>
        <v/>
      </c>
      <c r="L47" s="49">
        <f>IF(H_Mars[[#This Row],[PNP Début]]=0,0,IF(H_Mars[[#This Row],[PNP Début]]&lt;H_Mars[[#This Row],[début]],1,0)+H_Mars[[#This Row],[PNP Début]])</f>
        <v>0</v>
      </c>
      <c r="M47" s="50">
        <f>IF(H_Mars[[#This Row],[PNP Fin]]=0,0,IF(H_Mars[[#This Row],[PNP Fin]]&lt;H_Mars[[#This Row],[début]],1,0)+H_Mars[[#This Row],[PNP Fin]])</f>
        <v>0</v>
      </c>
      <c r="N47" s="50">
        <f>IF(H_Mars[[#This Row],[Fin]]&lt;H_Mars[[#This Row],[début]],1,0)+H_Mars[[#This Row],[Fin]]</f>
        <v>0</v>
      </c>
      <c r="O4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0.1*(H_Mars[[#This Row],[Heures de nuit]]+IF(H_Mars[[#This Row],[majoration dim &amp; JF]]="non",0,H_Mars[[#This Row],[heures jour dimanche]]+H_Mars[[#This Row],[heures jour fériés]]))</f>
        <v>0</v>
      </c>
      <c r="J48" s="48">
        <f>(MOD(H_Mars[[#This Row],[Fin]]-H_Mars[[#This Row],[début]],1)-MOD(H_Mars[[#This Row],[PNP Fin]]-H_Mars[[#This Row],[PNP Début]],1))*24</f>
        <v>0</v>
      </c>
      <c r="K48" s="109" t="str">
        <f>IFERROR(VLOOKUP(H_Mars[[#This Row],[Service]],Codes[],4,0),"")</f>
        <v/>
      </c>
      <c r="L48" s="49">
        <f>IF(H_Mars[[#This Row],[PNP Début]]=0,0,IF(H_Mars[[#This Row],[PNP Début]]&lt;H_Mars[[#This Row],[début]],1,0)+H_Mars[[#This Row],[PNP Début]])</f>
        <v>0</v>
      </c>
      <c r="M48" s="50">
        <f>IF(H_Mars[[#This Row],[PNP Fin]]=0,0,IF(H_Mars[[#This Row],[PNP Fin]]&lt;H_Mars[[#This Row],[début]],1,0)+H_Mars[[#This Row],[PNP Fin]])</f>
        <v>0</v>
      </c>
      <c r="N48" s="50">
        <f>IF(H_Mars[[#This Row],[Fin]]&lt;H_Mars[[#This Row],[début]],1,0)+H_Mars[[#This Row],[Fin]]</f>
        <v>0</v>
      </c>
      <c r="O4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0.1*(H_Mars[[#This Row],[Heures de nuit]]+IF(H_Mars[[#This Row],[majoration dim &amp; JF]]="non",0,H_Mars[[#This Row],[heures jour dimanche]]+H_Mars[[#This Row],[heures jour fériés]]))</f>
        <v>0</v>
      </c>
      <c r="J49" s="48">
        <f>(MOD(H_Mars[[#This Row],[Fin]]-H_Mars[[#This Row],[début]],1)-MOD(H_Mars[[#This Row],[PNP Fin]]-H_Mars[[#This Row],[PNP Début]],1))*24</f>
        <v>0</v>
      </c>
      <c r="K49" s="109" t="str">
        <f>IFERROR(VLOOKUP(H_Mars[[#This Row],[Service]],Codes[],4,0),"")</f>
        <v/>
      </c>
      <c r="L49" s="49">
        <f>IF(H_Mars[[#This Row],[PNP Début]]=0,0,IF(H_Mars[[#This Row],[PNP Début]]&lt;H_Mars[[#This Row],[début]],1,0)+H_Mars[[#This Row],[PNP Début]])</f>
        <v>0</v>
      </c>
      <c r="M49" s="50">
        <f>IF(H_Mars[[#This Row],[PNP Fin]]=0,0,IF(H_Mars[[#This Row],[PNP Fin]]&lt;H_Mars[[#This Row],[début]],1,0)+H_Mars[[#This Row],[PNP Fin]])</f>
        <v>0</v>
      </c>
      <c r="N49" s="50">
        <f>IF(H_Mars[[#This Row],[Fin]]&lt;H_Mars[[#This Row],[début]],1,0)+H_Mars[[#This Row],[Fin]]</f>
        <v>0</v>
      </c>
      <c r="O4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SUM(H_Mars[Majoration])</f>
        <v>0</v>
      </c>
      <c r="J50" s="54">
        <f>SUM(H_Mars[Heures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266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print="0" autoLine="0" r:id="rId5">
            <anchor moveWithCells="1">
              <from>
                <xdr:col>9</xdr:col>
                <xdr:colOff>472440</xdr:colOff>
                <xdr:row>0</xdr:row>
                <xdr:rowOff>99060</xdr:rowOff>
              </from>
              <to>
                <xdr:col>9</xdr:col>
                <xdr:colOff>1264920</xdr:colOff>
                <xdr:row>3</xdr:row>
                <xdr:rowOff>213360</xdr:rowOff>
              </to>
            </anchor>
          </controlPr>
        </control>
      </mc:Choice>
      <mc:Fallback>
        <control shapeId="614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Z60"/>
  <sheetViews>
    <sheetView topLeftCell="A4" zoomScale="80" zoomScaleNormal="80" zoomScalePageLayoutView="70" workbookViewId="0">
      <selection activeCell="V19" activeCellId="2" sqref="V9:W10 V15:Z16 V19:W19"/>
    </sheetView>
  </sheetViews>
  <sheetFormatPr baseColWidth="10" defaultRowHeight="14.4" x14ac:dyDescent="0.3"/>
  <cols>
    <col min="1" max="1" width="19.88671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2.3320312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102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Avril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68"/>
      <c r="Y9" s="169"/>
      <c r="Z9" s="168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68"/>
      <c r="Y10" s="168"/>
      <c r="Z10" s="168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68"/>
      <c r="X11" s="168"/>
      <c r="Y11" s="168"/>
      <c r="Z11" s="168"/>
    </row>
    <row r="12" spans="1:26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70"/>
      <c r="X12" s="170"/>
      <c r="Y12" s="170"/>
      <c r="Z12" s="170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0.1*(H_Avr[[#This Row],[Heures de nuit]]+IF(H_Avr[[#This Row],[majoration dim &amp; JF]]="non",0,H_Avr[[#This Row],[heures jour dimanche]]+H_Avr[[#This Row],[heures jour fériés]]))</f>
        <v>0</v>
      </c>
      <c r="J13" s="29">
        <f>(MOD(H_Avr[[#This Row],[Fin]]-H_Avr[[#This Row],[début]],1)-MOD(H_Avr[[#This Row],[PNP Fin]]-H_Avr[[#This Row],[PNP Début]],1))*24</f>
        <v>0</v>
      </c>
      <c r="K13" s="29" t="str">
        <f>IFERROR(VLOOKUP(H_Avr[[#This Row],[Service]],Codes[],4,0),"")</f>
        <v/>
      </c>
      <c r="L13" s="30">
        <f>IF(H_Avr[[#This Row],[PNP Début]]=0,0,IF(H_Avr[[#This Row],[PNP Début]]&lt;H_Avr[[#This Row],[début]],1,0)+H_Avr[[#This Row],[PNP Début]])</f>
        <v>0</v>
      </c>
      <c r="M13" s="30">
        <f>IF(H_Avr[[#This Row],[PNP Fin]]=0,0,IF(H_Avr[[#This Row],[PNP Fin]]&lt;H_Avr[[#This Row],[début]],1,0)+H_Avr[[#This Row],[PNP Fin]])</f>
        <v>0</v>
      </c>
      <c r="N13" s="30">
        <f>IF(H_Avr[[#This Row],[Fin]]&lt;H_Avr[[#This Row],[début]],1,0)+H_Avr[[#This Row],[Fin]]</f>
        <v>0</v>
      </c>
      <c r="O1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3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3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3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3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3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13" s="166"/>
      <c r="W13" s="168"/>
      <c r="X13" s="168"/>
      <c r="Y13" s="168"/>
      <c r="Z13" s="168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0.1*(H_Avr[[#This Row],[Heures de nuit]]+IF(H_Avr[[#This Row],[majoration dim &amp; JF]]="non",0,H_Avr[[#This Row],[heures jour dimanche]]+H_Avr[[#This Row],[heures jour fériés]]))</f>
        <v>0</v>
      </c>
      <c r="J14" s="29">
        <f>(MOD(H_Avr[[#This Row],[Fin]]-H_Avr[[#This Row],[début]],1)-MOD(H_Avr[[#This Row],[PNP Fin]]-H_Avr[[#This Row],[PNP Début]],1))*24</f>
        <v>0</v>
      </c>
      <c r="K14" s="29" t="str">
        <f>IFERROR(VLOOKUP(H_Avr[[#This Row],[Service]],Codes[],4,0),"")</f>
        <v/>
      </c>
      <c r="L14" s="30">
        <f>IF(H_Avr[[#This Row],[PNP Début]]=0,0,IF(H_Avr[[#This Row],[PNP Début]]&lt;H_Avr[[#This Row],[début]],1,0)+H_Avr[[#This Row],[PNP Début]])</f>
        <v>0</v>
      </c>
      <c r="M14" s="30">
        <f>IF(H_Avr[[#This Row],[PNP Fin]]=0,0,IF(H_Avr[[#This Row],[PNP Fin]]&lt;H_Avr[[#This Row],[début]],1,0)+H_Avr[[#This Row],[PNP Fin]])</f>
        <v>0</v>
      </c>
      <c r="N14" s="30">
        <f>IF(H_Avr[[#This Row],[Fin]]&lt;H_Avr[[#This Row],[début]],1,0)+H_Avr[[#This Row],[Fin]]</f>
        <v>0</v>
      </c>
      <c r="O1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4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4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4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4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4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14" s="166"/>
      <c r="W14" s="168"/>
      <c r="X14" s="168"/>
      <c r="Y14" s="168"/>
      <c r="Z14" s="168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0.1*(H_Avr[[#This Row],[Heures de nuit]]+IF(H_Avr[[#This Row],[majoration dim &amp; JF]]="non",0,H_Avr[[#This Row],[heures jour dimanche]]+H_Avr[[#This Row],[heures jour fériés]]))</f>
        <v>0</v>
      </c>
      <c r="J15" s="29">
        <f>(MOD(H_Avr[[#This Row],[Fin]]-H_Avr[[#This Row],[début]],1)-MOD(H_Avr[[#This Row],[PNP Fin]]-H_Avr[[#This Row],[PNP Début]],1))*24</f>
        <v>0</v>
      </c>
      <c r="K15" s="29" t="str">
        <f>IFERROR(VLOOKUP(H_Avr[[#This Row],[Service]],Codes[],4,0),"")</f>
        <v/>
      </c>
      <c r="L15" s="30">
        <f>IF(H_Avr[[#This Row],[PNP Début]]=0,0,IF(H_Avr[[#This Row],[PNP Début]]&lt;H_Avr[[#This Row],[début]],1,0)+H_Avr[[#This Row],[PNP Début]])</f>
        <v>0</v>
      </c>
      <c r="M15" s="30">
        <f>IF(H_Avr[[#This Row],[PNP Fin]]=0,0,IF(H_Avr[[#This Row],[PNP Fin]]&lt;H_Avr[[#This Row],[début]],1,0)+H_Avr[[#This Row],[PNP Fin]])</f>
        <v>0</v>
      </c>
      <c r="N15" s="30">
        <f>IF(H_Avr[[#This Row],[Fin]]&lt;H_Avr[[#This Row],[début]],1,0)+H_Avr[[#This Row],[Fin]]</f>
        <v>0</v>
      </c>
      <c r="O1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5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5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5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5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5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0.1*(H_Avr[[#This Row],[Heures de nuit]]+IF(H_Avr[[#This Row],[majoration dim &amp; JF]]="non",0,H_Avr[[#This Row],[heures jour dimanche]]+H_Avr[[#This Row],[heures jour fériés]]))</f>
        <v>0</v>
      </c>
      <c r="J16" s="29">
        <f>(MOD(H_Avr[[#This Row],[Fin]]-H_Avr[[#This Row],[début]],1)-MOD(H_Avr[[#This Row],[PNP Fin]]-H_Avr[[#This Row],[PNP Début]],1))*24</f>
        <v>0</v>
      </c>
      <c r="K16" s="33" t="str">
        <f>IFERROR(VLOOKUP(H_Avr[[#This Row],[Service]],Codes[],4,0),"")</f>
        <v/>
      </c>
      <c r="L16" s="30">
        <f>IF(H_Avr[[#This Row],[PNP Début]]=0,0,IF(H_Avr[[#This Row],[PNP Début]]&lt;H_Avr[[#This Row],[début]],1,0)+H_Avr[[#This Row],[PNP Début]])</f>
        <v>0</v>
      </c>
      <c r="M16" s="30">
        <f>IF(H_Avr[[#This Row],[PNP Fin]]=0,0,IF(H_Avr[[#This Row],[PNP Fin]]&lt;H_Avr[[#This Row],[début]],1,0)+H_Avr[[#This Row],[PNP Fin]])</f>
        <v>0</v>
      </c>
      <c r="N16" s="34">
        <f>IF(H_Avr[[#This Row],[Fin]]&lt;H_Avr[[#This Row],[début]],1,0)+H_Avr[[#This Row],[Fin]]</f>
        <v>0</v>
      </c>
      <c r="O1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6" s="35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6" s="35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6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6" s="3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6" s="3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16" s="176" t="s">
        <v>128</v>
      </c>
      <c r="W16" s="177">
        <f>'Mars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6" x14ac:dyDescent="0.3">
      <c r="A17" s="4"/>
      <c r="B17" s="1"/>
      <c r="C17" s="2"/>
      <c r="D17" s="2"/>
      <c r="E17" s="3"/>
      <c r="F17" s="3"/>
      <c r="G17" s="9"/>
      <c r="H17" s="9"/>
      <c r="I17" s="37">
        <f>0.1*(H_Avr[[#This Row],[Heures de nuit]]+IF(H_Avr[[#This Row],[majoration dim &amp; JF]]="non",0,H_Avr[[#This Row],[heures jour dimanche]]+H_Avr[[#This Row],[heures jour fériés]]))</f>
        <v>0</v>
      </c>
      <c r="J17" s="29">
        <f>(MOD(H_Avr[[#This Row],[Fin]]-H_Avr[[#This Row],[début]],1)-MOD(H_Avr[[#This Row],[PNP Fin]]-H_Avr[[#This Row],[PNP Début]],1))*24</f>
        <v>0</v>
      </c>
      <c r="K17" s="112" t="str">
        <f>IFERROR(VLOOKUP(H_Avr[[#This Row],[Service]],Codes[],4,0),"")</f>
        <v/>
      </c>
      <c r="L17" s="39">
        <f>IF(H_Avr[[#This Row],[PNP Début]]=0,0,IF(H_Avr[[#This Row],[PNP Début]]&lt;H_Avr[[#This Row],[début]],1,0)+H_Avr[[#This Row],[PNP Début]])</f>
        <v>0</v>
      </c>
      <c r="M17" s="40">
        <f>IF(H_Avr[[#This Row],[PNP Fin]]=0,0,IF(H_Avr[[#This Row],[PNP Fin]]&lt;H_Avr[[#This Row],[début]],1,0)+H_Avr[[#This Row],[PNP Fin]])</f>
        <v>0</v>
      </c>
      <c r="N17" s="40">
        <f>IF(H_Avr[[#This Row],[Fin]]&lt;H_Avr[[#This Row],[début]],1,0)+H_Avr[[#This Row],[Fin]]</f>
        <v>0</v>
      </c>
      <c r="O1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7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7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7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7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7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17" s="163"/>
      <c r="W17" s="171"/>
      <c r="X17" s="171"/>
      <c r="Y17" s="171"/>
      <c r="Z17" s="171"/>
    </row>
    <row r="18" spans="1:26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0.1*(H_Avr[[#This Row],[Heures de nuit]]+IF(H_Avr[[#This Row],[majoration dim &amp; JF]]="non",0,H_Avr[[#This Row],[heures jour dimanche]]+H_Avr[[#This Row],[heures jour fériés]]))</f>
        <v>0</v>
      </c>
      <c r="J18" s="29">
        <f>(MOD(H_Avr[[#This Row],[Fin]]-H_Avr[[#This Row],[début]],1)-MOD(H_Avr[[#This Row],[PNP Fin]]-H_Avr[[#This Row],[PNP Début]],1))*24</f>
        <v>0</v>
      </c>
      <c r="K18" s="112" t="str">
        <f>IFERROR(VLOOKUP(H_Avr[[#This Row],[Service]],Codes[],4,0),"")</f>
        <v/>
      </c>
      <c r="L18" s="39">
        <f>IF(H_Avr[[#This Row],[PNP Début]]=0,0,IF(H_Avr[[#This Row],[PNP Début]]&lt;H_Avr[[#This Row],[début]],1,0)+H_Avr[[#This Row],[PNP Début]])</f>
        <v>0</v>
      </c>
      <c r="M18" s="40">
        <f>IF(H_Avr[[#This Row],[PNP Fin]]=0,0,IF(H_Avr[[#This Row],[PNP Fin]]&lt;H_Avr[[#This Row],[début]],1,0)+H_Avr[[#This Row],[PNP Fin]])</f>
        <v>0</v>
      </c>
      <c r="N18" s="40">
        <f>IF(H_Avr[[#This Row],[Fin]]&lt;H_Avr[[#This Row],[début]],1,0)+H_Avr[[#This Row],[Fin]]</f>
        <v>0</v>
      </c>
      <c r="O1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8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8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8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8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8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18" s="163"/>
      <c r="W18" s="171"/>
      <c r="X18" s="171"/>
      <c r="Y18" s="171"/>
      <c r="Z18" s="171"/>
    </row>
    <row r="19" spans="1:26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0.1*(H_Avr[[#This Row],[Heures de nuit]]+IF(H_Avr[[#This Row],[majoration dim &amp; JF]]="non",0,H_Avr[[#This Row],[heures jour dimanche]]+H_Avr[[#This Row],[heures jour fériés]]))</f>
        <v>0</v>
      </c>
      <c r="J19" s="29">
        <f>(MOD(H_Avr[[#This Row],[Fin]]-H_Avr[[#This Row],[début]],1)-MOD(H_Avr[[#This Row],[PNP Fin]]-H_Avr[[#This Row],[PNP Début]],1))*24</f>
        <v>0</v>
      </c>
      <c r="K19" s="112" t="str">
        <f>IFERROR(VLOOKUP(H_Avr[[#This Row],[Service]],Codes[],4,0),"")</f>
        <v/>
      </c>
      <c r="L19" s="39">
        <f>IF(H_Avr[[#This Row],[PNP Début]]=0,0,IF(H_Avr[[#This Row],[PNP Début]]&lt;H_Avr[[#This Row],[début]],1,0)+H_Avr[[#This Row],[PNP Début]])</f>
        <v>0</v>
      </c>
      <c r="M19" s="40">
        <f>IF(H_Avr[[#This Row],[PNP Fin]]=0,0,IF(H_Avr[[#This Row],[PNP Fin]]&lt;H_Avr[[#This Row],[début]],1,0)+H_Avr[[#This Row],[PNP Fin]])</f>
        <v>0</v>
      </c>
      <c r="N19" s="40">
        <f>IF(H_Avr[[#This Row],[Fin]]&lt;H_Avr[[#This Row],[début]],1,0)+H_Avr[[#This Row],[Fin]]</f>
        <v>0</v>
      </c>
      <c r="O1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9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9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9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9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9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  <c r="X19" s="171"/>
      <c r="Y19" s="171"/>
      <c r="Z19" s="171"/>
    </row>
    <row r="20" spans="1:26" ht="15" thickBot="1" x14ac:dyDescent="0.35">
      <c r="A20" s="4"/>
      <c r="B20" s="1"/>
      <c r="C20" s="2"/>
      <c r="D20" s="2"/>
      <c r="E20" s="3"/>
      <c r="F20" s="3"/>
      <c r="G20" s="9"/>
      <c r="H20" s="9"/>
      <c r="I20" s="37">
        <f>0.1*(H_Avr[[#This Row],[Heures de nuit]]+IF(H_Avr[[#This Row],[majoration dim &amp; JF]]="non",0,H_Avr[[#This Row],[heures jour dimanche]]+H_Avr[[#This Row],[heures jour fériés]]))</f>
        <v>0</v>
      </c>
      <c r="J20" s="29">
        <f>(MOD(H_Avr[[#This Row],[Fin]]-H_Avr[[#This Row],[début]],1)-MOD(H_Avr[[#This Row],[PNP Fin]]-H_Avr[[#This Row],[PNP Début]],1))*24</f>
        <v>0</v>
      </c>
      <c r="K20" s="112" t="str">
        <f>IFERROR(VLOOKUP(H_Avr[[#This Row],[Service]],Codes[],4,0),"")</f>
        <v/>
      </c>
      <c r="L20" s="39">
        <f>IF(H_Avr[[#This Row],[PNP Début]]=0,0,IF(H_Avr[[#This Row],[PNP Début]]&lt;H_Avr[[#This Row],[début]],1,0)+H_Avr[[#This Row],[PNP Début]])</f>
        <v>0</v>
      </c>
      <c r="M20" s="40">
        <f>IF(H_Avr[[#This Row],[PNP Fin]]=0,0,IF(H_Avr[[#This Row],[PNP Fin]]&lt;H_Avr[[#This Row],[début]],1,0)+H_Avr[[#This Row],[PNP Fin]])</f>
        <v>0</v>
      </c>
      <c r="N20" s="40">
        <f>IF(H_Avr[[#This Row],[Fin]]&lt;H_Avr[[#This Row],[début]],1,0)+H_Avr[[#This Row],[Fin]]</f>
        <v>0</v>
      </c>
      <c r="O2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0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0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0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0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0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20" s="163"/>
      <c r="W20" s="171"/>
      <c r="X20" s="171"/>
      <c r="Y20" s="171"/>
      <c r="Z20" s="171"/>
    </row>
    <row r="21" spans="1:26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0.1*(H_Avr[[#This Row],[Heures de nuit]]+IF(H_Avr[[#This Row],[majoration dim &amp; JF]]="non",0,H_Avr[[#This Row],[heures jour dimanche]]+H_Avr[[#This Row],[heures jour fériés]]))</f>
        <v>0</v>
      </c>
      <c r="J21" s="29">
        <f>(MOD(H_Avr[[#This Row],[Fin]]-H_Avr[[#This Row],[début]],1)-MOD(H_Avr[[#This Row],[PNP Fin]]-H_Avr[[#This Row],[PNP Début]],1))*24</f>
        <v>0</v>
      </c>
      <c r="K21" s="113" t="str">
        <f>IFERROR(VLOOKUP(H_Avr[[#This Row],[Service]],Codes[],4,0),"")</f>
        <v/>
      </c>
      <c r="L21" s="44">
        <f>IF(H_Avr[[#This Row],[PNP Début]]=0,0,IF(H_Avr[[#This Row],[PNP Début]]&lt;H_Avr[[#This Row],[début]],1,0)+H_Avr[[#This Row],[PNP Début]])</f>
        <v>0</v>
      </c>
      <c r="M21" s="45">
        <f>IF(H_Avr[[#This Row],[PNP Fin]]=0,0,IF(H_Avr[[#This Row],[PNP Fin]]&lt;H_Avr[[#This Row],[début]],1,0)+H_Avr[[#This Row],[PNP Fin]])</f>
        <v>0</v>
      </c>
      <c r="N21" s="45">
        <f>IF(H_Avr[[#This Row],[Fin]]&lt;H_Avr[[#This Row],[début]],1,0)+H_Avr[[#This Row],[Fin]]</f>
        <v>0</v>
      </c>
      <c r="O2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1" s="46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1" s="46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1" s="46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1" s="4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1" s="4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21" s="164" t="s">
        <v>167</v>
      </c>
      <c r="W21" s="162">
        <f>COUNTIF(B13:B49,"*récuperations*")</f>
        <v>0</v>
      </c>
      <c r="X21" s="171"/>
      <c r="Y21" s="171"/>
      <c r="Z21" s="171"/>
    </row>
    <row r="22" spans="1:26" ht="15" thickBot="1" x14ac:dyDescent="0.35">
      <c r="A22" s="4"/>
      <c r="B22" s="1"/>
      <c r="C22" s="2"/>
      <c r="D22" s="2"/>
      <c r="E22" s="3"/>
      <c r="F22" s="3"/>
      <c r="G22" s="10"/>
      <c r="H22" s="10"/>
      <c r="I22" s="47">
        <f>0.1*(H_Avr[[#This Row],[Heures de nuit]]+IF(H_Avr[[#This Row],[majoration dim &amp; JF]]="non",0,H_Avr[[#This Row],[heures jour dimanche]]+H_Avr[[#This Row],[heures jour fériés]]))</f>
        <v>0</v>
      </c>
      <c r="J22" s="29">
        <f>(MOD(H_Avr[[#This Row],[Fin]]-H_Avr[[#This Row],[début]],1)-MOD(H_Avr[[#This Row],[PNP Fin]]-H_Avr[[#This Row],[PNP Début]],1))*24</f>
        <v>0</v>
      </c>
      <c r="K22" s="109" t="str">
        <f>IFERROR(VLOOKUP(H_Avr[[#This Row],[Service]],Codes[],4,0),"")</f>
        <v/>
      </c>
      <c r="L22" s="49">
        <f>IF(H_Avr[[#This Row],[PNP Début]]=0,0,IF(H_Avr[[#This Row],[PNP Début]]&lt;H_Avr[[#This Row],[début]],1,0)+H_Avr[[#This Row],[PNP Début]])</f>
        <v>0</v>
      </c>
      <c r="M22" s="50">
        <f>IF(H_Avr[[#This Row],[PNP Fin]]=0,0,IF(H_Avr[[#This Row],[PNP Fin]]&lt;H_Avr[[#This Row],[début]],1,0)+H_Avr[[#This Row],[PNP Fin]])</f>
        <v>0</v>
      </c>
      <c r="N22" s="50">
        <f>IF(H_Avr[[#This Row],[Fin]]&lt;H_Avr[[#This Row],[début]],1,0)+H_Avr[[#This Row],[Fin]]</f>
        <v>0</v>
      </c>
      <c r="O2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22" s="165"/>
      <c r="W22" s="171"/>
      <c r="X22" s="171"/>
      <c r="Y22" s="171"/>
      <c r="Z22" s="171"/>
    </row>
    <row r="23" spans="1:26" ht="15" thickBot="1" x14ac:dyDescent="0.35">
      <c r="A23" s="4"/>
      <c r="B23" s="1"/>
      <c r="C23" s="2"/>
      <c r="D23" s="2"/>
      <c r="E23" s="3"/>
      <c r="F23" s="3"/>
      <c r="G23" s="10"/>
      <c r="H23" s="10"/>
      <c r="I23" s="47">
        <f>0.1*(H_Avr[[#This Row],[Heures de nuit]]+IF(H_Avr[[#This Row],[majoration dim &amp; JF]]="non",0,H_Avr[[#This Row],[heures jour dimanche]]+H_Avr[[#This Row],[heures jour fériés]]))</f>
        <v>0</v>
      </c>
      <c r="J23" s="29">
        <f>(MOD(H_Avr[[#This Row],[Fin]]-H_Avr[[#This Row],[début]],1)-MOD(H_Avr[[#This Row],[PNP Fin]]-H_Avr[[#This Row],[PNP Début]],1))*24</f>
        <v>0</v>
      </c>
      <c r="K23" s="109" t="str">
        <f>IFERROR(VLOOKUP(H_Avr[[#This Row],[Service]],Codes[],4,0),"")</f>
        <v/>
      </c>
      <c r="L23" s="49">
        <f>IF(H_Avr[[#This Row],[PNP Début]]=0,0,IF(H_Avr[[#This Row],[PNP Début]]&lt;H_Avr[[#This Row],[début]],1,0)+H_Avr[[#This Row],[PNP Début]])</f>
        <v>0</v>
      </c>
      <c r="M23" s="50">
        <f>IF(H_Avr[[#This Row],[PNP Fin]]=0,0,IF(H_Avr[[#This Row],[PNP Fin]]&lt;H_Avr[[#This Row],[début]],1,0)+H_Avr[[#This Row],[PNP Fin]])</f>
        <v>0</v>
      </c>
      <c r="N23" s="50">
        <f>IF(H_Avr[[#This Row],[Fin]]&lt;H_Avr[[#This Row],[début]],1,0)+H_Avr[[#This Row],[Fin]]</f>
        <v>0</v>
      </c>
      <c r="O2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V23" s="164" t="s">
        <v>168</v>
      </c>
      <c r="W23" s="162">
        <f>COUNTIF(B13:B49,"*CCT*")</f>
        <v>0</v>
      </c>
      <c r="X23" s="171"/>
      <c r="Y23" s="171"/>
      <c r="Z23" s="171"/>
    </row>
    <row r="24" spans="1:26" x14ac:dyDescent="0.3">
      <c r="A24" s="4"/>
      <c r="B24" s="1"/>
      <c r="C24" s="2"/>
      <c r="D24" s="2"/>
      <c r="E24" s="3"/>
      <c r="F24" s="3"/>
      <c r="G24" s="3"/>
      <c r="H24" s="3"/>
      <c r="I24" s="47">
        <f>0.1*(H_Avr[[#This Row],[Heures de nuit]]+IF(H_Avr[[#This Row],[majoration dim &amp; JF]]="non",0,H_Avr[[#This Row],[heures jour dimanche]]+H_Avr[[#This Row],[heures jour fériés]]))</f>
        <v>0</v>
      </c>
      <c r="J24" s="29">
        <f>(MOD(H_Avr[[#This Row],[Fin]]-H_Avr[[#This Row],[début]],1)-MOD(H_Avr[[#This Row],[PNP Fin]]-H_Avr[[#This Row],[PNP Début]],1))*24</f>
        <v>0</v>
      </c>
      <c r="K24" s="109" t="str">
        <f>IFERROR(VLOOKUP(H_Avr[[#This Row],[Service]],Codes[],4,0),"")</f>
        <v/>
      </c>
      <c r="L24" s="49">
        <f>IF(H_Avr[[#This Row],[PNP Début]]=0,0,IF(H_Avr[[#This Row],[PNP Début]]&lt;H_Avr[[#This Row],[début]],1,0)+H_Avr[[#This Row],[PNP Début]])</f>
        <v>0</v>
      </c>
      <c r="M24" s="50">
        <f>IF(H_Avr[[#This Row],[PNP Fin]]=0,0,IF(H_Avr[[#This Row],[PNP Fin]]&lt;H_Avr[[#This Row],[début]],1,0)+H_Avr[[#This Row],[PNP Fin]])</f>
        <v>0</v>
      </c>
      <c r="N24" s="50">
        <f>IF(H_Avr[[#This Row],[Fin]]&lt;H_Avr[[#This Row],[début]],1,0)+H_Avr[[#This Row],[Fin]]</f>
        <v>0</v>
      </c>
      <c r="O2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W24" s="171"/>
      <c r="X24" s="171"/>
      <c r="Y24" s="171"/>
      <c r="Z24" s="171"/>
    </row>
    <row r="25" spans="1:26" x14ac:dyDescent="0.3">
      <c r="A25" s="4"/>
      <c r="B25" s="1"/>
      <c r="C25" s="2"/>
      <c r="D25" s="2"/>
      <c r="E25" s="3"/>
      <c r="F25" s="3"/>
      <c r="G25" s="3"/>
      <c r="H25" s="3"/>
      <c r="I25" s="47">
        <f>0.1*(H_Avr[[#This Row],[Heures de nuit]]+IF(H_Avr[[#This Row],[majoration dim &amp; JF]]="non",0,H_Avr[[#This Row],[heures jour dimanche]]+H_Avr[[#This Row],[heures jour fériés]]))</f>
        <v>0</v>
      </c>
      <c r="J25" s="29">
        <f>(MOD(H_Avr[[#This Row],[Fin]]-H_Avr[[#This Row],[début]],1)-MOD(H_Avr[[#This Row],[PNP Fin]]-H_Avr[[#This Row],[PNP Début]],1))*24</f>
        <v>0</v>
      </c>
      <c r="K25" s="109" t="str">
        <f>IFERROR(VLOOKUP(H_Avr[[#This Row],[Service]],Codes[],4,0),"")</f>
        <v/>
      </c>
      <c r="L25" s="49">
        <f>IF(H_Avr[[#This Row],[PNP Début]]=0,0,IF(H_Avr[[#This Row],[PNP Début]]&lt;H_Avr[[#This Row],[début]],1,0)+H_Avr[[#This Row],[PNP Début]])</f>
        <v>0</v>
      </c>
      <c r="M25" s="50">
        <f>IF(H_Avr[[#This Row],[PNP Fin]]=0,0,IF(H_Avr[[#This Row],[PNP Fin]]&lt;H_Avr[[#This Row],[début]],1,0)+H_Avr[[#This Row],[PNP Fin]])</f>
        <v>0</v>
      </c>
      <c r="N25" s="50">
        <f>IF(H_Avr[[#This Row],[Fin]]&lt;H_Avr[[#This Row],[début]],1,0)+H_Avr[[#This Row],[Fin]]</f>
        <v>0</v>
      </c>
      <c r="O2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  <c r="W25" s="171"/>
      <c r="X25" s="171"/>
      <c r="Y25" s="171"/>
      <c r="Z25" s="171"/>
    </row>
    <row r="26" spans="1:26" ht="14.4" customHeight="1" x14ac:dyDescent="0.3">
      <c r="A26" s="4"/>
      <c r="B26" s="1"/>
      <c r="C26" s="2"/>
      <c r="D26" s="2"/>
      <c r="E26" s="3"/>
      <c r="F26" s="3"/>
      <c r="G26" s="10"/>
      <c r="H26" s="10"/>
      <c r="I26" s="47">
        <f>0.1*(H_Avr[[#This Row],[Heures de nuit]]+IF(H_Avr[[#This Row],[majoration dim &amp; JF]]="non",0,H_Avr[[#This Row],[heures jour dimanche]]+H_Avr[[#This Row],[heures jour fériés]]))</f>
        <v>0</v>
      </c>
      <c r="J26" s="29">
        <f>(MOD(H_Avr[[#This Row],[Fin]]-H_Avr[[#This Row],[début]],1)-MOD(H_Avr[[#This Row],[PNP Fin]]-H_Avr[[#This Row],[PNP Début]],1))*24</f>
        <v>0</v>
      </c>
      <c r="K26" s="109" t="str">
        <f>IFERROR(VLOOKUP(H_Avr[[#This Row],[Service]],Codes[],4,0),"")</f>
        <v/>
      </c>
      <c r="L26" s="49">
        <f>IF(H_Avr[[#This Row],[PNP Début]]=0,0,IF(H_Avr[[#This Row],[PNP Début]]&lt;H_Avr[[#This Row],[début]],1,0)+H_Avr[[#This Row],[PNP Début]])</f>
        <v>0</v>
      </c>
      <c r="M26" s="50">
        <f>IF(H_Avr[[#This Row],[PNP Fin]]=0,0,IF(H_Avr[[#This Row],[PNP Fin]]&lt;H_Avr[[#This Row],[début]],1,0)+H_Avr[[#This Row],[PNP Fin]])</f>
        <v>0</v>
      </c>
      <c r="N26" s="50">
        <f>IF(H_Avr[[#This Row],[Fin]]&lt;H_Avr[[#This Row],[début]],1,0)+H_Avr[[#This Row],[Fin]]</f>
        <v>0</v>
      </c>
      <c r="O2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7" spans="1:26" x14ac:dyDescent="0.3">
      <c r="A27" s="4"/>
      <c r="B27" s="1"/>
      <c r="C27" s="2"/>
      <c r="D27" s="2"/>
      <c r="E27" s="3"/>
      <c r="F27" s="3"/>
      <c r="G27" s="10"/>
      <c r="H27" s="10"/>
      <c r="I27" s="47">
        <f>0.1*(H_Avr[[#This Row],[Heures de nuit]]+IF(H_Avr[[#This Row],[majoration dim &amp; JF]]="non",0,H_Avr[[#This Row],[heures jour dimanche]]+H_Avr[[#This Row],[heures jour fériés]]))</f>
        <v>0</v>
      </c>
      <c r="J27" s="29">
        <f>(MOD(H_Avr[[#This Row],[Fin]]-H_Avr[[#This Row],[début]],1)-MOD(H_Avr[[#This Row],[PNP Fin]]-H_Avr[[#This Row],[PNP Début]],1))*24</f>
        <v>0</v>
      </c>
      <c r="K27" s="109" t="str">
        <f>IFERROR(VLOOKUP(H_Avr[[#This Row],[Service]],Codes[],4,0),"")</f>
        <v/>
      </c>
      <c r="L27" s="49">
        <f>IF(H_Avr[[#This Row],[PNP Début]]=0,0,IF(H_Avr[[#This Row],[PNP Début]]&lt;H_Avr[[#This Row],[début]],1,0)+H_Avr[[#This Row],[PNP Début]])</f>
        <v>0</v>
      </c>
      <c r="M27" s="50">
        <f>IF(H_Avr[[#This Row],[PNP Fin]]=0,0,IF(H_Avr[[#This Row],[PNP Fin]]&lt;H_Avr[[#This Row],[début]],1,0)+H_Avr[[#This Row],[PNP Fin]])</f>
        <v>0</v>
      </c>
      <c r="N27" s="50">
        <f>IF(H_Avr[[#This Row],[Fin]]&lt;H_Avr[[#This Row],[début]],1,0)+H_Avr[[#This Row],[Fin]]</f>
        <v>0</v>
      </c>
      <c r="O2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8" spans="1:26" x14ac:dyDescent="0.3">
      <c r="A28" s="4"/>
      <c r="B28" s="1"/>
      <c r="C28" s="2"/>
      <c r="D28" s="2"/>
      <c r="E28" s="3"/>
      <c r="F28" s="3"/>
      <c r="G28" s="3"/>
      <c r="H28" s="3"/>
      <c r="I28" s="47">
        <f>0.1*(H_Avr[[#This Row],[Heures de nuit]]+IF(H_Avr[[#This Row],[majoration dim &amp; JF]]="non",0,H_Avr[[#This Row],[heures jour dimanche]]+H_Avr[[#This Row],[heures jour fériés]]))</f>
        <v>0</v>
      </c>
      <c r="J28" s="29">
        <f>(MOD(H_Avr[[#This Row],[Fin]]-H_Avr[[#This Row],[début]],1)-MOD(H_Avr[[#This Row],[PNP Fin]]-H_Avr[[#This Row],[PNP Début]],1))*24</f>
        <v>0</v>
      </c>
      <c r="K28" s="109" t="str">
        <f>IFERROR(VLOOKUP(H_Avr[[#This Row],[Service]],Codes[],4,0),"")</f>
        <v/>
      </c>
      <c r="L28" s="49">
        <f>IF(H_Avr[[#This Row],[PNP Début]]=0,0,IF(H_Avr[[#This Row],[PNP Début]]&lt;H_Avr[[#This Row],[début]],1,0)+H_Avr[[#This Row],[PNP Début]])</f>
        <v>0</v>
      </c>
      <c r="M28" s="50">
        <f>IF(H_Avr[[#This Row],[PNP Fin]]=0,0,IF(H_Avr[[#This Row],[PNP Fin]]&lt;H_Avr[[#This Row],[début]],1,0)+H_Avr[[#This Row],[PNP Fin]])</f>
        <v>0</v>
      </c>
      <c r="N28" s="50">
        <f>IF(H_Avr[[#This Row],[Fin]]&lt;H_Avr[[#This Row],[début]],1,0)+H_Avr[[#This Row],[Fin]]</f>
        <v>0</v>
      </c>
      <c r="O2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9" spans="1:26" x14ac:dyDescent="0.3">
      <c r="A29" s="4"/>
      <c r="B29" s="1"/>
      <c r="C29" s="2"/>
      <c r="D29" s="2"/>
      <c r="E29" s="3"/>
      <c r="F29" s="3"/>
      <c r="G29" s="3"/>
      <c r="H29" s="3"/>
      <c r="I29" s="47">
        <f>0.1*(H_Avr[[#This Row],[Heures de nuit]]+IF(H_Avr[[#This Row],[majoration dim &amp; JF]]="non",0,H_Avr[[#This Row],[heures jour dimanche]]+H_Avr[[#This Row],[heures jour fériés]]))</f>
        <v>0</v>
      </c>
      <c r="J29" s="29">
        <f>(MOD(H_Avr[[#This Row],[Fin]]-H_Avr[[#This Row],[début]],1)-MOD(H_Avr[[#This Row],[PNP Fin]]-H_Avr[[#This Row],[PNP Début]],1))*24</f>
        <v>0</v>
      </c>
      <c r="K29" s="109" t="str">
        <f>IFERROR(VLOOKUP(H_Avr[[#This Row],[Service]],Codes[],4,0),"")</f>
        <v/>
      </c>
      <c r="L29" s="49">
        <f>IF(H_Avr[[#This Row],[PNP Début]]=0,0,IF(H_Avr[[#This Row],[PNP Début]]&lt;H_Avr[[#This Row],[début]],1,0)+H_Avr[[#This Row],[PNP Début]])</f>
        <v>0</v>
      </c>
      <c r="M29" s="50">
        <f>IF(H_Avr[[#This Row],[PNP Fin]]=0,0,IF(H_Avr[[#This Row],[PNP Fin]]&lt;H_Avr[[#This Row],[début]],1,0)+H_Avr[[#This Row],[PNP Fin]])</f>
        <v>0</v>
      </c>
      <c r="N29" s="50">
        <f>IF(H_Avr[[#This Row],[Fin]]&lt;H_Avr[[#This Row],[début]],1,0)+H_Avr[[#This Row],[Fin]]</f>
        <v>0</v>
      </c>
      <c r="O2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0" spans="1:26" x14ac:dyDescent="0.3">
      <c r="A30" s="4"/>
      <c r="B30" s="1"/>
      <c r="C30" s="2"/>
      <c r="D30" s="2"/>
      <c r="E30" s="3"/>
      <c r="F30" s="3"/>
      <c r="G30" s="10"/>
      <c r="H30" s="10"/>
      <c r="I30" s="47">
        <f>0.1*(H_Avr[[#This Row],[Heures de nuit]]+IF(H_Avr[[#This Row],[majoration dim &amp; JF]]="non",0,H_Avr[[#This Row],[heures jour dimanche]]+H_Avr[[#This Row],[heures jour fériés]]))</f>
        <v>0</v>
      </c>
      <c r="J30" s="29">
        <f>(MOD(H_Avr[[#This Row],[Fin]]-H_Avr[[#This Row],[début]],1)-MOD(H_Avr[[#This Row],[PNP Fin]]-H_Avr[[#This Row],[PNP Début]],1))*24</f>
        <v>0</v>
      </c>
      <c r="K30" s="109" t="str">
        <f>IFERROR(VLOOKUP(H_Avr[[#This Row],[Service]],Codes[],4,0),"")</f>
        <v/>
      </c>
      <c r="L30" s="49">
        <f>IF(H_Avr[[#This Row],[PNP Début]]=0,0,IF(H_Avr[[#This Row],[PNP Début]]&lt;H_Avr[[#This Row],[début]],1,0)+H_Avr[[#This Row],[PNP Début]])</f>
        <v>0</v>
      </c>
      <c r="M30" s="50">
        <f>IF(H_Avr[[#This Row],[PNP Fin]]=0,0,IF(H_Avr[[#This Row],[PNP Fin]]&lt;H_Avr[[#This Row],[début]],1,0)+H_Avr[[#This Row],[PNP Fin]])</f>
        <v>0</v>
      </c>
      <c r="N30" s="50">
        <f>IF(H_Avr[[#This Row],[Fin]]&lt;H_Avr[[#This Row],[début]],1,0)+H_Avr[[#This Row],[Fin]]</f>
        <v>0</v>
      </c>
      <c r="O3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0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1" spans="1:26" x14ac:dyDescent="0.3">
      <c r="A31" s="4"/>
      <c r="B31" s="1"/>
      <c r="C31" s="2"/>
      <c r="D31" s="2"/>
      <c r="E31" s="3"/>
      <c r="F31" s="3"/>
      <c r="G31" s="10"/>
      <c r="H31" s="10"/>
      <c r="I31" s="47">
        <f>0.1*(H_Avr[[#This Row],[Heures de nuit]]+IF(H_Avr[[#This Row],[majoration dim &amp; JF]]="non",0,H_Avr[[#This Row],[heures jour dimanche]]+H_Avr[[#This Row],[heures jour fériés]]))</f>
        <v>0</v>
      </c>
      <c r="J31" s="29">
        <f>(MOD(H_Avr[[#This Row],[Fin]]-H_Avr[[#This Row],[début]],1)-MOD(H_Avr[[#This Row],[PNP Fin]]-H_Avr[[#This Row],[PNP Début]],1))*24</f>
        <v>0</v>
      </c>
      <c r="K31" s="109" t="str">
        <f>IFERROR(VLOOKUP(H_Avr[[#This Row],[Service]],Codes[],4,0),"")</f>
        <v/>
      </c>
      <c r="L31" s="49">
        <f>IF(H_Avr[[#This Row],[PNP Début]]=0,0,IF(H_Avr[[#This Row],[PNP Début]]&lt;H_Avr[[#This Row],[début]],1,0)+H_Avr[[#This Row],[PNP Début]])</f>
        <v>0</v>
      </c>
      <c r="M31" s="50">
        <f>IF(H_Avr[[#This Row],[PNP Fin]]=0,0,IF(H_Avr[[#This Row],[PNP Fin]]&lt;H_Avr[[#This Row],[début]],1,0)+H_Avr[[#This Row],[PNP Fin]])</f>
        <v>0</v>
      </c>
      <c r="N31" s="50">
        <f>IF(H_Avr[[#This Row],[Fin]]&lt;H_Avr[[#This Row],[début]],1,0)+H_Avr[[#This Row],[Fin]]</f>
        <v>0</v>
      </c>
      <c r="O3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1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2" spans="1:26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0.1*(H_Avr[[#This Row],[Heures de nuit]]+IF(H_Avr[[#This Row],[majoration dim &amp; JF]]="non",0,H_Avr[[#This Row],[heures jour dimanche]]+H_Avr[[#This Row],[heures jour fériés]]))</f>
        <v>0</v>
      </c>
      <c r="J32" s="29">
        <f>(MOD(H_Avr[[#This Row],[Fin]]-H_Avr[[#This Row],[début]],1)-MOD(H_Avr[[#This Row],[PNP Fin]]-H_Avr[[#This Row],[PNP Début]],1))*24</f>
        <v>0</v>
      </c>
      <c r="K32" s="109" t="str">
        <f>IFERROR(VLOOKUP(H_Avr[[#This Row],[Service]],Codes[],4,0),"")</f>
        <v/>
      </c>
      <c r="L32" s="49">
        <f>IF(H_Avr[[#This Row],[PNP Début]]=0,0,IF(H_Avr[[#This Row],[PNP Début]]&lt;H_Avr[[#This Row],[début]],1,0)+H_Avr[[#This Row],[PNP Début]])</f>
        <v>0</v>
      </c>
      <c r="M32" s="50">
        <f>IF(H_Avr[[#This Row],[PNP Fin]]=0,0,IF(H_Avr[[#This Row],[PNP Fin]]&lt;H_Avr[[#This Row],[début]],1,0)+H_Avr[[#This Row],[PNP Fin]])</f>
        <v>0</v>
      </c>
      <c r="N32" s="50">
        <f>IF(H_Avr[[#This Row],[Fin]]&lt;H_Avr[[#This Row],[début]],1,0)+H_Avr[[#This Row],[Fin]]</f>
        <v>0</v>
      </c>
      <c r="O3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0.1*(H_Avr[[#This Row],[Heures de nuit]]+IF(H_Avr[[#This Row],[majoration dim &amp; JF]]="non",0,H_Avr[[#This Row],[heures jour dimanche]]+H_Avr[[#This Row],[heures jour fériés]]))</f>
        <v>0</v>
      </c>
      <c r="J33" s="29">
        <f>(MOD(H_Avr[[#This Row],[Fin]]-H_Avr[[#This Row],[début]],1)-MOD(H_Avr[[#This Row],[PNP Fin]]-H_Avr[[#This Row],[PNP Début]],1))*24</f>
        <v>0</v>
      </c>
      <c r="K33" s="109" t="str">
        <f>IFERROR(VLOOKUP(H_Avr[[#This Row],[Service]],Codes[],4,0),"")</f>
        <v/>
      </c>
      <c r="L33" s="49">
        <f>IF(H_Avr[[#This Row],[PNP Début]]=0,0,IF(H_Avr[[#This Row],[PNP Début]]&lt;H_Avr[[#This Row],[début]],1,0)+H_Avr[[#This Row],[PNP Début]])</f>
        <v>0</v>
      </c>
      <c r="M33" s="50">
        <f>IF(H_Avr[[#This Row],[PNP Fin]]=0,0,IF(H_Avr[[#This Row],[PNP Fin]]&lt;H_Avr[[#This Row],[début]],1,0)+H_Avr[[#This Row],[PNP Fin]])</f>
        <v>0</v>
      </c>
      <c r="N33" s="50">
        <f>IF(H_Avr[[#This Row],[Fin]]&lt;H_Avr[[#This Row],[début]],1,0)+H_Avr[[#This Row],[Fin]]</f>
        <v>0</v>
      </c>
      <c r="O3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0.1*(H_Avr[[#This Row],[Heures de nuit]]+IF(H_Avr[[#This Row],[majoration dim &amp; JF]]="non",0,H_Avr[[#This Row],[heures jour dimanche]]+H_Avr[[#This Row],[heures jour fériés]]))</f>
        <v>0</v>
      </c>
      <c r="J34" s="29">
        <f>(MOD(H_Avr[[#This Row],[Fin]]-H_Avr[[#This Row],[début]],1)-MOD(H_Avr[[#This Row],[PNP Fin]]-H_Avr[[#This Row],[PNP Début]],1))*24</f>
        <v>0</v>
      </c>
      <c r="K34" s="109" t="str">
        <f>IFERROR(VLOOKUP(H_Avr[[#This Row],[Service]],Codes[],4,0),"")</f>
        <v/>
      </c>
      <c r="L34" s="49">
        <f>IF(H_Avr[[#This Row],[PNP Début]]=0,0,IF(H_Avr[[#This Row],[PNP Début]]&lt;H_Avr[[#This Row],[début]],1,0)+H_Avr[[#This Row],[PNP Début]])</f>
        <v>0</v>
      </c>
      <c r="M34" s="50">
        <f>IF(H_Avr[[#This Row],[PNP Fin]]=0,0,IF(H_Avr[[#This Row],[PNP Fin]]&lt;H_Avr[[#This Row],[début]],1,0)+H_Avr[[#This Row],[PNP Fin]])</f>
        <v>0</v>
      </c>
      <c r="N34" s="50">
        <f>IF(H_Avr[[#This Row],[Fin]]&lt;H_Avr[[#This Row],[début]],1,0)+H_Avr[[#This Row],[Fin]]</f>
        <v>0</v>
      </c>
      <c r="O3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0.1*(H_Avr[[#This Row],[Heures de nuit]]+IF(H_Avr[[#This Row],[majoration dim &amp; JF]]="non",0,H_Avr[[#This Row],[heures jour dimanche]]+H_Avr[[#This Row],[heures jour fériés]]))</f>
        <v>0</v>
      </c>
      <c r="J35" s="29">
        <f>(MOD(H_Avr[[#This Row],[Fin]]-H_Avr[[#This Row],[début]],1)-MOD(H_Avr[[#This Row],[PNP Fin]]-H_Avr[[#This Row],[PNP Début]],1))*24</f>
        <v>0</v>
      </c>
      <c r="K35" s="109" t="str">
        <f>IFERROR(VLOOKUP(H_Avr[[#This Row],[Service]],Codes[],4,0),"")</f>
        <v/>
      </c>
      <c r="L35" s="49">
        <f>IF(H_Avr[[#This Row],[PNP Début]]=0,0,IF(H_Avr[[#This Row],[PNP Début]]&lt;H_Avr[[#This Row],[début]],1,0)+H_Avr[[#This Row],[PNP Début]])</f>
        <v>0</v>
      </c>
      <c r="M35" s="50">
        <f>IF(H_Avr[[#This Row],[PNP Fin]]=0,0,IF(H_Avr[[#This Row],[PNP Fin]]&lt;H_Avr[[#This Row],[début]],1,0)+H_Avr[[#This Row],[PNP Fin]])</f>
        <v>0</v>
      </c>
      <c r="N35" s="50">
        <f>IF(H_Avr[[#This Row],[Fin]]&lt;H_Avr[[#This Row],[début]],1,0)+H_Avr[[#This Row],[Fin]]</f>
        <v>0</v>
      </c>
      <c r="O3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0.1*(H_Avr[[#This Row],[Heures de nuit]]+IF(H_Avr[[#This Row],[majoration dim &amp; JF]]="non",0,H_Avr[[#This Row],[heures jour dimanche]]+H_Avr[[#This Row],[heures jour fériés]]))</f>
        <v>0</v>
      </c>
      <c r="J36" s="29">
        <f>(MOD(H_Avr[[#This Row],[Fin]]-H_Avr[[#This Row],[début]],1)-MOD(H_Avr[[#This Row],[PNP Fin]]-H_Avr[[#This Row],[PNP Début]],1))*24</f>
        <v>0</v>
      </c>
      <c r="K36" s="109" t="str">
        <f>IFERROR(VLOOKUP(H_Avr[[#This Row],[Service]],Codes[],4,0),"")</f>
        <v/>
      </c>
      <c r="L36" s="49">
        <f>IF(H_Avr[[#This Row],[PNP Début]]=0,0,IF(H_Avr[[#This Row],[PNP Début]]&lt;H_Avr[[#This Row],[début]],1,0)+H_Avr[[#This Row],[PNP Début]])</f>
        <v>0</v>
      </c>
      <c r="M36" s="50">
        <f>IF(H_Avr[[#This Row],[PNP Fin]]=0,0,IF(H_Avr[[#This Row],[PNP Fin]]&lt;H_Avr[[#This Row],[début]],1,0)+H_Avr[[#This Row],[PNP Fin]])</f>
        <v>0</v>
      </c>
      <c r="N36" s="50">
        <f>IF(H_Avr[[#This Row],[Fin]]&lt;H_Avr[[#This Row],[début]],1,0)+H_Avr[[#This Row],[Fin]]</f>
        <v>0</v>
      </c>
      <c r="O3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0.1*(H_Avr[[#This Row],[Heures de nuit]]+IF(H_Avr[[#This Row],[majoration dim &amp; JF]]="non",0,H_Avr[[#This Row],[heures jour dimanche]]+H_Avr[[#This Row],[heures jour fériés]]))</f>
        <v>0</v>
      </c>
      <c r="J37" s="29">
        <f>(MOD(H_Avr[[#This Row],[Fin]]-H_Avr[[#This Row],[début]],1)-MOD(H_Avr[[#This Row],[PNP Fin]]-H_Avr[[#This Row],[PNP Début]],1))*24</f>
        <v>0</v>
      </c>
      <c r="K37" s="109" t="str">
        <f>IFERROR(VLOOKUP(H_Avr[[#This Row],[Service]],Codes[],4,0),"")</f>
        <v/>
      </c>
      <c r="L37" s="49">
        <f>IF(H_Avr[[#This Row],[PNP Début]]=0,0,IF(H_Avr[[#This Row],[PNP Début]]&lt;H_Avr[[#This Row],[début]],1,0)+H_Avr[[#This Row],[PNP Début]])</f>
        <v>0</v>
      </c>
      <c r="M37" s="50">
        <f>IF(H_Avr[[#This Row],[PNP Fin]]=0,0,IF(H_Avr[[#This Row],[PNP Fin]]&lt;H_Avr[[#This Row],[début]],1,0)+H_Avr[[#This Row],[PNP Fin]])</f>
        <v>0</v>
      </c>
      <c r="N37" s="50">
        <f>IF(H_Avr[[#This Row],[Fin]]&lt;H_Avr[[#This Row],[début]],1,0)+H_Avr[[#This Row],[Fin]]</f>
        <v>0</v>
      </c>
      <c r="O3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0.1*(H_Avr[[#This Row],[Heures de nuit]]+IF(H_Avr[[#This Row],[majoration dim &amp; JF]]="non",0,H_Avr[[#This Row],[heures jour dimanche]]+H_Avr[[#This Row],[heures jour fériés]]))</f>
        <v>0</v>
      </c>
      <c r="J38" s="29">
        <f>(MOD(H_Avr[[#This Row],[Fin]]-H_Avr[[#This Row],[début]],1)-MOD(H_Avr[[#This Row],[PNP Fin]]-H_Avr[[#This Row],[PNP Début]],1))*24</f>
        <v>0</v>
      </c>
      <c r="K38" s="109" t="str">
        <f>IFERROR(VLOOKUP(H_Avr[[#This Row],[Service]],Codes[],4,0),"")</f>
        <v/>
      </c>
      <c r="L38" s="49">
        <f>IF(H_Avr[[#This Row],[PNP Début]]=0,0,IF(H_Avr[[#This Row],[PNP Début]]&lt;H_Avr[[#This Row],[début]],1,0)+H_Avr[[#This Row],[PNP Début]])</f>
        <v>0</v>
      </c>
      <c r="M38" s="50">
        <f>IF(H_Avr[[#This Row],[PNP Fin]]=0,0,IF(H_Avr[[#This Row],[PNP Fin]]&lt;H_Avr[[#This Row],[début]],1,0)+H_Avr[[#This Row],[PNP Fin]])</f>
        <v>0</v>
      </c>
      <c r="N38" s="50">
        <f>IF(H_Avr[[#This Row],[Fin]]&lt;H_Avr[[#This Row],[début]],1,0)+H_Avr[[#This Row],[Fin]]</f>
        <v>0</v>
      </c>
      <c r="O3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0.1*(H_Avr[[#This Row],[Heures de nuit]]+IF(H_Avr[[#This Row],[majoration dim &amp; JF]]="non",0,H_Avr[[#This Row],[heures jour dimanche]]+H_Avr[[#This Row],[heures jour fériés]]))</f>
        <v>0</v>
      </c>
      <c r="J39" s="29">
        <f>(MOD(H_Avr[[#This Row],[Fin]]-H_Avr[[#This Row],[début]],1)-MOD(H_Avr[[#This Row],[PNP Fin]]-H_Avr[[#This Row],[PNP Début]],1))*24</f>
        <v>0</v>
      </c>
      <c r="K39" s="109" t="str">
        <f>IFERROR(VLOOKUP(H_Avr[[#This Row],[Service]],Codes[],4,0),"")</f>
        <v/>
      </c>
      <c r="L39" s="49">
        <f>IF(H_Avr[[#This Row],[PNP Début]]=0,0,IF(H_Avr[[#This Row],[PNP Début]]&lt;H_Avr[[#This Row],[début]],1,0)+H_Avr[[#This Row],[PNP Début]])</f>
        <v>0</v>
      </c>
      <c r="M39" s="50">
        <f>IF(H_Avr[[#This Row],[PNP Fin]]=0,0,IF(H_Avr[[#This Row],[PNP Fin]]&lt;H_Avr[[#This Row],[début]],1,0)+H_Avr[[#This Row],[PNP Fin]])</f>
        <v>0</v>
      </c>
      <c r="N39" s="50">
        <f>IF(H_Avr[[#This Row],[Fin]]&lt;H_Avr[[#This Row],[début]],1,0)+H_Avr[[#This Row],[Fin]]</f>
        <v>0</v>
      </c>
      <c r="O3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0.1*(H_Avr[[#This Row],[Heures de nuit]]+IF(H_Avr[[#This Row],[majoration dim &amp; JF]]="non",0,H_Avr[[#This Row],[heures jour dimanche]]+H_Avr[[#This Row],[heures jour fériés]]))</f>
        <v>0</v>
      </c>
      <c r="J40" s="29">
        <f>(MOD(H_Avr[[#This Row],[Fin]]-H_Avr[[#This Row],[début]],1)-MOD(H_Avr[[#This Row],[PNP Fin]]-H_Avr[[#This Row],[PNP Début]],1))*24</f>
        <v>0</v>
      </c>
      <c r="K40" s="109" t="str">
        <f>IFERROR(VLOOKUP(H_Avr[[#This Row],[Service]],Codes[],4,0),"")</f>
        <v/>
      </c>
      <c r="L40" s="49">
        <f>IF(H_Avr[[#This Row],[PNP Début]]=0,0,IF(H_Avr[[#This Row],[PNP Début]]&lt;H_Avr[[#This Row],[début]],1,0)+H_Avr[[#This Row],[PNP Début]])</f>
        <v>0</v>
      </c>
      <c r="M40" s="50">
        <f>IF(H_Avr[[#This Row],[PNP Fin]]=0,0,IF(H_Avr[[#This Row],[PNP Fin]]&lt;H_Avr[[#This Row],[début]],1,0)+H_Avr[[#This Row],[PNP Fin]])</f>
        <v>0</v>
      </c>
      <c r="N40" s="50">
        <f>IF(H_Avr[[#This Row],[Fin]]&lt;H_Avr[[#This Row],[début]],1,0)+H_Avr[[#This Row],[Fin]]</f>
        <v>0</v>
      </c>
      <c r="O4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0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0.1*(H_Avr[[#This Row],[Heures de nuit]]+IF(H_Avr[[#This Row],[majoration dim &amp; JF]]="non",0,H_Avr[[#This Row],[heures jour dimanche]]+H_Avr[[#This Row],[heures jour fériés]]))</f>
        <v>0</v>
      </c>
      <c r="J41" s="29">
        <f>(MOD(H_Avr[[#This Row],[Fin]]-H_Avr[[#This Row],[début]],1)-MOD(H_Avr[[#This Row],[PNP Fin]]-H_Avr[[#This Row],[PNP Début]],1))*24</f>
        <v>0</v>
      </c>
      <c r="K41" s="109" t="str">
        <f>IFERROR(VLOOKUP(H_Avr[[#This Row],[Service]],Codes[],4,0),"")</f>
        <v/>
      </c>
      <c r="L41" s="49">
        <f>IF(H_Avr[[#This Row],[PNP Début]]=0,0,IF(H_Avr[[#This Row],[PNP Début]]&lt;H_Avr[[#This Row],[début]],1,0)+H_Avr[[#This Row],[PNP Début]])</f>
        <v>0</v>
      </c>
      <c r="M41" s="50">
        <f>IF(H_Avr[[#This Row],[PNP Fin]]=0,0,IF(H_Avr[[#This Row],[PNP Fin]]&lt;H_Avr[[#This Row],[début]],1,0)+H_Avr[[#This Row],[PNP Fin]])</f>
        <v>0</v>
      </c>
      <c r="N41" s="50">
        <f>IF(H_Avr[[#This Row],[Fin]]&lt;H_Avr[[#This Row],[début]],1,0)+H_Avr[[#This Row],[Fin]]</f>
        <v>0</v>
      </c>
      <c r="O4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1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0.1*(H_Avr[[#This Row],[Heures de nuit]]+IF(H_Avr[[#This Row],[majoration dim &amp; JF]]="non",0,H_Avr[[#This Row],[heures jour dimanche]]+H_Avr[[#This Row],[heures jour fériés]]))</f>
        <v>0</v>
      </c>
      <c r="J42" s="29">
        <f>(MOD(H_Avr[[#This Row],[Fin]]-H_Avr[[#This Row],[début]],1)-MOD(H_Avr[[#This Row],[PNP Fin]]-H_Avr[[#This Row],[PNP Début]],1))*24</f>
        <v>0</v>
      </c>
      <c r="K42" s="109" t="str">
        <f>IFERROR(VLOOKUP(H_Avr[[#This Row],[Service]],Codes[],4,0),"")</f>
        <v/>
      </c>
      <c r="L42" s="49">
        <f>IF(H_Avr[[#This Row],[PNP Début]]=0,0,IF(H_Avr[[#This Row],[PNP Début]]&lt;H_Avr[[#This Row],[début]],1,0)+H_Avr[[#This Row],[PNP Début]])</f>
        <v>0</v>
      </c>
      <c r="M42" s="50">
        <f>IF(H_Avr[[#This Row],[PNP Fin]]=0,0,IF(H_Avr[[#This Row],[PNP Fin]]&lt;H_Avr[[#This Row],[début]],1,0)+H_Avr[[#This Row],[PNP Fin]])</f>
        <v>0</v>
      </c>
      <c r="N42" s="50">
        <f>IF(H_Avr[[#This Row],[Fin]]&lt;H_Avr[[#This Row],[début]],1,0)+H_Avr[[#This Row],[Fin]]</f>
        <v>0</v>
      </c>
      <c r="O4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0.1*(H_Avr[[#This Row],[Heures de nuit]]+IF(H_Avr[[#This Row],[majoration dim &amp; JF]]="non",0,H_Avr[[#This Row],[heures jour dimanche]]+H_Avr[[#This Row],[heures jour fériés]]))</f>
        <v>0</v>
      </c>
      <c r="J43" s="29">
        <f>(MOD(H_Avr[[#This Row],[Fin]]-H_Avr[[#This Row],[début]],1)-MOD(H_Avr[[#This Row],[PNP Fin]]-H_Avr[[#This Row],[PNP Début]],1))*24</f>
        <v>0</v>
      </c>
      <c r="K43" s="109" t="str">
        <f>IFERROR(VLOOKUP(H_Avr[[#This Row],[Service]],Codes[],4,0),"")</f>
        <v/>
      </c>
      <c r="L43" s="49">
        <f>IF(H_Avr[[#This Row],[PNP Début]]=0,0,IF(H_Avr[[#This Row],[PNP Début]]&lt;H_Avr[[#This Row],[début]],1,0)+H_Avr[[#This Row],[PNP Début]])</f>
        <v>0</v>
      </c>
      <c r="M43" s="50">
        <f>IF(H_Avr[[#This Row],[PNP Fin]]=0,0,IF(H_Avr[[#This Row],[PNP Fin]]&lt;H_Avr[[#This Row],[début]],1,0)+H_Avr[[#This Row],[PNP Fin]])</f>
        <v>0</v>
      </c>
      <c r="N43" s="50">
        <f>IF(H_Avr[[#This Row],[Fin]]&lt;H_Avr[[#This Row],[début]],1,0)+H_Avr[[#This Row],[Fin]]</f>
        <v>0</v>
      </c>
      <c r="O4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0.1*(H_Avr[[#This Row],[Heures de nuit]]+IF(H_Avr[[#This Row],[majoration dim &amp; JF]]="non",0,H_Avr[[#This Row],[heures jour dimanche]]+H_Avr[[#This Row],[heures jour fériés]]))</f>
        <v>0</v>
      </c>
      <c r="J44" s="29">
        <f>(MOD(H_Avr[[#This Row],[Fin]]-H_Avr[[#This Row],[début]],1)-MOD(H_Avr[[#This Row],[PNP Fin]]-H_Avr[[#This Row],[PNP Début]],1))*24</f>
        <v>0</v>
      </c>
      <c r="K44" s="109" t="str">
        <f>IFERROR(VLOOKUP(H_Avr[[#This Row],[Service]],Codes[],4,0),"")</f>
        <v/>
      </c>
      <c r="L44" s="49">
        <f>IF(H_Avr[[#This Row],[PNP Début]]=0,0,IF(H_Avr[[#This Row],[PNP Début]]&lt;H_Avr[[#This Row],[début]],1,0)+H_Avr[[#This Row],[PNP Début]])</f>
        <v>0</v>
      </c>
      <c r="M44" s="50">
        <f>IF(H_Avr[[#This Row],[PNP Fin]]=0,0,IF(H_Avr[[#This Row],[PNP Fin]]&lt;H_Avr[[#This Row],[début]],1,0)+H_Avr[[#This Row],[PNP Fin]])</f>
        <v>0</v>
      </c>
      <c r="N44" s="50">
        <f>IF(H_Avr[[#This Row],[Fin]]&lt;H_Avr[[#This Row],[début]],1,0)+H_Avr[[#This Row],[Fin]]</f>
        <v>0</v>
      </c>
      <c r="O4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0.1*(H_Avr[[#This Row],[Heures de nuit]]+IF(H_Avr[[#This Row],[majoration dim &amp; JF]]="non",0,H_Avr[[#This Row],[heures jour dimanche]]+H_Avr[[#This Row],[heures jour fériés]]))</f>
        <v>0</v>
      </c>
      <c r="J45" s="29">
        <f>(MOD(H_Avr[[#This Row],[Fin]]-H_Avr[[#This Row],[début]],1)-MOD(H_Avr[[#This Row],[PNP Fin]]-H_Avr[[#This Row],[PNP Début]],1))*24</f>
        <v>0</v>
      </c>
      <c r="K45" s="109" t="str">
        <f>IFERROR(VLOOKUP(H_Avr[[#This Row],[Service]],Codes[],4,0),"")</f>
        <v/>
      </c>
      <c r="L45" s="49">
        <f>IF(H_Avr[[#This Row],[PNP Début]]=0,0,IF(H_Avr[[#This Row],[PNP Début]]&lt;H_Avr[[#This Row],[début]],1,0)+H_Avr[[#This Row],[PNP Début]])</f>
        <v>0</v>
      </c>
      <c r="M45" s="50">
        <f>IF(H_Avr[[#This Row],[PNP Fin]]=0,0,IF(H_Avr[[#This Row],[PNP Fin]]&lt;H_Avr[[#This Row],[début]],1,0)+H_Avr[[#This Row],[PNP Fin]])</f>
        <v>0</v>
      </c>
      <c r="N45" s="50">
        <f>IF(H_Avr[[#This Row],[Fin]]&lt;H_Avr[[#This Row],[début]],1,0)+H_Avr[[#This Row],[Fin]]</f>
        <v>0</v>
      </c>
      <c r="O4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0.1*(H_Avr[[#This Row],[Heures de nuit]]+IF(H_Avr[[#This Row],[majoration dim &amp; JF]]="non",0,H_Avr[[#This Row],[heures jour dimanche]]+H_Avr[[#This Row],[heures jour fériés]]))</f>
        <v>0</v>
      </c>
      <c r="J46" s="29">
        <f>(MOD(H_Avr[[#This Row],[Fin]]-H_Avr[[#This Row],[début]],1)-MOD(H_Avr[[#This Row],[PNP Fin]]-H_Avr[[#This Row],[PNP Début]],1))*24</f>
        <v>0</v>
      </c>
      <c r="K46" s="109" t="str">
        <f>IFERROR(VLOOKUP(H_Avr[[#This Row],[Service]],Codes[],4,0),"")</f>
        <v/>
      </c>
      <c r="L46" s="49">
        <f>IF(H_Avr[[#This Row],[PNP Début]]=0,0,IF(H_Avr[[#This Row],[PNP Début]]&lt;H_Avr[[#This Row],[début]],1,0)+H_Avr[[#This Row],[PNP Début]])</f>
        <v>0</v>
      </c>
      <c r="M46" s="50">
        <f>IF(H_Avr[[#This Row],[PNP Fin]]=0,0,IF(H_Avr[[#This Row],[PNP Fin]]&lt;H_Avr[[#This Row],[début]],1,0)+H_Avr[[#This Row],[PNP Fin]])</f>
        <v>0</v>
      </c>
      <c r="N46" s="50">
        <f>IF(H_Avr[[#This Row],[Fin]]&lt;H_Avr[[#This Row],[début]],1,0)+H_Avr[[#This Row],[Fin]]</f>
        <v>0</v>
      </c>
      <c r="O4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0.1*(H_Avr[[#This Row],[Heures de nuit]]+IF(H_Avr[[#This Row],[majoration dim &amp; JF]]="non",0,H_Avr[[#This Row],[heures jour dimanche]]+H_Avr[[#This Row],[heures jour fériés]]))</f>
        <v>0</v>
      </c>
      <c r="J47" s="29">
        <f>(MOD(H_Avr[[#This Row],[Fin]]-H_Avr[[#This Row],[début]],1)-MOD(H_Avr[[#This Row],[PNP Fin]]-H_Avr[[#This Row],[PNP Début]],1))*24</f>
        <v>0</v>
      </c>
      <c r="K47" s="109" t="str">
        <f>IFERROR(VLOOKUP(H_Avr[[#This Row],[Service]],Codes[],4,0),"")</f>
        <v/>
      </c>
      <c r="L47" s="49">
        <f>IF(H_Avr[[#This Row],[PNP Début]]=0,0,IF(H_Avr[[#This Row],[PNP Début]]&lt;H_Avr[[#This Row],[début]],1,0)+H_Avr[[#This Row],[PNP Début]])</f>
        <v>0</v>
      </c>
      <c r="M47" s="50">
        <f>IF(H_Avr[[#This Row],[PNP Fin]]=0,0,IF(H_Avr[[#This Row],[PNP Fin]]&lt;H_Avr[[#This Row],[début]],1,0)+H_Avr[[#This Row],[PNP Fin]])</f>
        <v>0</v>
      </c>
      <c r="N47" s="50">
        <f>IF(H_Avr[[#This Row],[Fin]]&lt;H_Avr[[#This Row],[début]],1,0)+H_Avr[[#This Row],[Fin]]</f>
        <v>0</v>
      </c>
      <c r="O4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0.1*(H_Avr[[#This Row],[Heures de nuit]]+IF(H_Avr[[#This Row],[majoration dim &amp; JF]]="non",0,H_Avr[[#This Row],[heures jour dimanche]]+H_Avr[[#This Row],[heures jour fériés]]))</f>
        <v>0</v>
      </c>
      <c r="J48" s="29">
        <f>(MOD(H_Avr[[#This Row],[Fin]]-H_Avr[[#This Row],[début]],1)-MOD(H_Avr[[#This Row],[PNP Fin]]-H_Avr[[#This Row],[PNP Début]],1))*24</f>
        <v>0</v>
      </c>
      <c r="K48" s="109" t="str">
        <f>IFERROR(VLOOKUP(H_Avr[[#This Row],[Service]],Codes[],4,0),"")</f>
        <v/>
      </c>
      <c r="L48" s="49">
        <f>IF(H_Avr[[#This Row],[PNP Début]]=0,0,IF(H_Avr[[#This Row],[PNP Début]]&lt;H_Avr[[#This Row],[début]],1,0)+H_Avr[[#This Row],[PNP Début]])</f>
        <v>0</v>
      </c>
      <c r="M48" s="50">
        <f>IF(H_Avr[[#This Row],[PNP Fin]]=0,0,IF(H_Avr[[#This Row],[PNP Fin]]&lt;H_Avr[[#This Row],[début]],1,0)+H_Avr[[#This Row],[PNP Fin]])</f>
        <v>0</v>
      </c>
      <c r="N48" s="50">
        <f>IF(H_Avr[[#This Row],[Fin]]&lt;H_Avr[[#This Row],[début]],1,0)+H_Avr[[#This Row],[Fin]]</f>
        <v>0</v>
      </c>
      <c r="O4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0.1*(H_Avr[[#This Row],[Heures de nuit]]+IF(H_Avr[[#This Row],[majoration dim &amp; JF]]="non",0,H_Avr[[#This Row],[heures jour dimanche]]+H_Avr[[#This Row],[heures jour fériés]]))</f>
        <v>0</v>
      </c>
      <c r="J49" s="29">
        <f>(MOD(H_Avr[[#This Row],[Fin]]-H_Avr[[#This Row],[début]],1)-MOD(H_Avr[[#This Row],[PNP Fin]]-H_Avr[[#This Row],[PNP Début]],1))*24</f>
        <v>0</v>
      </c>
      <c r="K49" s="109" t="str">
        <f>IFERROR(VLOOKUP(H_Avr[[#This Row],[Service]],Codes[],4,0),"")</f>
        <v/>
      </c>
      <c r="L49" s="49">
        <f>IF(H_Avr[[#This Row],[PNP Début]]=0,0,IF(H_Avr[[#This Row],[PNP Début]]&lt;H_Avr[[#This Row],[début]],1,0)+H_Avr[[#This Row],[PNP Début]])</f>
        <v>0</v>
      </c>
      <c r="M49" s="50">
        <f>IF(H_Avr[[#This Row],[PNP Fin]]=0,0,IF(H_Avr[[#This Row],[PNP Fin]]&lt;H_Avr[[#This Row],[début]],1,0)+H_Avr[[#This Row],[PNP Fin]])</f>
        <v>0</v>
      </c>
      <c r="N49" s="50">
        <f>IF(H_Avr[[#This Row],[Fin]]&lt;H_Avr[[#This Row],[début]],1,0)+H_Avr[[#This Row],[Fin]]</f>
        <v>0</v>
      </c>
      <c r="O4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SUM(H_Avr[Majoration])</f>
        <v>0</v>
      </c>
      <c r="J50" s="54">
        <f>SUM(H_Avr[Heures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240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print="0" autoLine="0" r:id="rId5">
            <anchor moveWithCells="1">
              <from>
                <xdr:col>9</xdr:col>
                <xdr:colOff>480060</xdr:colOff>
                <xdr:row>0</xdr:row>
                <xdr:rowOff>83820</xdr:rowOff>
              </from>
              <to>
                <xdr:col>9</xdr:col>
                <xdr:colOff>1264920</xdr:colOff>
                <xdr:row>3</xdr:row>
                <xdr:rowOff>198120</xdr:rowOff>
              </to>
            </anchor>
          </controlPr>
        </control>
      </mc:Choice>
      <mc:Fallback>
        <control shapeId="716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A60"/>
  <sheetViews>
    <sheetView topLeftCell="A5" zoomScale="80" zoomScaleNormal="80" zoomScalePageLayoutView="70" workbookViewId="0">
      <selection activeCell="V19" activeCellId="2" sqref="V9:W10 V15:Z16 V19:W19"/>
    </sheetView>
  </sheetViews>
  <sheetFormatPr baseColWidth="10" defaultRowHeight="14.4" x14ac:dyDescent="0.3"/>
  <cols>
    <col min="1" max="1" width="20.21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1.5546875" customWidth="1"/>
  </cols>
  <sheetData>
    <row r="1" spans="1:27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7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7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7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7" ht="19.8" customHeight="1" x14ac:dyDescent="0.3">
      <c r="A5" s="76" t="s">
        <v>102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Mai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7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7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7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7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68"/>
      <c r="Y9" s="169"/>
      <c r="Z9" s="168"/>
      <c r="AA9" s="171"/>
    </row>
    <row r="10" spans="1:27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68"/>
      <c r="Y10" s="168"/>
      <c r="Z10" s="168"/>
      <c r="AA10" s="171"/>
    </row>
    <row r="11" spans="1:27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68"/>
      <c r="X11" s="168"/>
      <c r="Y11" s="168"/>
      <c r="Z11" s="168"/>
      <c r="AA11" s="171"/>
    </row>
    <row r="12" spans="1:27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70"/>
      <c r="X12" s="170"/>
      <c r="Y12" s="170"/>
      <c r="Z12" s="170"/>
      <c r="AA12" s="172"/>
    </row>
    <row r="13" spans="1:27" x14ac:dyDescent="0.3">
      <c r="A13" s="4"/>
      <c r="B13" s="1"/>
      <c r="C13" s="103"/>
      <c r="D13" s="103"/>
      <c r="E13" s="3"/>
      <c r="F13" s="3"/>
      <c r="G13" s="3"/>
      <c r="H13" s="3"/>
      <c r="I13" s="28">
        <f>0.1*(H_Mai[[#This Row],[Heures de nuit]]+IF(H_Mai[[#This Row],[majoration dim &amp; JF]]="non",0,H_Mai[[#This Row],[heures jour dimanche]]+H_Mai[[#This Row],[heures jour fériés]]))</f>
        <v>0</v>
      </c>
      <c r="J13" s="29">
        <f>(MOD(H_Mai[[#This Row],[Fin]]-H_Mai[[#This Row],[début]],1)-MOD(H_Mai[[#This Row],[PNP Fin]]-H_Mai[[#This Row],[PNP Début]],1))*24</f>
        <v>0</v>
      </c>
      <c r="K13" s="29" t="str">
        <f>IFERROR(VLOOKUP(H_Mai[[#This Row],[Service]],Codes[],4,0),"")</f>
        <v/>
      </c>
      <c r="L13" s="30">
        <f>IF(H_Mai[[#This Row],[PNP Début]]=0,0,IF(H_Mai[[#This Row],[PNP Début]]&lt;H_Mai[[#This Row],[début]],1,0)+H_Mai[[#This Row],[PNP Début]])</f>
        <v>0</v>
      </c>
      <c r="M13" s="30">
        <f>IF(H_Mai[[#This Row],[PNP Fin]]=0,0,IF(H_Mai[[#This Row],[PNP Fin]]&lt;H_Mai[[#This Row],[début]],1,0)+H_Mai[[#This Row],[PNP Fin]])</f>
        <v>0</v>
      </c>
      <c r="N13" s="30">
        <f>IF(H_Mai[[#This Row],[Fin]]&lt;H_Mai[[#This Row],[début]],1,0)+H_Mai[[#This Row],[Fin]]</f>
        <v>0</v>
      </c>
      <c r="O1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3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3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3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3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3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13" s="166"/>
      <c r="W13" s="168"/>
      <c r="X13" s="168"/>
      <c r="Y13" s="168"/>
      <c r="Z13" s="168"/>
      <c r="AA13" s="171"/>
    </row>
    <row r="14" spans="1:27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0.1*(H_Mai[[#This Row],[Heures de nuit]]+IF(H_Mai[[#This Row],[majoration dim &amp; JF]]="non",0,H_Mai[[#This Row],[heures jour dimanche]]+H_Mai[[#This Row],[heures jour fériés]]))</f>
        <v>0</v>
      </c>
      <c r="J14" s="29">
        <f>(MOD(H_Mai[[#This Row],[Fin]]-H_Mai[[#This Row],[début]],1)-MOD(H_Mai[[#This Row],[PNP Fin]]-H_Mai[[#This Row],[PNP Début]],1))*24</f>
        <v>0</v>
      </c>
      <c r="K14" s="29" t="str">
        <f>IFERROR(VLOOKUP(H_Mai[[#This Row],[Service]],Codes[],4,0),"")</f>
        <v/>
      </c>
      <c r="L14" s="30">
        <f>IF(H_Mai[[#This Row],[PNP Début]]=0,0,IF(H_Mai[[#This Row],[PNP Début]]&lt;H_Mai[[#This Row],[début]],1,0)+H_Mai[[#This Row],[PNP Début]])</f>
        <v>0</v>
      </c>
      <c r="M14" s="30">
        <f>IF(H_Mai[[#This Row],[PNP Fin]]=0,0,IF(H_Mai[[#This Row],[PNP Fin]]&lt;H_Mai[[#This Row],[début]],1,0)+H_Mai[[#This Row],[PNP Fin]])</f>
        <v>0</v>
      </c>
      <c r="N14" s="30">
        <f>IF(H_Mai[[#This Row],[Fin]]&lt;H_Mai[[#This Row],[début]],1,0)+H_Mai[[#This Row],[Fin]]</f>
        <v>0</v>
      </c>
      <c r="O1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4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4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4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4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4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14" s="166"/>
      <c r="W14" s="168"/>
      <c r="X14" s="168"/>
      <c r="Y14" s="168"/>
      <c r="Z14" s="168"/>
      <c r="AA14" s="171"/>
    </row>
    <row r="15" spans="1:27" x14ac:dyDescent="0.3">
      <c r="A15" s="4"/>
      <c r="B15" s="1"/>
      <c r="C15" s="2"/>
      <c r="D15" s="2"/>
      <c r="E15" s="3"/>
      <c r="F15" s="3"/>
      <c r="G15" s="3"/>
      <c r="H15" s="3"/>
      <c r="I15" s="28">
        <f>0.1*(H_Mai[[#This Row],[Heures de nuit]]+IF(H_Mai[[#This Row],[majoration dim &amp; JF]]="non",0,H_Mai[[#This Row],[heures jour dimanche]]+H_Mai[[#This Row],[heures jour fériés]]))</f>
        <v>0</v>
      </c>
      <c r="J15" s="29">
        <f>(MOD(H_Mai[[#This Row],[Fin]]-H_Mai[[#This Row],[début]],1)-MOD(H_Mai[[#This Row],[PNP Fin]]-H_Mai[[#This Row],[PNP Début]],1))*24</f>
        <v>0</v>
      </c>
      <c r="K15" s="29" t="str">
        <f>IFERROR(VLOOKUP(H_Mai[[#This Row],[Service]],Codes[],4,0),"")</f>
        <v/>
      </c>
      <c r="L15" s="30">
        <f>IF(H_Mai[[#This Row],[PNP Début]]=0,0,IF(H_Mai[[#This Row],[PNP Début]]&lt;H_Mai[[#This Row],[début]],1,0)+H_Mai[[#This Row],[PNP Début]])</f>
        <v>0</v>
      </c>
      <c r="M15" s="30">
        <f>IF(H_Mai[[#This Row],[PNP Fin]]=0,0,IF(H_Mai[[#This Row],[PNP Fin]]&lt;H_Mai[[#This Row],[début]],1,0)+H_Mai[[#This Row],[PNP Fin]])</f>
        <v>0</v>
      </c>
      <c r="N15" s="30">
        <f>IF(H_Mai[[#This Row],[Fin]]&lt;H_Mai[[#This Row],[début]],1,0)+H_Mai[[#This Row],[Fin]]</f>
        <v>0</v>
      </c>
      <c r="O1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5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5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5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5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5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  <c r="AA15" s="171"/>
    </row>
    <row r="16" spans="1:27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0.1*(H_Mai[[#This Row],[Heures de nuit]]+IF(H_Mai[[#This Row],[majoration dim &amp; JF]]="non",0,H_Mai[[#This Row],[heures jour dimanche]]+H_Mai[[#This Row],[heures jour fériés]]))</f>
        <v>0</v>
      </c>
      <c r="J16" s="33">
        <f>(MOD(H_Mai[[#This Row],[Fin]]-H_Mai[[#This Row],[début]],1)-MOD(H_Mai[[#This Row],[PNP Fin]]-H_Mai[[#This Row],[PNP Début]],1))*24</f>
        <v>0</v>
      </c>
      <c r="K16" s="33" t="str">
        <f>IFERROR(VLOOKUP(H_Mai[[#This Row],[Service]],Codes[],4,0),"")</f>
        <v/>
      </c>
      <c r="L16" s="30">
        <f>IF(H_Mai[[#This Row],[PNP Début]]=0,0,IF(H_Mai[[#This Row],[PNP Début]]&lt;H_Mai[[#This Row],[début]],1,0)+H_Mai[[#This Row],[PNP Début]])</f>
        <v>0</v>
      </c>
      <c r="M16" s="30">
        <f>IF(H_Mai[[#This Row],[PNP Fin]]=0,0,IF(H_Mai[[#This Row],[PNP Fin]]&lt;H_Mai[[#This Row],[début]],1,0)+H_Mai[[#This Row],[PNP Fin]])</f>
        <v>0</v>
      </c>
      <c r="N16" s="34">
        <f>IF(H_Mai[[#This Row],[Fin]]&lt;H_Mai[[#This Row],[début]],1,0)+H_Mai[[#This Row],[Fin]]</f>
        <v>0</v>
      </c>
      <c r="O1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6" s="35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6" s="35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6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6" s="3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6" s="3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16" s="176" t="s">
        <v>128</v>
      </c>
      <c r="W16" s="177">
        <f>'Avril 18'!Z16</f>
        <v>20.100000000000001</v>
      </c>
      <c r="X16" s="177">
        <f>I50</f>
        <v>0</v>
      </c>
      <c r="Y16" s="177"/>
      <c r="Z16" s="179">
        <f>W16+X16-Y16</f>
        <v>20.100000000000001</v>
      </c>
      <c r="AA16" s="171"/>
    </row>
    <row r="17" spans="1:27" x14ac:dyDescent="0.3">
      <c r="A17" s="4"/>
      <c r="B17" s="1"/>
      <c r="C17" s="2"/>
      <c r="D17" s="2"/>
      <c r="E17" s="3"/>
      <c r="F17" s="3"/>
      <c r="G17" s="9"/>
      <c r="H17" s="9"/>
      <c r="I17" s="37">
        <f>0.1*(H_Mai[[#This Row],[Heures de nuit]]+IF(H_Mai[[#This Row],[majoration dim &amp; JF]]="non",0,H_Mai[[#This Row],[heures jour dimanche]]+H_Mai[[#This Row],[heures jour fériés]]))</f>
        <v>0</v>
      </c>
      <c r="J17" s="38">
        <f>(MOD(H_Mai[[#This Row],[Fin]]-H_Mai[[#This Row],[début]],1)-MOD(H_Mai[[#This Row],[PNP Fin]]-H_Mai[[#This Row],[PNP Début]],1))*24</f>
        <v>0</v>
      </c>
      <c r="K17" s="112" t="str">
        <f>IFERROR(VLOOKUP(H_Mai[[#This Row],[Service]],Codes[],4,0),"")</f>
        <v/>
      </c>
      <c r="L17" s="39">
        <f>IF(H_Mai[[#This Row],[PNP Début]]=0,0,IF(H_Mai[[#This Row],[PNP Début]]&lt;H_Mai[[#This Row],[début]],1,0)+H_Mai[[#This Row],[PNP Début]])</f>
        <v>0</v>
      </c>
      <c r="M17" s="40">
        <f>IF(H_Mai[[#This Row],[PNP Fin]]=0,0,IF(H_Mai[[#This Row],[PNP Fin]]&lt;H_Mai[[#This Row],[début]],1,0)+H_Mai[[#This Row],[PNP Fin]])</f>
        <v>0</v>
      </c>
      <c r="N17" s="40">
        <f>IF(H_Mai[[#This Row],[Fin]]&lt;H_Mai[[#This Row],[début]],1,0)+H_Mai[[#This Row],[Fin]]</f>
        <v>0</v>
      </c>
      <c r="O1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7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7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7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7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7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17" s="163"/>
      <c r="W17" s="171"/>
      <c r="X17" s="171"/>
      <c r="Y17" s="171"/>
      <c r="Z17" s="171"/>
      <c r="AA17" s="171"/>
    </row>
    <row r="18" spans="1:27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0.1*(H_Mai[[#This Row],[Heures de nuit]]+IF(H_Mai[[#This Row],[majoration dim &amp; JF]]="non",0,H_Mai[[#This Row],[heures jour dimanche]]+H_Mai[[#This Row],[heures jour fériés]]))</f>
        <v>0</v>
      </c>
      <c r="J18" s="38">
        <f>(MOD(H_Mai[[#This Row],[Fin]]-H_Mai[[#This Row],[début]],1)-MOD(H_Mai[[#This Row],[PNP Fin]]-H_Mai[[#This Row],[PNP Début]],1))*24</f>
        <v>0</v>
      </c>
      <c r="K18" s="112" t="str">
        <f>IFERROR(VLOOKUP(H_Mai[[#This Row],[Service]],Codes[],4,0),"")</f>
        <v/>
      </c>
      <c r="L18" s="39">
        <f>IF(H_Mai[[#This Row],[PNP Début]]=0,0,IF(H_Mai[[#This Row],[PNP Début]]&lt;H_Mai[[#This Row],[début]],1,0)+H_Mai[[#This Row],[PNP Début]])</f>
        <v>0</v>
      </c>
      <c r="M18" s="40">
        <f>IF(H_Mai[[#This Row],[PNP Fin]]=0,0,IF(H_Mai[[#This Row],[PNP Fin]]&lt;H_Mai[[#This Row],[début]],1,0)+H_Mai[[#This Row],[PNP Fin]])</f>
        <v>0</v>
      </c>
      <c r="N18" s="40">
        <f>IF(H_Mai[[#This Row],[Fin]]&lt;H_Mai[[#This Row],[début]],1,0)+H_Mai[[#This Row],[Fin]]</f>
        <v>0</v>
      </c>
      <c r="O1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8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8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8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8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8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18" s="163"/>
      <c r="W18" s="171"/>
      <c r="X18" s="171"/>
      <c r="Y18" s="171"/>
      <c r="Z18" s="171"/>
      <c r="AA18" s="171"/>
    </row>
    <row r="19" spans="1:27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0.1*(H_Mai[[#This Row],[Heures de nuit]]+IF(H_Mai[[#This Row],[majoration dim &amp; JF]]="non",0,H_Mai[[#This Row],[heures jour dimanche]]+H_Mai[[#This Row],[heures jour fériés]]))</f>
        <v>0</v>
      </c>
      <c r="J19" s="38">
        <f>(MOD(H_Mai[[#This Row],[Fin]]-H_Mai[[#This Row],[début]],1)-MOD(H_Mai[[#This Row],[PNP Fin]]-H_Mai[[#This Row],[PNP Début]],1))*24</f>
        <v>0</v>
      </c>
      <c r="K19" s="112" t="str">
        <f>IFERROR(VLOOKUP(H_Mai[[#This Row],[Service]],Codes[],4,0),"")</f>
        <v/>
      </c>
      <c r="L19" s="39">
        <f>IF(H_Mai[[#This Row],[PNP Début]]=0,0,IF(H_Mai[[#This Row],[PNP Début]]&lt;H_Mai[[#This Row],[début]],1,0)+H_Mai[[#This Row],[PNP Début]])</f>
        <v>0</v>
      </c>
      <c r="M19" s="40">
        <f>IF(H_Mai[[#This Row],[PNP Fin]]=0,0,IF(H_Mai[[#This Row],[PNP Fin]]&lt;H_Mai[[#This Row],[début]],1,0)+H_Mai[[#This Row],[PNP Fin]])</f>
        <v>0</v>
      </c>
      <c r="N19" s="40">
        <f>IF(H_Mai[[#This Row],[Fin]]&lt;H_Mai[[#This Row],[début]],1,0)+H_Mai[[#This Row],[Fin]]</f>
        <v>0</v>
      </c>
      <c r="O1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9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9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9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9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9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  <c r="X19" s="171"/>
      <c r="Y19" s="171"/>
      <c r="Z19" s="171"/>
      <c r="AA19" s="171"/>
    </row>
    <row r="20" spans="1:27" ht="15" thickBot="1" x14ac:dyDescent="0.35">
      <c r="A20" s="4"/>
      <c r="B20" s="1"/>
      <c r="C20" s="2"/>
      <c r="D20" s="2"/>
      <c r="E20" s="9"/>
      <c r="F20" s="9"/>
      <c r="G20" s="9"/>
      <c r="H20" s="9"/>
      <c r="I20" s="37">
        <f>0.1*(H_Mai[[#This Row],[Heures de nuit]]+IF(H_Mai[[#This Row],[majoration dim &amp; JF]]="non",0,H_Mai[[#This Row],[heures jour dimanche]]+H_Mai[[#This Row],[heures jour fériés]]))</f>
        <v>0</v>
      </c>
      <c r="J20" s="38">
        <f>(MOD(H_Mai[[#This Row],[Fin]]-H_Mai[[#This Row],[début]],1)-MOD(H_Mai[[#This Row],[PNP Fin]]-H_Mai[[#This Row],[PNP Début]],1))*24</f>
        <v>0</v>
      </c>
      <c r="K20" s="112" t="str">
        <f>IFERROR(VLOOKUP(H_Mai[[#This Row],[Service]],Codes[],4,0),"")</f>
        <v/>
      </c>
      <c r="L20" s="39">
        <f>IF(H_Mai[[#This Row],[PNP Début]]=0,0,IF(H_Mai[[#This Row],[PNP Début]]&lt;H_Mai[[#This Row],[début]],1,0)+H_Mai[[#This Row],[PNP Début]])</f>
        <v>0</v>
      </c>
      <c r="M20" s="40">
        <f>IF(H_Mai[[#This Row],[PNP Fin]]=0,0,IF(H_Mai[[#This Row],[PNP Fin]]&lt;H_Mai[[#This Row],[début]],1,0)+H_Mai[[#This Row],[PNP Fin]])</f>
        <v>0</v>
      </c>
      <c r="N20" s="40">
        <f>IF(H_Mai[[#This Row],[Fin]]&lt;H_Mai[[#This Row],[début]],1,0)+H_Mai[[#This Row],[Fin]]</f>
        <v>0</v>
      </c>
      <c r="O2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0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0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0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0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0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20" s="163"/>
      <c r="W20" s="171"/>
      <c r="X20" s="171"/>
      <c r="Y20" s="171"/>
      <c r="Z20" s="171"/>
      <c r="AA20" s="171"/>
    </row>
    <row r="21" spans="1:27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0.1*(H_Mai[[#This Row],[Heures de nuit]]+IF(H_Mai[[#This Row],[majoration dim &amp; JF]]="non",0,H_Mai[[#This Row],[heures jour dimanche]]+H_Mai[[#This Row],[heures jour fériés]]))</f>
        <v>0</v>
      </c>
      <c r="J21" s="43">
        <f>(MOD(H_Mai[[#This Row],[Fin]]-H_Mai[[#This Row],[début]],1)-MOD(H_Mai[[#This Row],[PNP Fin]]-H_Mai[[#This Row],[PNP Début]],1))*24</f>
        <v>0</v>
      </c>
      <c r="K21" s="113" t="str">
        <f>IFERROR(VLOOKUP(H_Mai[[#This Row],[Service]],Codes[],4,0),"")</f>
        <v/>
      </c>
      <c r="L21" s="44">
        <f>IF(H_Mai[[#This Row],[PNP Début]]=0,0,IF(H_Mai[[#This Row],[PNP Début]]&lt;H_Mai[[#This Row],[début]],1,0)+H_Mai[[#This Row],[PNP Début]])</f>
        <v>0</v>
      </c>
      <c r="M21" s="45">
        <f>IF(H_Mai[[#This Row],[PNP Fin]]=0,0,IF(H_Mai[[#This Row],[PNP Fin]]&lt;H_Mai[[#This Row],[début]],1,0)+H_Mai[[#This Row],[PNP Fin]])</f>
        <v>0</v>
      </c>
      <c r="N21" s="45">
        <f>IF(H_Mai[[#This Row],[Fin]]&lt;H_Mai[[#This Row],[début]],1,0)+H_Mai[[#This Row],[Fin]]</f>
        <v>0</v>
      </c>
      <c r="O2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1" s="46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1" s="46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1" s="46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1" s="4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1" s="4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21" s="164" t="s">
        <v>167</v>
      </c>
      <c r="W21" s="162">
        <f>COUNTIF(B13:B49,"*récuperations*")</f>
        <v>0</v>
      </c>
      <c r="X21" s="171"/>
      <c r="Y21" s="171"/>
      <c r="Z21" s="171"/>
      <c r="AA21" s="171"/>
    </row>
    <row r="22" spans="1:27" ht="15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0.1*(H_Mai[[#This Row],[Heures de nuit]]+IF(H_Mai[[#This Row],[majoration dim &amp; JF]]="non",0,H_Mai[[#This Row],[heures jour dimanche]]+H_Mai[[#This Row],[heures jour fériés]]))</f>
        <v>0</v>
      </c>
      <c r="J22" s="48">
        <f>(MOD(H_Mai[[#This Row],[Fin]]-H_Mai[[#This Row],[début]],1)-MOD(H_Mai[[#This Row],[PNP Fin]]-H_Mai[[#This Row],[PNP Début]],1))*24</f>
        <v>0</v>
      </c>
      <c r="K22" s="109" t="str">
        <f>IFERROR(VLOOKUP(H_Mai[[#This Row],[Service]],Codes[],4,0),"")</f>
        <v/>
      </c>
      <c r="L22" s="49">
        <f>IF(H_Mai[[#This Row],[PNP Début]]=0,0,IF(H_Mai[[#This Row],[PNP Début]]&lt;H_Mai[[#This Row],[début]],1,0)+H_Mai[[#This Row],[PNP Début]])</f>
        <v>0</v>
      </c>
      <c r="M22" s="50">
        <f>IF(H_Mai[[#This Row],[PNP Fin]]=0,0,IF(H_Mai[[#This Row],[PNP Fin]]&lt;H_Mai[[#This Row],[début]],1,0)+H_Mai[[#This Row],[PNP Fin]])</f>
        <v>0</v>
      </c>
      <c r="N22" s="50">
        <f>IF(H_Mai[[#This Row],[Fin]]&lt;H_Mai[[#This Row],[début]],1,0)+H_Mai[[#This Row],[Fin]]</f>
        <v>0</v>
      </c>
      <c r="O2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22" s="165"/>
      <c r="W22" s="171"/>
      <c r="X22" s="171"/>
      <c r="Y22" s="171"/>
      <c r="Z22" s="171"/>
      <c r="AA22" s="171"/>
    </row>
    <row r="23" spans="1:27" ht="15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0.1*(H_Mai[[#This Row],[Heures de nuit]]+IF(H_Mai[[#This Row],[majoration dim &amp; JF]]="non",0,H_Mai[[#This Row],[heures jour dimanche]]+H_Mai[[#This Row],[heures jour fériés]]))</f>
        <v>0</v>
      </c>
      <c r="J23" s="48">
        <f>(MOD(H_Mai[[#This Row],[Fin]]-H_Mai[[#This Row],[début]],1)-MOD(H_Mai[[#This Row],[PNP Fin]]-H_Mai[[#This Row],[PNP Début]],1))*24</f>
        <v>0</v>
      </c>
      <c r="K23" s="109" t="str">
        <f>IFERROR(VLOOKUP(H_Mai[[#This Row],[Service]],Codes[],4,0),"")</f>
        <v/>
      </c>
      <c r="L23" s="49">
        <f>IF(H_Mai[[#This Row],[PNP Début]]=0,0,IF(H_Mai[[#This Row],[PNP Début]]&lt;H_Mai[[#This Row],[début]],1,0)+H_Mai[[#This Row],[PNP Début]])</f>
        <v>0</v>
      </c>
      <c r="M23" s="50">
        <f>IF(H_Mai[[#This Row],[PNP Fin]]=0,0,IF(H_Mai[[#This Row],[PNP Fin]]&lt;H_Mai[[#This Row],[début]],1,0)+H_Mai[[#This Row],[PNP Fin]])</f>
        <v>0</v>
      </c>
      <c r="N23" s="50">
        <f>IF(H_Mai[[#This Row],[Fin]]&lt;H_Mai[[#This Row],[début]],1,0)+H_Mai[[#This Row],[Fin]]</f>
        <v>0</v>
      </c>
      <c r="O2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V23" s="164" t="s">
        <v>168</v>
      </c>
      <c r="W23" s="162">
        <f>COUNTIF(B13:B49,"*CCT*")</f>
        <v>0</v>
      </c>
      <c r="X23" s="171"/>
      <c r="Y23" s="171"/>
      <c r="Z23" s="171"/>
      <c r="AA23" s="171"/>
    </row>
    <row r="24" spans="1:27" x14ac:dyDescent="0.3">
      <c r="A24" s="4"/>
      <c r="B24" s="1"/>
      <c r="C24" s="2"/>
      <c r="D24" s="2"/>
      <c r="E24" s="3"/>
      <c r="F24" s="3"/>
      <c r="G24" s="3"/>
      <c r="H24" s="3"/>
      <c r="I24" s="47">
        <f>0.1*(H_Mai[[#This Row],[Heures de nuit]]+IF(H_Mai[[#This Row],[majoration dim &amp; JF]]="non",0,H_Mai[[#This Row],[heures jour dimanche]]+H_Mai[[#This Row],[heures jour fériés]]))</f>
        <v>0</v>
      </c>
      <c r="J24" s="48">
        <f>(MOD(H_Mai[[#This Row],[Fin]]-H_Mai[[#This Row],[début]],1)-MOD(H_Mai[[#This Row],[PNP Fin]]-H_Mai[[#This Row],[PNP Début]],1))*24</f>
        <v>0</v>
      </c>
      <c r="K24" s="109" t="str">
        <f>IFERROR(VLOOKUP(H_Mai[[#This Row],[Service]],Codes[],4,0),"")</f>
        <v/>
      </c>
      <c r="L24" s="49">
        <f>IF(H_Mai[[#This Row],[PNP Début]]=0,0,IF(H_Mai[[#This Row],[PNP Début]]&lt;H_Mai[[#This Row],[début]],1,0)+H_Mai[[#This Row],[PNP Début]])</f>
        <v>0</v>
      </c>
      <c r="M24" s="50">
        <f>IF(H_Mai[[#This Row],[PNP Fin]]=0,0,IF(H_Mai[[#This Row],[PNP Fin]]&lt;H_Mai[[#This Row],[début]],1,0)+H_Mai[[#This Row],[PNP Fin]])</f>
        <v>0</v>
      </c>
      <c r="N24" s="50">
        <f>IF(H_Mai[[#This Row],[Fin]]&lt;H_Mai[[#This Row],[début]],1,0)+H_Mai[[#This Row],[Fin]]</f>
        <v>0</v>
      </c>
      <c r="O2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W24" s="171"/>
      <c r="X24" s="171"/>
      <c r="Y24" s="171"/>
      <c r="Z24" s="171"/>
      <c r="AA24" s="171"/>
    </row>
    <row r="25" spans="1:27" x14ac:dyDescent="0.3">
      <c r="A25" s="4"/>
      <c r="B25" s="1"/>
      <c r="C25" s="2"/>
      <c r="D25" s="2"/>
      <c r="E25" s="3"/>
      <c r="F25" s="3"/>
      <c r="G25" s="3"/>
      <c r="H25" s="3"/>
      <c r="I25" s="47">
        <f>0.1*(H_Mai[[#This Row],[Heures de nuit]]+IF(H_Mai[[#This Row],[majoration dim &amp; JF]]="non",0,H_Mai[[#This Row],[heures jour dimanche]]+H_Mai[[#This Row],[heures jour fériés]]))</f>
        <v>0</v>
      </c>
      <c r="J25" s="48">
        <f>(MOD(H_Mai[[#This Row],[Fin]]-H_Mai[[#This Row],[début]],1)-MOD(H_Mai[[#This Row],[PNP Fin]]-H_Mai[[#This Row],[PNP Début]],1))*24</f>
        <v>0</v>
      </c>
      <c r="K25" s="109" t="str">
        <f>IFERROR(VLOOKUP(H_Mai[[#This Row],[Service]],Codes[],4,0),"")</f>
        <v/>
      </c>
      <c r="L25" s="49">
        <f>IF(H_Mai[[#This Row],[PNP Début]]=0,0,IF(H_Mai[[#This Row],[PNP Début]]&lt;H_Mai[[#This Row],[début]],1,0)+H_Mai[[#This Row],[PNP Début]])</f>
        <v>0</v>
      </c>
      <c r="M25" s="50">
        <f>IF(H_Mai[[#This Row],[PNP Fin]]=0,0,IF(H_Mai[[#This Row],[PNP Fin]]&lt;H_Mai[[#This Row],[début]],1,0)+H_Mai[[#This Row],[PNP Fin]])</f>
        <v>0</v>
      </c>
      <c r="N25" s="50">
        <f>IF(H_Mai[[#This Row],[Fin]]&lt;H_Mai[[#This Row],[début]],1,0)+H_Mai[[#This Row],[Fin]]</f>
        <v>0</v>
      </c>
      <c r="O2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  <c r="W25" s="171"/>
      <c r="X25" s="171"/>
      <c r="Y25" s="171"/>
      <c r="Z25" s="171"/>
      <c r="AA25" s="171"/>
    </row>
    <row r="26" spans="1:27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0.1*(H_Mai[[#This Row],[Heures de nuit]]+IF(H_Mai[[#This Row],[majoration dim &amp; JF]]="non",0,H_Mai[[#This Row],[heures jour dimanche]]+H_Mai[[#This Row],[heures jour fériés]]))</f>
        <v>0</v>
      </c>
      <c r="J26" s="48">
        <f>(MOD(H_Mai[[#This Row],[Fin]]-H_Mai[[#This Row],[début]],1)-MOD(H_Mai[[#This Row],[PNP Fin]]-H_Mai[[#This Row],[PNP Début]],1))*24</f>
        <v>0</v>
      </c>
      <c r="K26" s="109" t="str">
        <f>IFERROR(VLOOKUP(H_Mai[[#This Row],[Service]],Codes[],4,0),"")</f>
        <v/>
      </c>
      <c r="L26" s="49">
        <f>IF(H_Mai[[#This Row],[PNP Début]]=0,0,IF(H_Mai[[#This Row],[PNP Début]]&lt;H_Mai[[#This Row],[début]],1,0)+H_Mai[[#This Row],[PNP Début]])</f>
        <v>0</v>
      </c>
      <c r="M26" s="50">
        <f>IF(H_Mai[[#This Row],[PNP Fin]]=0,0,IF(H_Mai[[#This Row],[PNP Fin]]&lt;H_Mai[[#This Row],[début]],1,0)+H_Mai[[#This Row],[PNP Fin]])</f>
        <v>0</v>
      </c>
      <c r="N26" s="50">
        <f>IF(H_Mai[[#This Row],[Fin]]&lt;H_Mai[[#This Row],[début]],1,0)+H_Mai[[#This Row],[Fin]]</f>
        <v>0</v>
      </c>
      <c r="O2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7" spans="1:27" x14ac:dyDescent="0.3">
      <c r="A27" s="4"/>
      <c r="B27" s="1"/>
      <c r="C27" s="2"/>
      <c r="D27" s="2"/>
      <c r="E27" s="3"/>
      <c r="F27" s="3"/>
      <c r="G27" s="3"/>
      <c r="H27" s="3"/>
      <c r="I27" s="47">
        <f>0.1*(H_Mai[[#This Row],[Heures de nuit]]+IF(H_Mai[[#This Row],[majoration dim &amp; JF]]="non",0,H_Mai[[#This Row],[heures jour dimanche]]+H_Mai[[#This Row],[heures jour fériés]]))</f>
        <v>0</v>
      </c>
      <c r="J27" s="48">
        <f>(MOD(H_Mai[[#This Row],[Fin]]-H_Mai[[#This Row],[début]],1)-MOD(H_Mai[[#This Row],[PNP Fin]]-H_Mai[[#This Row],[PNP Début]],1))*24</f>
        <v>0</v>
      </c>
      <c r="K27" s="109" t="str">
        <f>IFERROR(VLOOKUP(H_Mai[[#This Row],[Service]],Codes[],4,0),"")</f>
        <v/>
      </c>
      <c r="L27" s="49">
        <f>IF(H_Mai[[#This Row],[PNP Début]]=0,0,IF(H_Mai[[#This Row],[PNP Début]]&lt;H_Mai[[#This Row],[début]],1,0)+H_Mai[[#This Row],[PNP Début]])</f>
        <v>0</v>
      </c>
      <c r="M27" s="50">
        <f>IF(H_Mai[[#This Row],[PNP Fin]]=0,0,IF(H_Mai[[#This Row],[PNP Fin]]&lt;H_Mai[[#This Row],[début]],1,0)+H_Mai[[#This Row],[PNP Fin]])</f>
        <v>0</v>
      </c>
      <c r="N27" s="50">
        <f>IF(H_Mai[[#This Row],[Fin]]&lt;H_Mai[[#This Row],[début]],1,0)+H_Mai[[#This Row],[Fin]]</f>
        <v>0</v>
      </c>
      <c r="O2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8" spans="1:27" x14ac:dyDescent="0.3">
      <c r="A28" s="4"/>
      <c r="B28" s="1"/>
      <c r="C28" s="2"/>
      <c r="D28" s="2"/>
      <c r="E28" s="3"/>
      <c r="F28" s="3"/>
      <c r="G28" s="3"/>
      <c r="H28" s="3"/>
      <c r="I28" s="47">
        <f>0.1*(H_Mai[[#This Row],[Heures de nuit]]+IF(H_Mai[[#This Row],[majoration dim &amp; JF]]="non",0,H_Mai[[#This Row],[heures jour dimanche]]+H_Mai[[#This Row],[heures jour fériés]]))</f>
        <v>0</v>
      </c>
      <c r="J28" s="48">
        <f>(MOD(H_Mai[[#This Row],[Fin]]-H_Mai[[#This Row],[début]],1)-MOD(H_Mai[[#This Row],[PNP Fin]]-H_Mai[[#This Row],[PNP Début]],1))*24</f>
        <v>0</v>
      </c>
      <c r="K28" s="109" t="str">
        <f>IFERROR(VLOOKUP(H_Mai[[#This Row],[Service]],Codes[],4,0),"")</f>
        <v/>
      </c>
      <c r="L28" s="49">
        <f>IF(H_Mai[[#This Row],[PNP Début]]=0,0,IF(H_Mai[[#This Row],[PNP Début]]&lt;H_Mai[[#This Row],[début]],1,0)+H_Mai[[#This Row],[PNP Début]])</f>
        <v>0</v>
      </c>
      <c r="M28" s="50">
        <f>IF(H_Mai[[#This Row],[PNP Fin]]=0,0,IF(H_Mai[[#This Row],[PNP Fin]]&lt;H_Mai[[#This Row],[début]],1,0)+H_Mai[[#This Row],[PNP Fin]])</f>
        <v>0</v>
      </c>
      <c r="N28" s="50">
        <f>IF(H_Mai[[#This Row],[Fin]]&lt;H_Mai[[#This Row],[début]],1,0)+H_Mai[[#This Row],[Fin]]</f>
        <v>0</v>
      </c>
      <c r="O2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9" spans="1:27" x14ac:dyDescent="0.3">
      <c r="A29" s="4"/>
      <c r="B29" s="1"/>
      <c r="C29" s="2"/>
      <c r="D29" s="2"/>
      <c r="E29" s="3"/>
      <c r="F29" s="3"/>
      <c r="G29" s="3"/>
      <c r="H29" s="3"/>
      <c r="I29" s="47">
        <f>0.1*(H_Mai[[#This Row],[Heures de nuit]]+IF(H_Mai[[#This Row],[majoration dim &amp; JF]]="non",0,H_Mai[[#This Row],[heures jour dimanche]]+H_Mai[[#This Row],[heures jour fériés]]))</f>
        <v>0</v>
      </c>
      <c r="J29" s="48">
        <f>(MOD(H_Mai[[#This Row],[Fin]]-H_Mai[[#This Row],[début]],1)-MOD(H_Mai[[#This Row],[PNP Fin]]-H_Mai[[#This Row],[PNP Début]],1))*24</f>
        <v>0</v>
      </c>
      <c r="K29" s="109" t="str">
        <f>IFERROR(VLOOKUP(H_Mai[[#This Row],[Service]],Codes[],4,0),"")</f>
        <v/>
      </c>
      <c r="L29" s="49">
        <f>IF(H_Mai[[#This Row],[PNP Début]]=0,0,IF(H_Mai[[#This Row],[PNP Début]]&lt;H_Mai[[#This Row],[début]],1,0)+H_Mai[[#This Row],[PNP Début]])</f>
        <v>0</v>
      </c>
      <c r="M29" s="50">
        <f>IF(H_Mai[[#This Row],[PNP Fin]]=0,0,IF(H_Mai[[#This Row],[PNP Fin]]&lt;H_Mai[[#This Row],[début]],1,0)+H_Mai[[#This Row],[PNP Fin]])</f>
        <v>0</v>
      </c>
      <c r="N29" s="50">
        <f>IF(H_Mai[[#This Row],[Fin]]&lt;H_Mai[[#This Row],[début]],1,0)+H_Mai[[#This Row],[Fin]]</f>
        <v>0</v>
      </c>
      <c r="O2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0" spans="1:27" x14ac:dyDescent="0.3">
      <c r="A30" s="4"/>
      <c r="B30" s="1"/>
      <c r="C30" s="2"/>
      <c r="D30" s="2"/>
      <c r="E30" s="3"/>
      <c r="F30" s="3"/>
      <c r="G30" s="3"/>
      <c r="H30" s="3"/>
      <c r="I30" s="47">
        <f>0.1*(H_Mai[[#This Row],[Heures de nuit]]+IF(H_Mai[[#This Row],[majoration dim &amp; JF]]="non",0,H_Mai[[#This Row],[heures jour dimanche]]+H_Mai[[#This Row],[heures jour fériés]]))</f>
        <v>0</v>
      </c>
      <c r="J30" s="48">
        <f>(MOD(H_Mai[[#This Row],[Fin]]-H_Mai[[#This Row],[début]],1)-MOD(H_Mai[[#This Row],[PNP Fin]]-H_Mai[[#This Row],[PNP Début]],1))*24</f>
        <v>0</v>
      </c>
      <c r="K30" s="109" t="str">
        <f>IFERROR(VLOOKUP(H_Mai[[#This Row],[Service]],Codes[],4,0),"")</f>
        <v/>
      </c>
      <c r="L30" s="49">
        <f>IF(H_Mai[[#This Row],[PNP Début]]=0,0,IF(H_Mai[[#This Row],[PNP Début]]&lt;H_Mai[[#This Row],[début]],1,0)+H_Mai[[#This Row],[PNP Début]])</f>
        <v>0</v>
      </c>
      <c r="M30" s="50">
        <f>IF(H_Mai[[#This Row],[PNP Fin]]=0,0,IF(H_Mai[[#This Row],[PNP Fin]]&lt;H_Mai[[#This Row],[début]],1,0)+H_Mai[[#This Row],[PNP Fin]])</f>
        <v>0</v>
      </c>
      <c r="N30" s="50">
        <f>IF(H_Mai[[#This Row],[Fin]]&lt;H_Mai[[#This Row],[début]],1,0)+H_Mai[[#This Row],[Fin]]</f>
        <v>0</v>
      </c>
      <c r="O3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0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1" spans="1:27" x14ac:dyDescent="0.3">
      <c r="A31" s="4"/>
      <c r="B31" s="1"/>
      <c r="C31" s="2"/>
      <c r="D31" s="2"/>
      <c r="E31" s="3"/>
      <c r="F31" s="3"/>
      <c r="G31" s="3"/>
      <c r="H31" s="3"/>
      <c r="I31" s="47">
        <f>0.1*(H_Mai[[#This Row],[Heures de nuit]]+IF(H_Mai[[#This Row],[majoration dim &amp; JF]]="non",0,H_Mai[[#This Row],[heures jour dimanche]]+H_Mai[[#This Row],[heures jour fériés]]))</f>
        <v>0</v>
      </c>
      <c r="J31" s="48">
        <f>(MOD(H_Mai[[#This Row],[Fin]]-H_Mai[[#This Row],[début]],1)-MOD(H_Mai[[#This Row],[PNP Fin]]-H_Mai[[#This Row],[PNP Début]],1))*24</f>
        <v>0</v>
      </c>
      <c r="K31" s="109" t="str">
        <f>IFERROR(VLOOKUP(H_Mai[[#This Row],[Service]],Codes[],4,0),"")</f>
        <v/>
      </c>
      <c r="L31" s="49">
        <f>IF(H_Mai[[#This Row],[PNP Début]]=0,0,IF(H_Mai[[#This Row],[PNP Début]]&lt;H_Mai[[#This Row],[début]],1,0)+H_Mai[[#This Row],[PNP Début]])</f>
        <v>0</v>
      </c>
      <c r="M31" s="50">
        <f>IF(H_Mai[[#This Row],[PNP Fin]]=0,0,IF(H_Mai[[#This Row],[PNP Fin]]&lt;H_Mai[[#This Row],[début]],1,0)+H_Mai[[#This Row],[PNP Fin]])</f>
        <v>0</v>
      </c>
      <c r="N31" s="50">
        <f>IF(H_Mai[[#This Row],[Fin]]&lt;H_Mai[[#This Row],[début]],1,0)+H_Mai[[#This Row],[Fin]]</f>
        <v>0</v>
      </c>
      <c r="O3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1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2" spans="1:27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0.1*(H_Mai[[#This Row],[Heures de nuit]]+IF(H_Mai[[#This Row],[majoration dim &amp; JF]]="non",0,H_Mai[[#This Row],[heures jour dimanche]]+H_Mai[[#This Row],[heures jour fériés]]))</f>
        <v>0</v>
      </c>
      <c r="J32" s="48">
        <f>(MOD(H_Mai[[#This Row],[Fin]]-H_Mai[[#This Row],[début]],1)-MOD(H_Mai[[#This Row],[PNP Fin]]-H_Mai[[#This Row],[PNP Début]],1))*24</f>
        <v>0</v>
      </c>
      <c r="K32" s="109" t="str">
        <f>IFERROR(VLOOKUP(H_Mai[[#This Row],[Service]],Codes[],4,0),"")</f>
        <v/>
      </c>
      <c r="L32" s="49">
        <f>IF(H_Mai[[#This Row],[PNP Début]]=0,0,IF(H_Mai[[#This Row],[PNP Début]]&lt;H_Mai[[#This Row],[début]],1,0)+H_Mai[[#This Row],[PNP Début]])</f>
        <v>0</v>
      </c>
      <c r="M32" s="50">
        <f>IF(H_Mai[[#This Row],[PNP Fin]]=0,0,IF(H_Mai[[#This Row],[PNP Fin]]&lt;H_Mai[[#This Row],[début]],1,0)+H_Mai[[#This Row],[PNP Fin]])</f>
        <v>0</v>
      </c>
      <c r="N32" s="50">
        <f>IF(H_Mai[[#This Row],[Fin]]&lt;H_Mai[[#This Row],[début]],1,0)+H_Mai[[#This Row],[Fin]]</f>
        <v>0</v>
      </c>
      <c r="O3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0.1*(H_Mai[[#This Row],[Heures de nuit]]+IF(H_Mai[[#This Row],[majoration dim &amp; JF]]="non",0,H_Mai[[#This Row],[heures jour dimanche]]+H_Mai[[#This Row],[heures jour fériés]]))</f>
        <v>0</v>
      </c>
      <c r="J33" s="48">
        <f>(MOD(H_Mai[[#This Row],[Fin]]-H_Mai[[#This Row],[début]],1)-MOD(H_Mai[[#This Row],[PNP Fin]]-H_Mai[[#This Row],[PNP Début]],1))*24</f>
        <v>0</v>
      </c>
      <c r="K33" s="109" t="str">
        <f>IFERROR(VLOOKUP(H_Mai[[#This Row],[Service]],Codes[],4,0),"")</f>
        <v/>
      </c>
      <c r="L33" s="49">
        <f>IF(H_Mai[[#This Row],[PNP Début]]=0,0,IF(H_Mai[[#This Row],[PNP Début]]&lt;H_Mai[[#This Row],[début]],1,0)+H_Mai[[#This Row],[PNP Début]])</f>
        <v>0</v>
      </c>
      <c r="M33" s="50">
        <f>IF(H_Mai[[#This Row],[PNP Fin]]=0,0,IF(H_Mai[[#This Row],[PNP Fin]]&lt;H_Mai[[#This Row],[début]],1,0)+H_Mai[[#This Row],[PNP Fin]])</f>
        <v>0</v>
      </c>
      <c r="N33" s="50">
        <f>IF(H_Mai[[#This Row],[Fin]]&lt;H_Mai[[#This Row],[début]],1,0)+H_Mai[[#This Row],[Fin]]</f>
        <v>0</v>
      </c>
      <c r="O3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0.1*(H_Mai[[#This Row],[Heures de nuit]]+IF(H_Mai[[#This Row],[majoration dim &amp; JF]]="non",0,H_Mai[[#This Row],[heures jour dimanche]]+H_Mai[[#This Row],[heures jour fériés]]))</f>
        <v>0</v>
      </c>
      <c r="J34" s="48">
        <f>(MOD(H_Mai[[#This Row],[Fin]]-H_Mai[[#This Row],[début]],1)-MOD(H_Mai[[#This Row],[PNP Fin]]-H_Mai[[#This Row],[PNP Début]],1))*24</f>
        <v>0</v>
      </c>
      <c r="K34" s="109" t="str">
        <f>IFERROR(VLOOKUP(H_Mai[[#This Row],[Service]],Codes[],4,0),"")</f>
        <v/>
      </c>
      <c r="L34" s="49">
        <f>IF(H_Mai[[#This Row],[PNP Début]]=0,0,IF(H_Mai[[#This Row],[PNP Début]]&lt;H_Mai[[#This Row],[début]],1,0)+H_Mai[[#This Row],[PNP Début]])</f>
        <v>0</v>
      </c>
      <c r="M34" s="50">
        <f>IF(H_Mai[[#This Row],[PNP Fin]]=0,0,IF(H_Mai[[#This Row],[PNP Fin]]&lt;H_Mai[[#This Row],[début]],1,0)+H_Mai[[#This Row],[PNP Fin]])</f>
        <v>0</v>
      </c>
      <c r="N34" s="50">
        <f>IF(H_Mai[[#This Row],[Fin]]&lt;H_Mai[[#This Row],[début]],1,0)+H_Mai[[#This Row],[Fin]]</f>
        <v>0</v>
      </c>
      <c r="O3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0.1*(H_Mai[[#This Row],[Heures de nuit]]+IF(H_Mai[[#This Row],[majoration dim &amp; JF]]="non",0,H_Mai[[#This Row],[heures jour dimanche]]+H_Mai[[#This Row],[heures jour fériés]]))</f>
        <v>0</v>
      </c>
      <c r="J35" s="48">
        <f>(MOD(H_Mai[[#This Row],[Fin]]-H_Mai[[#This Row],[début]],1)-MOD(H_Mai[[#This Row],[PNP Fin]]-H_Mai[[#This Row],[PNP Début]],1))*24</f>
        <v>0</v>
      </c>
      <c r="K35" s="109" t="str">
        <f>IFERROR(VLOOKUP(H_Mai[[#This Row],[Service]],Codes[],4,0),"")</f>
        <v/>
      </c>
      <c r="L35" s="49">
        <f>IF(H_Mai[[#This Row],[PNP Début]]=0,0,IF(H_Mai[[#This Row],[PNP Début]]&lt;H_Mai[[#This Row],[début]],1,0)+H_Mai[[#This Row],[PNP Début]])</f>
        <v>0</v>
      </c>
      <c r="M35" s="50">
        <f>IF(H_Mai[[#This Row],[PNP Fin]]=0,0,IF(H_Mai[[#This Row],[PNP Fin]]&lt;H_Mai[[#This Row],[début]],1,0)+H_Mai[[#This Row],[PNP Fin]])</f>
        <v>0</v>
      </c>
      <c r="N35" s="50">
        <f>IF(H_Mai[[#This Row],[Fin]]&lt;H_Mai[[#This Row],[début]],1,0)+H_Mai[[#This Row],[Fin]]</f>
        <v>0</v>
      </c>
      <c r="O3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0.1*(H_Mai[[#This Row],[Heures de nuit]]+IF(H_Mai[[#This Row],[majoration dim &amp; JF]]="non",0,H_Mai[[#This Row],[heures jour dimanche]]+H_Mai[[#This Row],[heures jour fériés]]))</f>
        <v>0</v>
      </c>
      <c r="J36" s="48">
        <f>(MOD(H_Mai[[#This Row],[Fin]]-H_Mai[[#This Row],[début]],1)-MOD(H_Mai[[#This Row],[PNP Fin]]-H_Mai[[#This Row],[PNP Début]],1))*24</f>
        <v>0</v>
      </c>
      <c r="K36" s="109" t="str">
        <f>IFERROR(VLOOKUP(H_Mai[[#This Row],[Service]],Codes[],4,0),"")</f>
        <v/>
      </c>
      <c r="L36" s="49">
        <f>IF(H_Mai[[#This Row],[PNP Début]]=0,0,IF(H_Mai[[#This Row],[PNP Début]]&lt;H_Mai[[#This Row],[début]],1,0)+H_Mai[[#This Row],[PNP Début]])</f>
        <v>0</v>
      </c>
      <c r="M36" s="50">
        <f>IF(H_Mai[[#This Row],[PNP Fin]]=0,0,IF(H_Mai[[#This Row],[PNP Fin]]&lt;H_Mai[[#This Row],[début]],1,0)+H_Mai[[#This Row],[PNP Fin]])</f>
        <v>0</v>
      </c>
      <c r="N36" s="50">
        <f>IF(H_Mai[[#This Row],[Fin]]&lt;H_Mai[[#This Row],[début]],1,0)+H_Mai[[#This Row],[Fin]]</f>
        <v>0</v>
      </c>
      <c r="O3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0.1*(H_Mai[[#This Row],[Heures de nuit]]+IF(H_Mai[[#This Row],[majoration dim &amp; JF]]="non",0,H_Mai[[#This Row],[heures jour dimanche]]+H_Mai[[#This Row],[heures jour fériés]]))</f>
        <v>0</v>
      </c>
      <c r="J37" s="48">
        <f>(MOD(H_Mai[[#This Row],[Fin]]-H_Mai[[#This Row],[début]],1)-MOD(H_Mai[[#This Row],[PNP Fin]]-H_Mai[[#This Row],[PNP Début]],1))*24</f>
        <v>0</v>
      </c>
      <c r="K37" s="109" t="str">
        <f>IFERROR(VLOOKUP(H_Mai[[#This Row],[Service]],Codes[],4,0),"")</f>
        <v/>
      </c>
      <c r="L37" s="49">
        <f>IF(H_Mai[[#This Row],[PNP Début]]=0,0,IF(H_Mai[[#This Row],[PNP Début]]&lt;H_Mai[[#This Row],[début]],1,0)+H_Mai[[#This Row],[PNP Début]])</f>
        <v>0</v>
      </c>
      <c r="M37" s="50">
        <f>IF(H_Mai[[#This Row],[PNP Fin]]=0,0,IF(H_Mai[[#This Row],[PNP Fin]]&lt;H_Mai[[#This Row],[début]],1,0)+H_Mai[[#This Row],[PNP Fin]])</f>
        <v>0</v>
      </c>
      <c r="N37" s="50">
        <f>IF(H_Mai[[#This Row],[Fin]]&lt;H_Mai[[#This Row],[début]],1,0)+H_Mai[[#This Row],[Fin]]</f>
        <v>0</v>
      </c>
      <c r="O3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0.1*(H_Mai[[#This Row],[Heures de nuit]]+IF(H_Mai[[#This Row],[majoration dim &amp; JF]]="non",0,H_Mai[[#This Row],[heures jour dimanche]]+H_Mai[[#This Row],[heures jour fériés]]))</f>
        <v>0</v>
      </c>
      <c r="J38" s="48">
        <f>(MOD(H_Mai[[#This Row],[Fin]]-H_Mai[[#This Row],[début]],1)-MOD(H_Mai[[#This Row],[PNP Fin]]-H_Mai[[#This Row],[PNP Début]],1))*24</f>
        <v>0</v>
      </c>
      <c r="K38" s="109" t="str">
        <f>IFERROR(VLOOKUP(H_Mai[[#This Row],[Service]],Codes[],4,0),"")</f>
        <v/>
      </c>
      <c r="L38" s="49">
        <f>IF(H_Mai[[#This Row],[PNP Début]]=0,0,IF(H_Mai[[#This Row],[PNP Début]]&lt;H_Mai[[#This Row],[début]],1,0)+H_Mai[[#This Row],[PNP Début]])</f>
        <v>0</v>
      </c>
      <c r="M38" s="50">
        <f>IF(H_Mai[[#This Row],[PNP Fin]]=0,0,IF(H_Mai[[#This Row],[PNP Fin]]&lt;H_Mai[[#This Row],[début]],1,0)+H_Mai[[#This Row],[PNP Fin]])</f>
        <v>0</v>
      </c>
      <c r="N38" s="50">
        <f>IF(H_Mai[[#This Row],[Fin]]&lt;H_Mai[[#This Row],[début]],1,0)+H_Mai[[#This Row],[Fin]]</f>
        <v>0</v>
      </c>
      <c r="O3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0.1*(H_Mai[[#This Row],[Heures de nuit]]+IF(H_Mai[[#This Row],[majoration dim &amp; JF]]="non",0,H_Mai[[#This Row],[heures jour dimanche]]+H_Mai[[#This Row],[heures jour fériés]]))</f>
        <v>0</v>
      </c>
      <c r="J39" s="48">
        <f>(MOD(H_Mai[[#This Row],[Fin]]-H_Mai[[#This Row],[début]],1)-MOD(H_Mai[[#This Row],[PNP Fin]]-H_Mai[[#This Row],[PNP Début]],1))*24</f>
        <v>0</v>
      </c>
      <c r="K39" s="109" t="str">
        <f>IFERROR(VLOOKUP(H_Mai[[#This Row],[Service]],Codes[],4,0),"")</f>
        <v/>
      </c>
      <c r="L39" s="49">
        <f>IF(H_Mai[[#This Row],[PNP Début]]=0,0,IF(H_Mai[[#This Row],[PNP Début]]&lt;H_Mai[[#This Row],[début]],1,0)+H_Mai[[#This Row],[PNP Début]])</f>
        <v>0</v>
      </c>
      <c r="M39" s="50">
        <f>IF(H_Mai[[#This Row],[PNP Fin]]=0,0,IF(H_Mai[[#This Row],[PNP Fin]]&lt;H_Mai[[#This Row],[début]],1,0)+H_Mai[[#This Row],[PNP Fin]])</f>
        <v>0</v>
      </c>
      <c r="N39" s="50">
        <f>IF(H_Mai[[#This Row],[Fin]]&lt;H_Mai[[#This Row],[début]],1,0)+H_Mai[[#This Row],[Fin]]</f>
        <v>0</v>
      </c>
      <c r="O3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0.1*(H_Mai[[#This Row],[Heures de nuit]]+IF(H_Mai[[#This Row],[majoration dim &amp; JF]]="non",0,H_Mai[[#This Row],[heures jour dimanche]]+H_Mai[[#This Row],[heures jour fériés]]))</f>
        <v>0</v>
      </c>
      <c r="J40" s="48">
        <f>(MOD(H_Mai[[#This Row],[Fin]]-H_Mai[[#This Row],[début]],1)-MOD(H_Mai[[#This Row],[PNP Fin]]-H_Mai[[#This Row],[PNP Début]],1))*24</f>
        <v>0</v>
      </c>
      <c r="K40" s="109" t="str">
        <f>IFERROR(VLOOKUP(H_Mai[[#This Row],[Service]],Codes[],4,0),"")</f>
        <v/>
      </c>
      <c r="L40" s="49">
        <f>IF(H_Mai[[#This Row],[PNP Début]]=0,0,IF(H_Mai[[#This Row],[PNP Début]]&lt;H_Mai[[#This Row],[début]],1,0)+H_Mai[[#This Row],[PNP Début]])</f>
        <v>0</v>
      </c>
      <c r="M40" s="50">
        <f>IF(H_Mai[[#This Row],[PNP Fin]]=0,0,IF(H_Mai[[#This Row],[PNP Fin]]&lt;H_Mai[[#This Row],[début]],1,0)+H_Mai[[#This Row],[PNP Fin]])</f>
        <v>0</v>
      </c>
      <c r="N40" s="50">
        <f>IF(H_Mai[[#This Row],[Fin]]&lt;H_Mai[[#This Row],[début]],1,0)+H_Mai[[#This Row],[Fin]]</f>
        <v>0</v>
      </c>
      <c r="O4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0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0.1*(H_Mai[[#This Row],[Heures de nuit]]+IF(H_Mai[[#This Row],[majoration dim &amp; JF]]="non",0,H_Mai[[#This Row],[heures jour dimanche]]+H_Mai[[#This Row],[heures jour fériés]]))</f>
        <v>0</v>
      </c>
      <c r="J41" s="48">
        <f>(MOD(H_Mai[[#This Row],[Fin]]-H_Mai[[#This Row],[début]],1)-MOD(H_Mai[[#This Row],[PNP Fin]]-H_Mai[[#This Row],[PNP Début]],1))*24</f>
        <v>0</v>
      </c>
      <c r="K41" s="109" t="str">
        <f>IFERROR(VLOOKUP(H_Mai[[#This Row],[Service]],Codes[],4,0),"")</f>
        <v/>
      </c>
      <c r="L41" s="49">
        <f>IF(H_Mai[[#This Row],[PNP Début]]=0,0,IF(H_Mai[[#This Row],[PNP Début]]&lt;H_Mai[[#This Row],[début]],1,0)+H_Mai[[#This Row],[PNP Début]])</f>
        <v>0</v>
      </c>
      <c r="M41" s="50">
        <f>IF(H_Mai[[#This Row],[PNP Fin]]=0,0,IF(H_Mai[[#This Row],[PNP Fin]]&lt;H_Mai[[#This Row],[début]],1,0)+H_Mai[[#This Row],[PNP Fin]])</f>
        <v>0</v>
      </c>
      <c r="N41" s="50">
        <f>IF(H_Mai[[#This Row],[Fin]]&lt;H_Mai[[#This Row],[début]],1,0)+H_Mai[[#This Row],[Fin]]</f>
        <v>0</v>
      </c>
      <c r="O4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1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0.1*(H_Mai[[#This Row],[Heures de nuit]]+IF(H_Mai[[#This Row],[majoration dim &amp; JF]]="non",0,H_Mai[[#This Row],[heures jour dimanche]]+H_Mai[[#This Row],[heures jour fériés]]))</f>
        <v>0</v>
      </c>
      <c r="J42" s="48">
        <f>(MOD(H_Mai[[#This Row],[Fin]]-H_Mai[[#This Row],[début]],1)-MOD(H_Mai[[#This Row],[PNP Fin]]-H_Mai[[#This Row],[PNP Début]],1))*24</f>
        <v>0</v>
      </c>
      <c r="K42" s="109" t="str">
        <f>IFERROR(VLOOKUP(H_Mai[[#This Row],[Service]],Codes[],4,0),"")</f>
        <v/>
      </c>
      <c r="L42" s="49">
        <f>IF(H_Mai[[#This Row],[PNP Début]]=0,0,IF(H_Mai[[#This Row],[PNP Début]]&lt;H_Mai[[#This Row],[début]],1,0)+H_Mai[[#This Row],[PNP Début]])</f>
        <v>0</v>
      </c>
      <c r="M42" s="50">
        <f>IF(H_Mai[[#This Row],[PNP Fin]]=0,0,IF(H_Mai[[#This Row],[PNP Fin]]&lt;H_Mai[[#This Row],[début]],1,0)+H_Mai[[#This Row],[PNP Fin]])</f>
        <v>0</v>
      </c>
      <c r="N42" s="50">
        <f>IF(H_Mai[[#This Row],[Fin]]&lt;H_Mai[[#This Row],[début]],1,0)+H_Mai[[#This Row],[Fin]]</f>
        <v>0</v>
      </c>
      <c r="O4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0.1*(H_Mai[[#This Row],[Heures de nuit]]+IF(H_Mai[[#This Row],[majoration dim &amp; JF]]="non",0,H_Mai[[#This Row],[heures jour dimanche]]+H_Mai[[#This Row],[heures jour fériés]]))</f>
        <v>0</v>
      </c>
      <c r="J43" s="48">
        <f>(MOD(H_Mai[[#This Row],[Fin]]-H_Mai[[#This Row],[début]],1)-MOD(H_Mai[[#This Row],[PNP Fin]]-H_Mai[[#This Row],[PNP Début]],1))*24</f>
        <v>0</v>
      </c>
      <c r="K43" s="109" t="str">
        <f>IFERROR(VLOOKUP(H_Mai[[#This Row],[Service]],Codes[],4,0),"")</f>
        <v/>
      </c>
      <c r="L43" s="49">
        <f>IF(H_Mai[[#This Row],[PNP Début]]=0,0,IF(H_Mai[[#This Row],[PNP Début]]&lt;H_Mai[[#This Row],[début]],1,0)+H_Mai[[#This Row],[PNP Début]])</f>
        <v>0</v>
      </c>
      <c r="M43" s="50">
        <f>IF(H_Mai[[#This Row],[PNP Fin]]=0,0,IF(H_Mai[[#This Row],[PNP Fin]]&lt;H_Mai[[#This Row],[début]],1,0)+H_Mai[[#This Row],[PNP Fin]])</f>
        <v>0</v>
      </c>
      <c r="N43" s="50">
        <f>IF(H_Mai[[#This Row],[Fin]]&lt;H_Mai[[#This Row],[début]],1,0)+H_Mai[[#This Row],[Fin]]</f>
        <v>0</v>
      </c>
      <c r="O4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0.1*(H_Mai[[#This Row],[Heures de nuit]]+IF(H_Mai[[#This Row],[majoration dim &amp; JF]]="non",0,H_Mai[[#This Row],[heures jour dimanche]]+H_Mai[[#This Row],[heures jour fériés]]))</f>
        <v>0</v>
      </c>
      <c r="J44" s="48">
        <f>(MOD(H_Mai[[#This Row],[Fin]]-H_Mai[[#This Row],[début]],1)-MOD(H_Mai[[#This Row],[PNP Fin]]-H_Mai[[#This Row],[PNP Début]],1))*24</f>
        <v>0</v>
      </c>
      <c r="K44" s="109" t="str">
        <f>IFERROR(VLOOKUP(H_Mai[[#This Row],[Service]],Codes[],4,0),"")</f>
        <v/>
      </c>
      <c r="L44" s="49">
        <f>IF(H_Mai[[#This Row],[PNP Début]]=0,0,IF(H_Mai[[#This Row],[PNP Début]]&lt;H_Mai[[#This Row],[début]],1,0)+H_Mai[[#This Row],[PNP Début]])</f>
        <v>0</v>
      </c>
      <c r="M44" s="50">
        <f>IF(H_Mai[[#This Row],[PNP Fin]]=0,0,IF(H_Mai[[#This Row],[PNP Fin]]&lt;H_Mai[[#This Row],[début]],1,0)+H_Mai[[#This Row],[PNP Fin]])</f>
        <v>0</v>
      </c>
      <c r="N44" s="50">
        <f>IF(H_Mai[[#This Row],[Fin]]&lt;H_Mai[[#This Row],[début]],1,0)+H_Mai[[#This Row],[Fin]]</f>
        <v>0</v>
      </c>
      <c r="O4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0.1*(H_Mai[[#This Row],[Heures de nuit]]+IF(H_Mai[[#This Row],[majoration dim &amp; JF]]="non",0,H_Mai[[#This Row],[heures jour dimanche]]+H_Mai[[#This Row],[heures jour fériés]]))</f>
        <v>0</v>
      </c>
      <c r="J45" s="48">
        <f>(MOD(H_Mai[[#This Row],[Fin]]-H_Mai[[#This Row],[début]],1)-MOD(H_Mai[[#This Row],[PNP Fin]]-H_Mai[[#This Row],[PNP Début]],1))*24</f>
        <v>0</v>
      </c>
      <c r="K45" s="109" t="str">
        <f>IFERROR(VLOOKUP(H_Mai[[#This Row],[Service]],Codes[],4,0),"")</f>
        <v/>
      </c>
      <c r="L45" s="49">
        <f>IF(H_Mai[[#This Row],[PNP Début]]=0,0,IF(H_Mai[[#This Row],[PNP Début]]&lt;H_Mai[[#This Row],[début]],1,0)+H_Mai[[#This Row],[PNP Début]])</f>
        <v>0</v>
      </c>
      <c r="M45" s="50">
        <f>IF(H_Mai[[#This Row],[PNP Fin]]=0,0,IF(H_Mai[[#This Row],[PNP Fin]]&lt;H_Mai[[#This Row],[début]],1,0)+H_Mai[[#This Row],[PNP Fin]])</f>
        <v>0</v>
      </c>
      <c r="N45" s="50">
        <f>IF(H_Mai[[#This Row],[Fin]]&lt;H_Mai[[#This Row],[début]],1,0)+H_Mai[[#This Row],[Fin]]</f>
        <v>0</v>
      </c>
      <c r="O4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0.1*(H_Mai[[#This Row],[Heures de nuit]]+IF(H_Mai[[#This Row],[majoration dim &amp; JF]]="non",0,H_Mai[[#This Row],[heures jour dimanche]]+H_Mai[[#This Row],[heures jour fériés]]))</f>
        <v>0</v>
      </c>
      <c r="J46" s="48">
        <f>(MOD(H_Mai[[#This Row],[Fin]]-H_Mai[[#This Row],[début]],1)-MOD(H_Mai[[#This Row],[PNP Fin]]-H_Mai[[#This Row],[PNP Début]],1))*24</f>
        <v>0</v>
      </c>
      <c r="K46" s="109" t="str">
        <f>IFERROR(VLOOKUP(H_Mai[[#This Row],[Service]],Codes[],4,0),"")</f>
        <v/>
      </c>
      <c r="L46" s="49">
        <f>IF(H_Mai[[#This Row],[PNP Début]]=0,0,IF(H_Mai[[#This Row],[PNP Début]]&lt;H_Mai[[#This Row],[début]],1,0)+H_Mai[[#This Row],[PNP Début]])</f>
        <v>0</v>
      </c>
      <c r="M46" s="50">
        <f>IF(H_Mai[[#This Row],[PNP Fin]]=0,0,IF(H_Mai[[#This Row],[PNP Fin]]&lt;H_Mai[[#This Row],[début]],1,0)+H_Mai[[#This Row],[PNP Fin]])</f>
        <v>0</v>
      </c>
      <c r="N46" s="50">
        <f>IF(H_Mai[[#This Row],[Fin]]&lt;H_Mai[[#This Row],[début]],1,0)+H_Mai[[#This Row],[Fin]]</f>
        <v>0</v>
      </c>
      <c r="O4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0.1*(H_Mai[[#This Row],[Heures de nuit]]+IF(H_Mai[[#This Row],[majoration dim &amp; JF]]="non",0,H_Mai[[#This Row],[heures jour dimanche]]+H_Mai[[#This Row],[heures jour fériés]]))</f>
        <v>0</v>
      </c>
      <c r="J47" s="48">
        <f>(MOD(H_Mai[[#This Row],[Fin]]-H_Mai[[#This Row],[début]],1)-MOD(H_Mai[[#This Row],[PNP Fin]]-H_Mai[[#This Row],[PNP Début]],1))*24</f>
        <v>0</v>
      </c>
      <c r="K47" s="109" t="str">
        <f>IFERROR(VLOOKUP(H_Mai[[#This Row],[Service]],Codes[],4,0),"")</f>
        <v/>
      </c>
      <c r="L47" s="49">
        <f>IF(H_Mai[[#This Row],[PNP Début]]=0,0,IF(H_Mai[[#This Row],[PNP Début]]&lt;H_Mai[[#This Row],[début]],1,0)+H_Mai[[#This Row],[PNP Début]])</f>
        <v>0</v>
      </c>
      <c r="M47" s="50">
        <f>IF(H_Mai[[#This Row],[PNP Fin]]=0,0,IF(H_Mai[[#This Row],[PNP Fin]]&lt;H_Mai[[#This Row],[début]],1,0)+H_Mai[[#This Row],[PNP Fin]])</f>
        <v>0</v>
      </c>
      <c r="N47" s="50">
        <f>IF(H_Mai[[#This Row],[Fin]]&lt;H_Mai[[#This Row],[début]],1,0)+H_Mai[[#This Row],[Fin]]</f>
        <v>0</v>
      </c>
      <c r="O4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0.1*(H_Mai[[#This Row],[Heures de nuit]]+IF(H_Mai[[#This Row],[majoration dim &amp; JF]]="non",0,H_Mai[[#This Row],[heures jour dimanche]]+H_Mai[[#This Row],[heures jour fériés]]))</f>
        <v>0</v>
      </c>
      <c r="J48" s="48">
        <f>(MOD(H_Mai[[#This Row],[Fin]]-H_Mai[[#This Row],[début]],1)-MOD(H_Mai[[#This Row],[PNP Fin]]-H_Mai[[#This Row],[PNP Début]],1))*24</f>
        <v>0</v>
      </c>
      <c r="K48" s="109" t="str">
        <f>IFERROR(VLOOKUP(H_Mai[[#This Row],[Service]],Codes[],4,0),"")</f>
        <v/>
      </c>
      <c r="L48" s="49">
        <f>IF(H_Mai[[#This Row],[PNP Début]]=0,0,IF(H_Mai[[#This Row],[PNP Début]]&lt;H_Mai[[#This Row],[début]],1,0)+H_Mai[[#This Row],[PNP Début]])</f>
        <v>0</v>
      </c>
      <c r="M48" s="50">
        <f>IF(H_Mai[[#This Row],[PNP Fin]]=0,0,IF(H_Mai[[#This Row],[PNP Fin]]&lt;H_Mai[[#This Row],[début]],1,0)+H_Mai[[#This Row],[PNP Fin]])</f>
        <v>0</v>
      </c>
      <c r="N48" s="50">
        <f>IF(H_Mai[[#This Row],[Fin]]&lt;H_Mai[[#This Row],[début]],1,0)+H_Mai[[#This Row],[Fin]]</f>
        <v>0</v>
      </c>
      <c r="O4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0.1*(H_Mai[[#This Row],[Heures de nuit]]+IF(H_Mai[[#This Row],[majoration dim &amp; JF]]="non",0,H_Mai[[#This Row],[heures jour dimanche]]+H_Mai[[#This Row],[heures jour fériés]]))</f>
        <v>0</v>
      </c>
      <c r="J49" s="48">
        <f>(MOD(H_Mai[[#This Row],[Fin]]-H_Mai[[#This Row],[début]],1)-MOD(H_Mai[[#This Row],[PNP Fin]]-H_Mai[[#This Row],[PNP Début]],1))*24</f>
        <v>0</v>
      </c>
      <c r="K49" s="109" t="str">
        <f>IFERROR(VLOOKUP(H_Mai[[#This Row],[Service]],Codes[],4,0),"")</f>
        <v/>
      </c>
      <c r="L49" s="49">
        <f>IF(H_Mai[[#This Row],[PNP Début]]=0,0,IF(H_Mai[[#This Row],[PNP Début]]&lt;H_Mai[[#This Row],[début]],1,0)+H_Mai[[#This Row],[PNP Début]])</f>
        <v>0</v>
      </c>
      <c r="M49" s="50">
        <f>IF(H_Mai[[#This Row],[PNP Fin]]=0,0,IF(H_Mai[[#This Row],[PNP Fin]]&lt;H_Mai[[#This Row],[début]],1,0)+H_Mai[[#This Row],[PNP Fin]])</f>
        <v>0</v>
      </c>
      <c r="N49" s="50">
        <f>IF(H_Mai[[#This Row],[Fin]]&lt;H_Mai[[#This Row],[début]],1,0)+H_Mai[[#This Row],[Fin]]</f>
        <v>0</v>
      </c>
      <c r="O4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SUM(H_Mai[Majoration])</f>
        <v>0</v>
      </c>
      <c r="J50" s="54">
        <f>SUM(H_Mai[Heures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214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print="0" autoLine="0" r:id="rId5">
            <anchor moveWithCells="1">
              <from>
                <xdr:col>9</xdr:col>
                <xdr:colOff>472440</xdr:colOff>
                <xdr:row>0</xdr:row>
                <xdr:rowOff>83820</xdr:rowOff>
              </from>
              <to>
                <xdr:col>9</xdr:col>
                <xdr:colOff>1264920</xdr:colOff>
                <xdr:row>3</xdr:row>
                <xdr:rowOff>198120</xdr:rowOff>
              </to>
            </anchor>
          </controlPr>
        </control>
      </mc:Choice>
      <mc:Fallback>
        <control shapeId="8193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Z60"/>
  <sheetViews>
    <sheetView zoomScale="80" zoomScaleNormal="80" zoomScalePageLayoutView="40" workbookViewId="0">
      <selection activeCell="V19" activeCellId="2" sqref="V9:W10 V15:Z16 V19:W19"/>
    </sheetView>
  </sheetViews>
  <sheetFormatPr baseColWidth="10" defaultRowHeight="14.4" x14ac:dyDescent="0.3"/>
  <cols>
    <col min="1" max="1" width="20.4414062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2.7773437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102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Juin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68"/>
      <c r="Y9" s="169"/>
      <c r="Z9" s="168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68"/>
      <c r="Y10" s="168"/>
      <c r="Z10" s="168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68"/>
      <c r="X11" s="168"/>
      <c r="Y11" s="168"/>
      <c r="Z11" s="168"/>
    </row>
    <row r="12" spans="1:26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70"/>
      <c r="X12" s="170"/>
      <c r="Y12" s="170"/>
      <c r="Z12" s="170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0.1*(H_Juin[[#This Row],[Heures de nuit]]+IF(H_Juin[[#This Row],[majoration dim &amp; JF]]="non",0,H_Juin[[#This Row],[heures jour dimanche]]+H_Juin[[#This Row],[heures jour fériés]]))</f>
        <v>0</v>
      </c>
      <c r="J13" s="29">
        <f>(MOD(H_Juin[[#This Row],[Fin]]-H_Juin[[#This Row],[début]],1)-MOD(H_Juin[[#This Row],[PNP Fin]]-H_Juin[[#This Row],[PNP Début]],1))*24</f>
        <v>0</v>
      </c>
      <c r="K13" s="29" t="str">
        <f>IFERROR(VLOOKUP(H_Juin[[#This Row],[Service]],Codes[],4,0),"")</f>
        <v/>
      </c>
      <c r="L13" s="30">
        <f>IF(H_Juin[[#This Row],[PNP Début]]=0,0,IF(H_Juin[[#This Row],[PNP Début]]&lt;H_Juin[[#This Row],[début]],1,0)+H_Juin[[#This Row],[PNP Début]])</f>
        <v>0</v>
      </c>
      <c r="M13" s="30">
        <f>IF(H_Juin[[#This Row],[PNP Fin]]=0,0,IF(H_Juin[[#This Row],[PNP Fin]]&lt;H_Juin[[#This Row],[début]],1,0)+H_Juin[[#This Row],[PNP Fin]])</f>
        <v>0</v>
      </c>
      <c r="N13" s="30">
        <f>IF(H_Juin[[#This Row],[Fin]]&lt;H_Juin[[#This Row],[début]],1,0)+H_Juin[[#This Row],[Fin]]</f>
        <v>0</v>
      </c>
      <c r="O1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3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3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3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3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3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13" s="166"/>
      <c r="W13" s="168"/>
      <c r="X13" s="168"/>
      <c r="Y13" s="168"/>
      <c r="Z13" s="168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0.1*(H_Juin[[#This Row],[Heures de nuit]]+IF(H_Juin[[#This Row],[majoration dim &amp; JF]]="non",0,H_Juin[[#This Row],[heures jour dimanche]]+H_Juin[[#This Row],[heures jour fériés]]))</f>
        <v>0</v>
      </c>
      <c r="J14" s="29">
        <f>(MOD(H_Juin[[#This Row],[Fin]]-H_Juin[[#This Row],[début]],1)-MOD(H_Juin[[#This Row],[PNP Fin]]-H_Juin[[#This Row],[PNP Début]],1))*24</f>
        <v>0</v>
      </c>
      <c r="K14" s="29" t="str">
        <f>IFERROR(VLOOKUP(H_Juin[[#This Row],[Service]],Codes[],4,0),"")</f>
        <v/>
      </c>
      <c r="L14" s="30">
        <f>IF(H_Juin[[#This Row],[PNP Début]]=0,0,IF(H_Juin[[#This Row],[PNP Début]]&lt;H_Juin[[#This Row],[début]],1,0)+H_Juin[[#This Row],[PNP Début]])</f>
        <v>0</v>
      </c>
      <c r="M14" s="30">
        <f>IF(H_Juin[[#This Row],[PNP Fin]]=0,0,IF(H_Juin[[#This Row],[PNP Fin]]&lt;H_Juin[[#This Row],[début]],1,0)+H_Juin[[#This Row],[PNP Fin]])</f>
        <v>0</v>
      </c>
      <c r="N14" s="30">
        <f>IF(H_Juin[[#This Row],[Fin]]&lt;H_Juin[[#This Row],[début]],1,0)+H_Juin[[#This Row],[Fin]]</f>
        <v>0</v>
      </c>
      <c r="O1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4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4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4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4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4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14" s="166"/>
      <c r="W14" s="168"/>
      <c r="X14" s="168"/>
      <c r="Y14" s="168"/>
      <c r="Z14" s="168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0.1*(H_Juin[[#This Row],[Heures de nuit]]+IF(H_Juin[[#This Row],[majoration dim &amp; JF]]="non",0,H_Juin[[#This Row],[heures jour dimanche]]+H_Juin[[#This Row],[heures jour fériés]]))</f>
        <v>0</v>
      </c>
      <c r="J15" s="29">
        <f>(MOD(H_Juin[[#This Row],[Fin]]-H_Juin[[#This Row],[début]],1)-MOD(H_Juin[[#This Row],[PNP Fin]]-H_Juin[[#This Row],[PNP Début]],1))*24</f>
        <v>0</v>
      </c>
      <c r="K15" s="29" t="str">
        <f>IFERROR(VLOOKUP(H_Juin[[#This Row],[Service]],Codes[],4,0),"")</f>
        <v/>
      </c>
      <c r="L15" s="30">
        <f>IF(H_Juin[[#This Row],[PNP Début]]=0,0,IF(H_Juin[[#This Row],[PNP Début]]&lt;H_Juin[[#This Row],[début]],1,0)+H_Juin[[#This Row],[PNP Début]])</f>
        <v>0</v>
      </c>
      <c r="M15" s="30">
        <f>IF(H_Juin[[#This Row],[PNP Fin]]=0,0,IF(H_Juin[[#This Row],[PNP Fin]]&lt;H_Juin[[#This Row],[début]],1,0)+H_Juin[[#This Row],[PNP Fin]])</f>
        <v>0</v>
      </c>
      <c r="N15" s="30">
        <f>IF(H_Juin[[#This Row],[Fin]]&lt;H_Juin[[#This Row],[début]],1,0)+H_Juin[[#This Row],[Fin]]</f>
        <v>0</v>
      </c>
      <c r="O1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5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5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5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5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5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0.1*(H_Juin[[#This Row],[Heures de nuit]]+IF(H_Juin[[#This Row],[majoration dim &amp; JF]]="non",0,H_Juin[[#This Row],[heures jour dimanche]]+H_Juin[[#This Row],[heures jour fériés]]))</f>
        <v>0</v>
      </c>
      <c r="J16" s="33">
        <f>(MOD(H_Juin[[#This Row],[Fin]]-H_Juin[[#This Row],[début]],1)-MOD(H_Juin[[#This Row],[PNP Fin]]-H_Juin[[#This Row],[PNP Début]],1))*24</f>
        <v>0</v>
      </c>
      <c r="K16" s="33" t="str">
        <f>IFERROR(VLOOKUP(H_Juin[[#This Row],[Service]],Codes[],4,0),"")</f>
        <v/>
      </c>
      <c r="L16" s="30">
        <f>IF(H_Juin[[#This Row],[PNP Début]]=0,0,IF(H_Juin[[#This Row],[PNP Début]]&lt;H_Juin[[#This Row],[début]],1,0)+H_Juin[[#This Row],[PNP Début]])</f>
        <v>0</v>
      </c>
      <c r="M16" s="30">
        <f>IF(H_Juin[[#This Row],[PNP Fin]]=0,0,IF(H_Juin[[#This Row],[PNP Fin]]&lt;H_Juin[[#This Row],[début]],1,0)+H_Juin[[#This Row],[PNP Fin]])</f>
        <v>0</v>
      </c>
      <c r="N16" s="34">
        <f>IF(H_Juin[[#This Row],[Fin]]&lt;H_Juin[[#This Row],[début]],1,0)+H_Juin[[#This Row],[Fin]]</f>
        <v>0</v>
      </c>
      <c r="O1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6" s="35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6" s="35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6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6" s="3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6" s="3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16" s="176" t="s">
        <v>128</v>
      </c>
      <c r="W16" s="177">
        <f>'Mai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6" x14ac:dyDescent="0.3">
      <c r="A17" s="4"/>
      <c r="B17" s="1"/>
      <c r="C17" s="2"/>
      <c r="D17" s="2"/>
      <c r="E17" s="3"/>
      <c r="F17" s="3"/>
      <c r="G17" s="9"/>
      <c r="H17" s="9"/>
      <c r="I17" s="37">
        <f>0.1*(H_Juin[[#This Row],[Heures de nuit]]+IF(H_Juin[[#This Row],[majoration dim &amp; JF]]="non",0,H_Juin[[#This Row],[heures jour dimanche]]+H_Juin[[#This Row],[heures jour fériés]]))</f>
        <v>0</v>
      </c>
      <c r="J17" s="38">
        <f>(MOD(H_Juin[[#This Row],[Fin]]-H_Juin[[#This Row],[début]],1)-MOD(H_Juin[[#This Row],[PNP Fin]]-H_Juin[[#This Row],[PNP Début]],1))*24</f>
        <v>0</v>
      </c>
      <c r="K17" s="112" t="str">
        <f>IFERROR(VLOOKUP(H_Juin[[#This Row],[Service]],Codes[],4,0),"")</f>
        <v/>
      </c>
      <c r="L17" s="39">
        <f>IF(H_Juin[[#This Row],[PNP Début]]=0,0,IF(H_Juin[[#This Row],[PNP Début]]&lt;H_Juin[[#This Row],[début]],1,0)+H_Juin[[#This Row],[PNP Début]])</f>
        <v>0</v>
      </c>
      <c r="M17" s="40">
        <f>IF(H_Juin[[#This Row],[PNP Fin]]=0,0,IF(H_Juin[[#This Row],[PNP Fin]]&lt;H_Juin[[#This Row],[début]],1,0)+H_Juin[[#This Row],[PNP Fin]])</f>
        <v>0</v>
      </c>
      <c r="N17" s="40">
        <f>IF(H_Juin[[#This Row],[Fin]]&lt;H_Juin[[#This Row],[début]],1,0)+H_Juin[[#This Row],[Fin]]</f>
        <v>0</v>
      </c>
      <c r="O1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7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7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7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7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7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17" s="163"/>
      <c r="W17" s="171"/>
      <c r="X17" s="171"/>
      <c r="Y17" s="171"/>
      <c r="Z17" s="171"/>
    </row>
    <row r="18" spans="1:26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0.1*(H_Juin[[#This Row],[Heures de nuit]]+IF(H_Juin[[#This Row],[majoration dim &amp; JF]]="non",0,H_Juin[[#This Row],[heures jour dimanche]]+H_Juin[[#This Row],[heures jour fériés]]))</f>
        <v>0</v>
      </c>
      <c r="J18" s="38">
        <f>(MOD(H_Juin[[#This Row],[Fin]]-H_Juin[[#This Row],[début]],1)-MOD(H_Juin[[#This Row],[PNP Fin]]-H_Juin[[#This Row],[PNP Début]],1))*24</f>
        <v>0</v>
      </c>
      <c r="K18" s="112" t="str">
        <f>IFERROR(VLOOKUP(H_Juin[[#This Row],[Service]],Codes[],4,0),"")</f>
        <v/>
      </c>
      <c r="L18" s="39">
        <f>IF(H_Juin[[#This Row],[PNP Début]]=0,0,IF(H_Juin[[#This Row],[PNP Début]]&lt;H_Juin[[#This Row],[début]],1,0)+H_Juin[[#This Row],[PNP Début]])</f>
        <v>0</v>
      </c>
      <c r="M18" s="40">
        <f>IF(H_Juin[[#This Row],[PNP Fin]]=0,0,IF(H_Juin[[#This Row],[PNP Fin]]&lt;H_Juin[[#This Row],[début]],1,0)+H_Juin[[#This Row],[PNP Fin]])</f>
        <v>0</v>
      </c>
      <c r="N18" s="40">
        <f>IF(H_Juin[[#This Row],[Fin]]&lt;H_Juin[[#This Row],[début]],1,0)+H_Juin[[#This Row],[Fin]]</f>
        <v>0</v>
      </c>
      <c r="O1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8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8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8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8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8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18" s="163"/>
      <c r="W18" s="171"/>
      <c r="X18" s="171"/>
      <c r="Y18" s="171"/>
      <c r="Z18" s="171"/>
    </row>
    <row r="19" spans="1:26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0.1*(H_Juin[[#This Row],[Heures de nuit]]+IF(H_Juin[[#This Row],[majoration dim &amp; JF]]="non",0,H_Juin[[#This Row],[heures jour dimanche]]+H_Juin[[#This Row],[heures jour fériés]]))</f>
        <v>0</v>
      </c>
      <c r="J19" s="38">
        <f>(MOD(H_Juin[[#This Row],[Fin]]-H_Juin[[#This Row],[début]],1)-MOD(H_Juin[[#This Row],[PNP Fin]]-H_Juin[[#This Row],[PNP Début]],1))*24</f>
        <v>0</v>
      </c>
      <c r="K19" s="112" t="str">
        <f>IFERROR(VLOOKUP(H_Juin[[#This Row],[Service]],Codes[],4,0),"")</f>
        <v/>
      </c>
      <c r="L19" s="39">
        <f>IF(H_Juin[[#This Row],[PNP Début]]=0,0,IF(H_Juin[[#This Row],[PNP Début]]&lt;H_Juin[[#This Row],[début]],1,0)+H_Juin[[#This Row],[PNP Début]])</f>
        <v>0</v>
      </c>
      <c r="M19" s="40">
        <f>IF(H_Juin[[#This Row],[PNP Fin]]=0,0,IF(H_Juin[[#This Row],[PNP Fin]]&lt;H_Juin[[#This Row],[début]],1,0)+H_Juin[[#This Row],[PNP Fin]])</f>
        <v>0</v>
      </c>
      <c r="N19" s="40">
        <f>IF(H_Juin[[#This Row],[Fin]]&lt;H_Juin[[#This Row],[début]],1,0)+H_Juin[[#This Row],[Fin]]</f>
        <v>0</v>
      </c>
      <c r="O1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9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9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9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9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9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  <c r="X19" s="171"/>
      <c r="Y19" s="171"/>
      <c r="Z19" s="171"/>
    </row>
    <row r="20" spans="1:26" ht="15" thickBot="1" x14ac:dyDescent="0.35">
      <c r="A20" s="4"/>
      <c r="B20" s="1"/>
      <c r="C20" s="2"/>
      <c r="D20" s="2"/>
      <c r="E20" s="9"/>
      <c r="F20" s="9"/>
      <c r="G20" s="9"/>
      <c r="H20" s="9"/>
      <c r="I20" s="37">
        <f>0.1*(H_Juin[[#This Row],[Heures de nuit]]+IF(H_Juin[[#This Row],[majoration dim &amp; JF]]="non",0,H_Juin[[#This Row],[heures jour dimanche]]+H_Juin[[#This Row],[heures jour fériés]]))</f>
        <v>0</v>
      </c>
      <c r="J20" s="38">
        <f>(MOD(H_Juin[[#This Row],[Fin]]-H_Juin[[#This Row],[début]],1)-MOD(H_Juin[[#This Row],[PNP Fin]]-H_Juin[[#This Row],[PNP Début]],1))*24</f>
        <v>0</v>
      </c>
      <c r="K20" s="112" t="str">
        <f>IFERROR(VLOOKUP(H_Juin[[#This Row],[Service]],Codes[],4,0),"")</f>
        <v/>
      </c>
      <c r="L20" s="39">
        <f>IF(H_Juin[[#This Row],[PNP Début]]=0,0,IF(H_Juin[[#This Row],[PNP Début]]&lt;H_Juin[[#This Row],[début]],1,0)+H_Juin[[#This Row],[PNP Début]])</f>
        <v>0</v>
      </c>
      <c r="M20" s="40">
        <f>IF(H_Juin[[#This Row],[PNP Fin]]=0,0,IF(H_Juin[[#This Row],[PNP Fin]]&lt;H_Juin[[#This Row],[début]],1,0)+H_Juin[[#This Row],[PNP Fin]])</f>
        <v>0</v>
      </c>
      <c r="N20" s="40">
        <f>IF(H_Juin[[#This Row],[Fin]]&lt;H_Juin[[#This Row],[début]],1,0)+H_Juin[[#This Row],[Fin]]</f>
        <v>0</v>
      </c>
      <c r="O2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0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0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0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0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0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20" s="163"/>
      <c r="W20" s="171"/>
      <c r="X20" s="171"/>
      <c r="Y20" s="171"/>
      <c r="Z20" s="171"/>
    </row>
    <row r="21" spans="1:26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0.1*(H_Juin[[#This Row],[Heures de nuit]]+IF(H_Juin[[#This Row],[majoration dim &amp; JF]]="non",0,H_Juin[[#This Row],[heures jour dimanche]]+H_Juin[[#This Row],[heures jour fériés]]))</f>
        <v>0</v>
      </c>
      <c r="J21" s="43">
        <f>(MOD(H_Juin[[#This Row],[Fin]]-H_Juin[[#This Row],[début]],1)-MOD(H_Juin[[#This Row],[PNP Fin]]-H_Juin[[#This Row],[PNP Début]],1))*24</f>
        <v>0</v>
      </c>
      <c r="K21" s="113" t="str">
        <f>IFERROR(VLOOKUP(H_Juin[[#This Row],[Service]],Codes[],4,0),"")</f>
        <v/>
      </c>
      <c r="L21" s="44">
        <f>IF(H_Juin[[#This Row],[PNP Début]]=0,0,IF(H_Juin[[#This Row],[PNP Début]]&lt;H_Juin[[#This Row],[début]],1,0)+H_Juin[[#This Row],[PNP Début]])</f>
        <v>0</v>
      </c>
      <c r="M21" s="45">
        <f>IF(H_Juin[[#This Row],[PNP Fin]]=0,0,IF(H_Juin[[#This Row],[PNP Fin]]&lt;H_Juin[[#This Row],[début]],1,0)+H_Juin[[#This Row],[PNP Fin]])</f>
        <v>0</v>
      </c>
      <c r="N21" s="45">
        <f>IF(H_Juin[[#This Row],[Fin]]&lt;H_Juin[[#This Row],[début]],1,0)+H_Juin[[#This Row],[Fin]]</f>
        <v>0</v>
      </c>
      <c r="O2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1" s="46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1" s="46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1" s="46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1" s="4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1" s="4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21" s="164" t="s">
        <v>167</v>
      </c>
      <c r="W21" s="162">
        <f>COUNTIF(B13:B49,"*récuperations*")</f>
        <v>0</v>
      </c>
      <c r="X21" s="171"/>
      <c r="Y21" s="171"/>
      <c r="Z21" s="171"/>
    </row>
    <row r="22" spans="1:26" ht="15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0.1*(H_Juin[[#This Row],[Heures de nuit]]+IF(H_Juin[[#This Row],[majoration dim &amp; JF]]="non",0,H_Juin[[#This Row],[heures jour dimanche]]+H_Juin[[#This Row],[heures jour fériés]]))</f>
        <v>0</v>
      </c>
      <c r="J22" s="48">
        <f>(MOD(H_Juin[[#This Row],[Fin]]-H_Juin[[#This Row],[début]],1)-MOD(H_Juin[[#This Row],[PNP Fin]]-H_Juin[[#This Row],[PNP Début]],1))*24</f>
        <v>0</v>
      </c>
      <c r="K22" s="109" t="str">
        <f>IFERROR(VLOOKUP(H_Juin[[#This Row],[Service]],Codes[],4,0),"")</f>
        <v/>
      </c>
      <c r="L22" s="49">
        <f>IF(H_Juin[[#This Row],[PNP Début]]=0,0,IF(H_Juin[[#This Row],[PNP Début]]&lt;H_Juin[[#This Row],[début]],1,0)+H_Juin[[#This Row],[PNP Début]])</f>
        <v>0</v>
      </c>
      <c r="M22" s="50">
        <f>IF(H_Juin[[#This Row],[PNP Fin]]=0,0,IF(H_Juin[[#This Row],[PNP Fin]]&lt;H_Juin[[#This Row],[début]],1,0)+H_Juin[[#This Row],[PNP Fin]])</f>
        <v>0</v>
      </c>
      <c r="N22" s="50">
        <f>IF(H_Juin[[#This Row],[Fin]]&lt;H_Juin[[#This Row],[début]],1,0)+H_Juin[[#This Row],[Fin]]</f>
        <v>0</v>
      </c>
      <c r="O2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22" s="165"/>
      <c r="W22" s="171"/>
      <c r="X22" s="171"/>
      <c r="Y22" s="171"/>
      <c r="Z22" s="171"/>
    </row>
    <row r="23" spans="1:26" ht="15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0.1*(H_Juin[[#This Row],[Heures de nuit]]+IF(H_Juin[[#This Row],[majoration dim &amp; JF]]="non",0,H_Juin[[#This Row],[heures jour dimanche]]+H_Juin[[#This Row],[heures jour fériés]]))</f>
        <v>0</v>
      </c>
      <c r="J23" s="48">
        <f>(MOD(H_Juin[[#This Row],[Fin]]-H_Juin[[#This Row],[début]],1)-MOD(H_Juin[[#This Row],[PNP Fin]]-H_Juin[[#This Row],[PNP Début]],1))*24</f>
        <v>0</v>
      </c>
      <c r="K23" s="109" t="str">
        <f>IFERROR(VLOOKUP(H_Juin[[#This Row],[Service]],Codes[],4,0),"")</f>
        <v/>
      </c>
      <c r="L23" s="49">
        <f>IF(H_Juin[[#This Row],[PNP Début]]=0,0,IF(H_Juin[[#This Row],[PNP Début]]&lt;H_Juin[[#This Row],[début]],1,0)+H_Juin[[#This Row],[PNP Début]])</f>
        <v>0</v>
      </c>
      <c r="M23" s="50">
        <f>IF(H_Juin[[#This Row],[PNP Fin]]=0,0,IF(H_Juin[[#This Row],[PNP Fin]]&lt;H_Juin[[#This Row],[début]],1,0)+H_Juin[[#This Row],[PNP Fin]])</f>
        <v>0</v>
      </c>
      <c r="N23" s="50">
        <f>IF(H_Juin[[#This Row],[Fin]]&lt;H_Juin[[#This Row],[début]],1,0)+H_Juin[[#This Row],[Fin]]</f>
        <v>0</v>
      </c>
      <c r="O2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V23" s="164" t="s">
        <v>168</v>
      </c>
      <c r="W23" s="162">
        <f>COUNTIF(B13:B49,"*CCT*")</f>
        <v>0</v>
      </c>
      <c r="X23" s="171"/>
      <c r="Y23" s="171"/>
      <c r="Z23" s="171"/>
    </row>
    <row r="24" spans="1:26" x14ac:dyDescent="0.3">
      <c r="A24" s="4"/>
      <c r="B24" s="1"/>
      <c r="C24" s="2"/>
      <c r="D24" s="2"/>
      <c r="E24" s="3"/>
      <c r="F24" s="3"/>
      <c r="G24" s="3"/>
      <c r="H24" s="3"/>
      <c r="I24" s="47">
        <f>0.1*(H_Juin[[#This Row],[Heures de nuit]]+IF(H_Juin[[#This Row],[majoration dim &amp; JF]]="non",0,H_Juin[[#This Row],[heures jour dimanche]]+H_Juin[[#This Row],[heures jour fériés]]))</f>
        <v>0</v>
      </c>
      <c r="J24" s="48">
        <f>(MOD(H_Juin[[#This Row],[Fin]]-H_Juin[[#This Row],[début]],1)-MOD(H_Juin[[#This Row],[PNP Fin]]-H_Juin[[#This Row],[PNP Début]],1))*24</f>
        <v>0</v>
      </c>
      <c r="K24" s="109" t="str">
        <f>IFERROR(VLOOKUP(H_Juin[[#This Row],[Service]],Codes[],4,0),"")</f>
        <v/>
      </c>
      <c r="L24" s="49">
        <f>IF(H_Juin[[#This Row],[PNP Début]]=0,0,IF(H_Juin[[#This Row],[PNP Début]]&lt;H_Juin[[#This Row],[début]],1,0)+H_Juin[[#This Row],[PNP Début]])</f>
        <v>0</v>
      </c>
      <c r="M24" s="50">
        <f>IF(H_Juin[[#This Row],[PNP Fin]]=0,0,IF(H_Juin[[#This Row],[PNP Fin]]&lt;H_Juin[[#This Row],[début]],1,0)+H_Juin[[#This Row],[PNP Fin]])</f>
        <v>0</v>
      </c>
      <c r="N24" s="50">
        <f>IF(H_Juin[[#This Row],[Fin]]&lt;H_Juin[[#This Row],[début]],1,0)+H_Juin[[#This Row],[Fin]]</f>
        <v>0</v>
      </c>
      <c r="O2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W24" s="171"/>
      <c r="X24" s="171"/>
      <c r="Y24" s="171"/>
      <c r="Z24" s="171"/>
    </row>
    <row r="25" spans="1:26" x14ac:dyDescent="0.3">
      <c r="A25" s="4"/>
      <c r="B25" s="1"/>
      <c r="C25" s="2"/>
      <c r="D25" s="2"/>
      <c r="E25" s="3"/>
      <c r="F25" s="3"/>
      <c r="G25" s="3"/>
      <c r="H25" s="3"/>
      <c r="I25" s="47">
        <f>0.1*(H_Juin[[#This Row],[Heures de nuit]]+IF(H_Juin[[#This Row],[majoration dim &amp; JF]]="non",0,H_Juin[[#This Row],[heures jour dimanche]]+H_Juin[[#This Row],[heures jour fériés]]))</f>
        <v>0</v>
      </c>
      <c r="J25" s="48">
        <f>(MOD(H_Juin[[#This Row],[Fin]]-H_Juin[[#This Row],[début]],1)-MOD(H_Juin[[#This Row],[PNP Fin]]-H_Juin[[#This Row],[PNP Début]],1))*24</f>
        <v>0</v>
      </c>
      <c r="K25" s="109" t="str">
        <f>IFERROR(VLOOKUP(H_Juin[[#This Row],[Service]],Codes[],4,0),"")</f>
        <v/>
      </c>
      <c r="L25" s="49">
        <f>IF(H_Juin[[#This Row],[PNP Début]]=0,0,IF(H_Juin[[#This Row],[PNP Début]]&lt;H_Juin[[#This Row],[début]],1,0)+H_Juin[[#This Row],[PNP Début]])</f>
        <v>0</v>
      </c>
      <c r="M25" s="50">
        <f>IF(H_Juin[[#This Row],[PNP Fin]]=0,0,IF(H_Juin[[#This Row],[PNP Fin]]&lt;H_Juin[[#This Row],[début]],1,0)+H_Juin[[#This Row],[PNP Fin]])</f>
        <v>0</v>
      </c>
      <c r="N25" s="50">
        <f>IF(H_Juin[[#This Row],[Fin]]&lt;H_Juin[[#This Row],[début]],1,0)+H_Juin[[#This Row],[Fin]]</f>
        <v>0</v>
      </c>
      <c r="O2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W25" s="171"/>
      <c r="X25" s="171"/>
      <c r="Y25" s="171"/>
      <c r="Z25" s="171"/>
    </row>
    <row r="26" spans="1:26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0.1*(H_Juin[[#This Row],[Heures de nuit]]+IF(H_Juin[[#This Row],[majoration dim &amp; JF]]="non",0,H_Juin[[#This Row],[heures jour dimanche]]+H_Juin[[#This Row],[heures jour fériés]]))</f>
        <v>0</v>
      </c>
      <c r="J26" s="48">
        <f>(MOD(H_Juin[[#This Row],[Fin]]-H_Juin[[#This Row],[début]],1)-MOD(H_Juin[[#This Row],[PNP Fin]]-H_Juin[[#This Row],[PNP Début]],1))*24</f>
        <v>0</v>
      </c>
      <c r="K26" s="109" t="str">
        <f>IFERROR(VLOOKUP(H_Juin[[#This Row],[Service]],Codes[],4,0),"")</f>
        <v/>
      </c>
      <c r="L26" s="49">
        <f>IF(H_Juin[[#This Row],[PNP Début]]=0,0,IF(H_Juin[[#This Row],[PNP Début]]&lt;H_Juin[[#This Row],[début]],1,0)+H_Juin[[#This Row],[PNP Début]])</f>
        <v>0</v>
      </c>
      <c r="M26" s="50">
        <f>IF(H_Juin[[#This Row],[PNP Fin]]=0,0,IF(H_Juin[[#This Row],[PNP Fin]]&lt;H_Juin[[#This Row],[début]],1,0)+H_Juin[[#This Row],[PNP Fin]])</f>
        <v>0</v>
      </c>
      <c r="N26" s="50">
        <f>IF(H_Juin[[#This Row],[Fin]]&lt;H_Juin[[#This Row],[début]],1,0)+H_Juin[[#This Row],[Fin]]</f>
        <v>0</v>
      </c>
      <c r="O2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  <c r="W26" s="171"/>
      <c r="X26" s="171"/>
      <c r="Y26" s="171"/>
      <c r="Z26" s="171"/>
    </row>
    <row r="27" spans="1:26" x14ac:dyDescent="0.3">
      <c r="A27" s="4"/>
      <c r="B27" s="1"/>
      <c r="C27" s="2"/>
      <c r="D27" s="2"/>
      <c r="E27" s="3"/>
      <c r="F27" s="3"/>
      <c r="G27" s="3"/>
      <c r="H27" s="3"/>
      <c r="I27" s="47">
        <f>0.1*(H_Juin[[#This Row],[Heures de nuit]]+IF(H_Juin[[#This Row],[majoration dim &amp; JF]]="non",0,H_Juin[[#This Row],[heures jour dimanche]]+H_Juin[[#This Row],[heures jour fériés]]))</f>
        <v>0</v>
      </c>
      <c r="J27" s="48">
        <f>(MOD(H_Juin[[#This Row],[Fin]]-H_Juin[[#This Row],[début]],1)-MOD(H_Juin[[#This Row],[PNP Fin]]-H_Juin[[#This Row],[PNP Début]],1))*24</f>
        <v>0</v>
      </c>
      <c r="K27" s="109" t="str">
        <f>IFERROR(VLOOKUP(H_Juin[[#This Row],[Service]],Codes[],4,0),"")</f>
        <v/>
      </c>
      <c r="L27" s="49">
        <f>IF(H_Juin[[#This Row],[PNP Début]]=0,0,IF(H_Juin[[#This Row],[PNP Début]]&lt;H_Juin[[#This Row],[début]],1,0)+H_Juin[[#This Row],[PNP Début]])</f>
        <v>0</v>
      </c>
      <c r="M27" s="50">
        <f>IF(H_Juin[[#This Row],[PNP Fin]]=0,0,IF(H_Juin[[#This Row],[PNP Fin]]&lt;H_Juin[[#This Row],[début]],1,0)+H_Juin[[#This Row],[PNP Fin]])</f>
        <v>0</v>
      </c>
      <c r="N27" s="50">
        <f>IF(H_Juin[[#This Row],[Fin]]&lt;H_Juin[[#This Row],[début]],1,0)+H_Juin[[#This Row],[Fin]]</f>
        <v>0</v>
      </c>
      <c r="O2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8" spans="1:26" x14ac:dyDescent="0.3">
      <c r="A28" s="4"/>
      <c r="B28" s="1"/>
      <c r="C28" s="2"/>
      <c r="D28" s="2"/>
      <c r="E28" s="3"/>
      <c r="F28" s="3"/>
      <c r="G28" s="3"/>
      <c r="H28" s="3"/>
      <c r="I28" s="47">
        <f>0.1*(H_Juin[[#This Row],[Heures de nuit]]+IF(H_Juin[[#This Row],[majoration dim &amp; JF]]="non",0,H_Juin[[#This Row],[heures jour dimanche]]+H_Juin[[#This Row],[heures jour fériés]]))</f>
        <v>0</v>
      </c>
      <c r="J28" s="48">
        <f>(MOD(H_Juin[[#This Row],[Fin]]-H_Juin[[#This Row],[début]],1)-MOD(H_Juin[[#This Row],[PNP Fin]]-H_Juin[[#This Row],[PNP Début]],1))*24</f>
        <v>0</v>
      </c>
      <c r="K28" s="109" t="str">
        <f>IFERROR(VLOOKUP(H_Juin[[#This Row],[Service]],Codes[],4,0),"")</f>
        <v/>
      </c>
      <c r="L28" s="49">
        <f>IF(H_Juin[[#This Row],[PNP Début]]=0,0,IF(H_Juin[[#This Row],[PNP Début]]&lt;H_Juin[[#This Row],[début]],1,0)+H_Juin[[#This Row],[PNP Début]])</f>
        <v>0</v>
      </c>
      <c r="M28" s="50">
        <f>IF(H_Juin[[#This Row],[PNP Fin]]=0,0,IF(H_Juin[[#This Row],[PNP Fin]]&lt;H_Juin[[#This Row],[début]],1,0)+H_Juin[[#This Row],[PNP Fin]])</f>
        <v>0</v>
      </c>
      <c r="N28" s="50">
        <f>IF(H_Juin[[#This Row],[Fin]]&lt;H_Juin[[#This Row],[début]],1,0)+H_Juin[[#This Row],[Fin]]</f>
        <v>0</v>
      </c>
      <c r="O2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9" spans="1:26" x14ac:dyDescent="0.3">
      <c r="A29" s="4"/>
      <c r="B29" s="1"/>
      <c r="C29" s="2"/>
      <c r="D29" s="2"/>
      <c r="E29" s="3"/>
      <c r="F29" s="3"/>
      <c r="G29" s="3"/>
      <c r="H29" s="3"/>
      <c r="I29" s="47">
        <f>0.1*(H_Juin[[#This Row],[Heures de nuit]]+IF(H_Juin[[#This Row],[majoration dim &amp; JF]]="non",0,H_Juin[[#This Row],[heures jour dimanche]]+H_Juin[[#This Row],[heures jour fériés]]))</f>
        <v>0</v>
      </c>
      <c r="J29" s="48">
        <f>(MOD(H_Juin[[#This Row],[Fin]]-H_Juin[[#This Row],[début]],1)-MOD(H_Juin[[#This Row],[PNP Fin]]-H_Juin[[#This Row],[PNP Début]],1))*24</f>
        <v>0</v>
      </c>
      <c r="K29" s="109" t="str">
        <f>IFERROR(VLOOKUP(H_Juin[[#This Row],[Service]],Codes[],4,0),"")</f>
        <v/>
      </c>
      <c r="L29" s="49">
        <f>IF(H_Juin[[#This Row],[PNP Début]]=0,0,IF(H_Juin[[#This Row],[PNP Début]]&lt;H_Juin[[#This Row],[début]],1,0)+H_Juin[[#This Row],[PNP Début]])</f>
        <v>0</v>
      </c>
      <c r="M29" s="50">
        <f>IF(H_Juin[[#This Row],[PNP Fin]]=0,0,IF(H_Juin[[#This Row],[PNP Fin]]&lt;H_Juin[[#This Row],[début]],1,0)+H_Juin[[#This Row],[PNP Fin]])</f>
        <v>0</v>
      </c>
      <c r="N29" s="50">
        <f>IF(H_Juin[[#This Row],[Fin]]&lt;H_Juin[[#This Row],[début]],1,0)+H_Juin[[#This Row],[Fin]]</f>
        <v>0</v>
      </c>
      <c r="O2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0" spans="1:26" x14ac:dyDescent="0.3">
      <c r="A30" s="4"/>
      <c r="B30" s="1"/>
      <c r="C30" s="2"/>
      <c r="D30" s="2"/>
      <c r="E30" s="3"/>
      <c r="F30" s="3"/>
      <c r="G30" s="3"/>
      <c r="H30" s="3"/>
      <c r="I30" s="47">
        <f>0.1*(H_Juin[[#This Row],[Heures de nuit]]+IF(H_Juin[[#This Row],[majoration dim &amp; JF]]="non",0,H_Juin[[#This Row],[heures jour dimanche]]+H_Juin[[#This Row],[heures jour fériés]]))</f>
        <v>0</v>
      </c>
      <c r="J30" s="48">
        <f>(MOD(H_Juin[[#This Row],[Fin]]-H_Juin[[#This Row],[début]],1)-MOD(H_Juin[[#This Row],[PNP Fin]]-H_Juin[[#This Row],[PNP Début]],1))*24</f>
        <v>0</v>
      </c>
      <c r="K30" s="109" t="str">
        <f>IFERROR(VLOOKUP(H_Juin[[#This Row],[Service]],Codes[],4,0),"")</f>
        <v/>
      </c>
      <c r="L30" s="49">
        <f>IF(H_Juin[[#This Row],[PNP Début]]=0,0,IF(H_Juin[[#This Row],[PNP Début]]&lt;H_Juin[[#This Row],[début]],1,0)+H_Juin[[#This Row],[PNP Début]])</f>
        <v>0</v>
      </c>
      <c r="M30" s="50">
        <f>IF(H_Juin[[#This Row],[PNP Fin]]=0,0,IF(H_Juin[[#This Row],[PNP Fin]]&lt;H_Juin[[#This Row],[début]],1,0)+H_Juin[[#This Row],[PNP Fin]])</f>
        <v>0</v>
      </c>
      <c r="N30" s="50">
        <f>IF(H_Juin[[#This Row],[Fin]]&lt;H_Juin[[#This Row],[début]],1,0)+H_Juin[[#This Row],[Fin]]</f>
        <v>0</v>
      </c>
      <c r="O3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0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1" spans="1:26" x14ac:dyDescent="0.3">
      <c r="A31" s="4"/>
      <c r="B31" s="1"/>
      <c r="C31" s="2"/>
      <c r="D31" s="2"/>
      <c r="E31" s="3"/>
      <c r="F31" s="3"/>
      <c r="G31" s="3"/>
      <c r="H31" s="3"/>
      <c r="I31" s="47">
        <f>0.1*(H_Juin[[#This Row],[Heures de nuit]]+IF(H_Juin[[#This Row],[majoration dim &amp; JF]]="non",0,H_Juin[[#This Row],[heures jour dimanche]]+H_Juin[[#This Row],[heures jour fériés]]))</f>
        <v>0</v>
      </c>
      <c r="J31" s="48">
        <f>(MOD(H_Juin[[#This Row],[Fin]]-H_Juin[[#This Row],[début]],1)-MOD(H_Juin[[#This Row],[PNP Fin]]-H_Juin[[#This Row],[PNP Début]],1))*24</f>
        <v>0</v>
      </c>
      <c r="K31" s="109" t="str">
        <f>IFERROR(VLOOKUP(H_Juin[[#This Row],[Service]],Codes[],4,0),"")</f>
        <v/>
      </c>
      <c r="L31" s="49">
        <f>IF(H_Juin[[#This Row],[PNP Début]]=0,0,IF(H_Juin[[#This Row],[PNP Début]]&lt;H_Juin[[#This Row],[début]],1,0)+H_Juin[[#This Row],[PNP Début]])</f>
        <v>0</v>
      </c>
      <c r="M31" s="50">
        <f>IF(H_Juin[[#This Row],[PNP Fin]]=0,0,IF(H_Juin[[#This Row],[PNP Fin]]&lt;H_Juin[[#This Row],[début]],1,0)+H_Juin[[#This Row],[PNP Fin]])</f>
        <v>0</v>
      </c>
      <c r="N31" s="50">
        <f>IF(H_Juin[[#This Row],[Fin]]&lt;H_Juin[[#This Row],[début]],1,0)+H_Juin[[#This Row],[Fin]]</f>
        <v>0</v>
      </c>
      <c r="O3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1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2" spans="1:26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0.1*(H_Juin[[#This Row],[Heures de nuit]]+IF(H_Juin[[#This Row],[majoration dim &amp; JF]]="non",0,H_Juin[[#This Row],[heures jour dimanche]]+H_Juin[[#This Row],[heures jour fériés]]))</f>
        <v>0</v>
      </c>
      <c r="J32" s="48">
        <f>(MOD(H_Juin[[#This Row],[Fin]]-H_Juin[[#This Row],[début]],1)-MOD(H_Juin[[#This Row],[PNP Fin]]-H_Juin[[#This Row],[PNP Début]],1))*24</f>
        <v>0</v>
      </c>
      <c r="K32" s="109" t="str">
        <f>IFERROR(VLOOKUP(H_Juin[[#This Row],[Service]],Codes[],4,0),"")</f>
        <v/>
      </c>
      <c r="L32" s="49">
        <f>IF(H_Juin[[#This Row],[PNP Début]]=0,0,IF(H_Juin[[#This Row],[PNP Début]]&lt;H_Juin[[#This Row],[début]],1,0)+H_Juin[[#This Row],[PNP Début]])</f>
        <v>0</v>
      </c>
      <c r="M32" s="50">
        <f>IF(H_Juin[[#This Row],[PNP Fin]]=0,0,IF(H_Juin[[#This Row],[PNP Fin]]&lt;H_Juin[[#This Row],[début]],1,0)+H_Juin[[#This Row],[PNP Fin]])</f>
        <v>0</v>
      </c>
      <c r="N32" s="50">
        <f>IF(H_Juin[[#This Row],[Fin]]&lt;H_Juin[[#This Row],[début]],1,0)+H_Juin[[#This Row],[Fin]]</f>
        <v>0</v>
      </c>
      <c r="O3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0.1*(H_Juin[[#This Row],[Heures de nuit]]+IF(H_Juin[[#This Row],[majoration dim &amp; JF]]="non",0,H_Juin[[#This Row],[heures jour dimanche]]+H_Juin[[#This Row],[heures jour fériés]]))</f>
        <v>0</v>
      </c>
      <c r="J33" s="48">
        <f>(MOD(H_Juin[[#This Row],[Fin]]-H_Juin[[#This Row],[début]],1)-MOD(H_Juin[[#This Row],[PNP Fin]]-H_Juin[[#This Row],[PNP Début]],1))*24</f>
        <v>0</v>
      </c>
      <c r="K33" s="109" t="str">
        <f>IFERROR(VLOOKUP(H_Juin[[#This Row],[Service]],Codes[],4,0),"")</f>
        <v/>
      </c>
      <c r="L33" s="49">
        <f>IF(H_Juin[[#This Row],[PNP Début]]=0,0,IF(H_Juin[[#This Row],[PNP Début]]&lt;H_Juin[[#This Row],[début]],1,0)+H_Juin[[#This Row],[PNP Début]])</f>
        <v>0</v>
      </c>
      <c r="M33" s="50">
        <f>IF(H_Juin[[#This Row],[PNP Fin]]=0,0,IF(H_Juin[[#This Row],[PNP Fin]]&lt;H_Juin[[#This Row],[début]],1,0)+H_Juin[[#This Row],[PNP Fin]])</f>
        <v>0</v>
      </c>
      <c r="N33" s="50">
        <f>IF(H_Juin[[#This Row],[Fin]]&lt;H_Juin[[#This Row],[début]],1,0)+H_Juin[[#This Row],[Fin]]</f>
        <v>0</v>
      </c>
      <c r="O3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0.1*(H_Juin[[#This Row],[Heures de nuit]]+IF(H_Juin[[#This Row],[majoration dim &amp; JF]]="non",0,H_Juin[[#This Row],[heures jour dimanche]]+H_Juin[[#This Row],[heures jour fériés]]))</f>
        <v>0</v>
      </c>
      <c r="J34" s="48">
        <f>(MOD(H_Juin[[#This Row],[Fin]]-H_Juin[[#This Row],[début]],1)-MOD(H_Juin[[#This Row],[PNP Fin]]-H_Juin[[#This Row],[PNP Début]],1))*24</f>
        <v>0</v>
      </c>
      <c r="K34" s="109" t="str">
        <f>IFERROR(VLOOKUP(H_Juin[[#This Row],[Service]],Codes[],4,0),"")</f>
        <v/>
      </c>
      <c r="L34" s="49">
        <f>IF(H_Juin[[#This Row],[PNP Début]]=0,0,IF(H_Juin[[#This Row],[PNP Début]]&lt;H_Juin[[#This Row],[début]],1,0)+H_Juin[[#This Row],[PNP Début]])</f>
        <v>0</v>
      </c>
      <c r="M34" s="50">
        <f>IF(H_Juin[[#This Row],[PNP Fin]]=0,0,IF(H_Juin[[#This Row],[PNP Fin]]&lt;H_Juin[[#This Row],[début]],1,0)+H_Juin[[#This Row],[PNP Fin]])</f>
        <v>0</v>
      </c>
      <c r="N34" s="50">
        <f>IF(H_Juin[[#This Row],[Fin]]&lt;H_Juin[[#This Row],[début]],1,0)+H_Juin[[#This Row],[Fin]]</f>
        <v>0</v>
      </c>
      <c r="O3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0.1*(H_Juin[[#This Row],[Heures de nuit]]+IF(H_Juin[[#This Row],[majoration dim &amp; JF]]="non",0,H_Juin[[#This Row],[heures jour dimanche]]+H_Juin[[#This Row],[heures jour fériés]]))</f>
        <v>0</v>
      </c>
      <c r="J35" s="48">
        <f>(MOD(H_Juin[[#This Row],[Fin]]-H_Juin[[#This Row],[début]],1)-MOD(H_Juin[[#This Row],[PNP Fin]]-H_Juin[[#This Row],[PNP Début]],1))*24</f>
        <v>0</v>
      </c>
      <c r="K35" s="109" t="str">
        <f>IFERROR(VLOOKUP(H_Juin[[#This Row],[Service]],Codes[],4,0),"")</f>
        <v/>
      </c>
      <c r="L35" s="49">
        <f>IF(H_Juin[[#This Row],[PNP Début]]=0,0,IF(H_Juin[[#This Row],[PNP Début]]&lt;H_Juin[[#This Row],[début]],1,0)+H_Juin[[#This Row],[PNP Début]])</f>
        <v>0</v>
      </c>
      <c r="M35" s="50">
        <f>IF(H_Juin[[#This Row],[PNP Fin]]=0,0,IF(H_Juin[[#This Row],[PNP Fin]]&lt;H_Juin[[#This Row],[début]],1,0)+H_Juin[[#This Row],[PNP Fin]])</f>
        <v>0</v>
      </c>
      <c r="N35" s="50">
        <f>IF(H_Juin[[#This Row],[Fin]]&lt;H_Juin[[#This Row],[début]],1,0)+H_Juin[[#This Row],[Fin]]</f>
        <v>0</v>
      </c>
      <c r="O3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0.1*(H_Juin[[#This Row],[Heures de nuit]]+IF(H_Juin[[#This Row],[majoration dim &amp; JF]]="non",0,H_Juin[[#This Row],[heures jour dimanche]]+H_Juin[[#This Row],[heures jour fériés]]))</f>
        <v>0</v>
      </c>
      <c r="J36" s="48">
        <f>(MOD(H_Juin[[#This Row],[Fin]]-H_Juin[[#This Row],[début]],1)-MOD(H_Juin[[#This Row],[PNP Fin]]-H_Juin[[#This Row],[PNP Début]],1))*24</f>
        <v>0</v>
      </c>
      <c r="K36" s="109" t="str">
        <f>IFERROR(VLOOKUP(H_Juin[[#This Row],[Service]],Codes[],4,0),"")</f>
        <v/>
      </c>
      <c r="L36" s="49">
        <f>IF(H_Juin[[#This Row],[PNP Début]]=0,0,IF(H_Juin[[#This Row],[PNP Début]]&lt;H_Juin[[#This Row],[début]],1,0)+H_Juin[[#This Row],[PNP Début]])</f>
        <v>0</v>
      </c>
      <c r="M36" s="50">
        <f>IF(H_Juin[[#This Row],[PNP Fin]]=0,0,IF(H_Juin[[#This Row],[PNP Fin]]&lt;H_Juin[[#This Row],[début]],1,0)+H_Juin[[#This Row],[PNP Fin]])</f>
        <v>0</v>
      </c>
      <c r="N36" s="50">
        <f>IF(H_Juin[[#This Row],[Fin]]&lt;H_Juin[[#This Row],[début]],1,0)+H_Juin[[#This Row],[Fin]]</f>
        <v>0</v>
      </c>
      <c r="O3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0.1*(H_Juin[[#This Row],[Heures de nuit]]+IF(H_Juin[[#This Row],[majoration dim &amp; JF]]="non",0,H_Juin[[#This Row],[heures jour dimanche]]+H_Juin[[#This Row],[heures jour fériés]]))</f>
        <v>0</v>
      </c>
      <c r="J37" s="48">
        <f>(MOD(H_Juin[[#This Row],[Fin]]-H_Juin[[#This Row],[début]],1)-MOD(H_Juin[[#This Row],[PNP Fin]]-H_Juin[[#This Row],[PNP Début]],1))*24</f>
        <v>0</v>
      </c>
      <c r="K37" s="109" t="str">
        <f>IFERROR(VLOOKUP(H_Juin[[#This Row],[Service]],Codes[],4,0),"")</f>
        <v/>
      </c>
      <c r="L37" s="49">
        <f>IF(H_Juin[[#This Row],[PNP Début]]=0,0,IF(H_Juin[[#This Row],[PNP Début]]&lt;H_Juin[[#This Row],[début]],1,0)+H_Juin[[#This Row],[PNP Début]])</f>
        <v>0</v>
      </c>
      <c r="M37" s="50">
        <f>IF(H_Juin[[#This Row],[PNP Fin]]=0,0,IF(H_Juin[[#This Row],[PNP Fin]]&lt;H_Juin[[#This Row],[début]],1,0)+H_Juin[[#This Row],[PNP Fin]])</f>
        <v>0</v>
      </c>
      <c r="N37" s="50">
        <f>IF(H_Juin[[#This Row],[Fin]]&lt;H_Juin[[#This Row],[début]],1,0)+H_Juin[[#This Row],[Fin]]</f>
        <v>0</v>
      </c>
      <c r="O3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0.1*(H_Juin[[#This Row],[Heures de nuit]]+IF(H_Juin[[#This Row],[majoration dim &amp; JF]]="non",0,H_Juin[[#This Row],[heures jour dimanche]]+H_Juin[[#This Row],[heures jour fériés]]))</f>
        <v>0</v>
      </c>
      <c r="J38" s="48">
        <f>(MOD(H_Juin[[#This Row],[Fin]]-H_Juin[[#This Row],[début]],1)-MOD(H_Juin[[#This Row],[PNP Fin]]-H_Juin[[#This Row],[PNP Début]],1))*24</f>
        <v>0</v>
      </c>
      <c r="K38" s="109" t="str">
        <f>IFERROR(VLOOKUP(H_Juin[[#This Row],[Service]],Codes[],4,0),"")</f>
        <v/>
      </c>
      <c r="L38" s="49">
        <f>IF(H_Juin[[#This Row],[PNP Début]]=0,0,IF(H_Juin[[#This Row],[PNP Début]]&lt;H_Juin[[#This Row],[début]],1,0)+H_Juin[[#This Row],[PNP Début]])</f>
        <v>0</v>
      </c>
      <c r="M38" s="50">
        <f>IF(H_Juin[[#This Row],[PNP Fin]]=0,0,IF(H_Juin[[#This Row],[PNP Fin]]&lt;H_Juin[[#This Row],[début]],1,0)+H_Juin[[#This Row],[PNP Fin]])</f>
        <v>0</v>
      </c>
      <c r="N38" s="50">
        <f>IF(H_Juin[[#This Row],[Fin]]&lt;H_Juin[[#This Row],[début]],1,0)+H_Juin[[#This Row],[Fin]]</f>
        <v>0</v>
      </c>
      <c r="O3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0.1*(H_Juin[[#This Row],[Heures de nuit]]+IF(H_Juin[[#This Row],[majoration dim &amp; JF]]="non",0,H_Juin[[#This Row],[heures jour dimanche]]+H_Juin[[#This Row],[heures jour fériés]]))</f>
        <v>0</v>
      </c>
      <c r="J39" s="48">
        <f>(MOD(H_Juin[[#This Row],[Fin]]-H_Juin[[#This Row],[début]],1)-MOD(H_Juin[[#This Row],[PNP Fin]]-H_Juin[[#This Row],[PNP Début]],1))*24</f>
        <v>0</v>
      </c>
      <c r="K39" s="109" t="str">
        <f>IFERROR(VLOOKUP(H_Juin[[#This Row],[Service]],Codes[],4,0),"")</f>
        <v/>
      </c>
      <c r="L39" s="49">
        <f>IF(H_Juin[[#This Row],[PNP Début]]=0,0,IF(H_Juin[[#This Row],[PNP Début]]&lt;H_Juin[[#This Row],[début]],1,0)+H_Juin[[#This Row],[PNP Début]])</f>
        <v>0</v>
      </c>
      <c r="M39" s="50">
        <f>IF(H_Juin[[#This Row],[PNP Fin]]=0,0,IF(H_Juin[[#This Row],[PNP Fin]]&lt;H_Juin[[#This Row],[début]],1,0)+H_Juin[[#This Row],[PNP Fin]])</f>
        <v>0</v>
      </c>
      <c r="N39" s="50">
        <f>IF(H_Juin[[#This Row],[Fin]]&lt;H_Juin[[#This Row],[début]],1,0)+H_Juin[[#This Row],[Fin]]</f>
        <v>0</v>
      </c>
      <c r="O3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0.1*(H_Juin[[#This Row],[Heures de nuit]]+IF(H_Juin[[#This Row],[majoration dim &amp; JF]]="non",0,H_Juin[[#This Row],[heures jour dimanche]]+H_Juin[[#This Row],[heures jour fériés]]))</f>
        <v>0</v>
      </c>
      <c r="J40" s="48">
        <f>(MOD(H_Juin[[#This Row],[Fin]]-H_Juin[[#This Row],[début]],1)-MOD(H_Juin[[#This Row],[PNP Fin]]-H_Juin[[#This Row],[PNP Début]],1))*24</f>
        <v>0</v>
      </c>
      <c r="K40" s="109" t="str">
        <f>IFERROR(VLOOKUP(H_Juin[[#This Row],[Service]],Codes[],4,0),"")</f>
        <v/>
      </c>
      <c r="L40" s="49">
        <f>IF(H_Juin[[#This Row],[PNP Début]]=0,0,IF(H_Juin[[#This Row],[PNP Début]]&lt;H_Juin[[#This Row],[début]],1,0)+H_Juin[[#This Row],[PNP Début]])</f>
        <v>0</v>
      </c>
      <c r="M40" s="50">
        <f>IF(H_Juin[[#This Row],[PNP Fin]]=0,0,IF(H_Juin[[#This Row],[PNP Fin]]&lt;H_Juin[[#This Row],[début]],1,0)+H_Juin[[#This Row],[PNP Fin]])</f>
        <v>0</v>
      </c>
      <c r="N40" s="50">
        <f>IF(H_Juin[[#This Row],[Fin]]&lt;H_Juin[[#This Row],[début]],1,0)+H_Juin[[#This Row],[Fin]]</f>
        <v>0</v>
      </c>
      <c r="O4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0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0.1*(H_Juin[[#This Row],[Heures de nuit]]+IF(H_Juin[[#This Row],[majoration dim &amp; JF]]="non",0,H_Juin[[#This Row],[heures jour dimanche]]+H_Juin[[#This Row],[heures jour fériés]]))</f>
        <v>0</v>
      </c>
      <c r="J41" s="48">
        <f>(MOD(H_Juin[[#This Row],[Fin]]-H_Juin[[#This Row],[début]],1)-MOD(H_Juin[[#This Row],[PNP Fin]]-H_Juin[[#This Row],[PNP Début]],1))*24</f>
        <v>0</v>
      </c>
      <c r="K41" s="109" t="str">
        <f>IFERROR(VLOOKUP(H_Juin[[#This Row],[Service]],Codes[],4,0),"")</f>
        <v/>
      </c>
      <c r="L41" s="49">
        <f>IF(H_Juin[[#This Row],[PNP Début]]=0,0,IF(H_Juin[[#This Row],[PNP Début]]&lt;H_Juin[[#This Row],[début]],1,0)+H_Juin[[#This Row],[PNP Début]])</f>
        <v>0</v>
      </c>
      <c r="M41" s="50">
        <f>IF(H_Juin[[#This Row],[PNP Fin]]=0,0,IF(H_Juin[[#This Row],[PNP Fin]]&lt;H_Juin[[#This Row],[début]],1,0)+H_Juin[[#This Row],[PNP Fin]])</f>
        <v>0</v>
      </c>
      <c r="N41" s="50">
        <f>IF(H_Juin[[#This Row],[Fin]]&lt;H_Juin[[#This Row],[début]],1,0)+H_Juin[[#This Row],[Fin]]</f>
        <v>0</v>
      </c>
      <c r="O4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1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0.1*(H_Juin[[#This Row],[Heures de nuit]]+IF(H_Juin[[#This Row],[majoration dim &amp; JF]]="non",0,H_Juin[[#This Row],[heures jour dimanche]]+H_Juin[[#This Row],[heures jour fériés]]))</f>
        <v>0</v>
      </c>
      <c r="J42" s="48">
        <f>(MOD(H_Juin[[#This Row],[Fin]]-H_Juin[[#This Row],[début]],1)-MOD(H_Juin[[#This Row],[PNP Fin]]-H_Juin[[#This Row],[PNP Début]],1))*24</f>
        <v>0</v>
      </c>
      <c r="K42" s="109" t="str">
        <f>IFERROR(VLOOKUP(H_Juin[[#This Row],[Service]],Codes[],4,0),"")</f>
        <v/>
      </c>
      <c r="L42" s="49">
        <f>IF(H_Juin[[#This Row],[PNP Début]]=0,0,IF(H_Juin[[#This Row],[PNP Début]]&lt;H_Juin[[#This Row],[début]],1,0)+H_Juin[[#This Row],[PNP Début]])</f>
        <v>0</v>
      </c>
      <c r="M42" s="50">
        <f>IF(H_Juin[[#This Row],[PNP Fin]]=0,0,IF(H_Juin[[#This Row],[PNP Fin]]&lt;H_Juin[[#This Row],[début]],1,0)+H_Juin[[#This Row],[PNP Fin]])</f>
        <v>0</v>
      </c>
      <c r="N42" s="50">
        <f>IF(H_Juin[[#This Row],[Fin]]&lt;H_Juin[[#This Row],[début]],1,0)+H_Juin[[#This Row],[Fin]]</f>
        <v>0</v>
      </c>
      <c r="O4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0.1*(H_Juin[[#This Row],[Heures de nuit]]+IF(H_Juin[[#This Row],[majoration dim &amp; JF]]="non",0,H_Juin[[#This Row],[heures jour dimanche]]+H_Juin[[#This Row],[heures jour fériés]]))</f>
        <v>0</v>
      </c>
      <c r="J43" s="48">
        <f>(MOD(H_Juin[[#This Row],[Fin]]-H_Juin[[#This Row],[début]],1)-MOD(H_Juin[[#This Row],[PNP Fin]]-H_Juin[[#This Row],[PNP Début]],1))*24</f>
        <v>0</v>
      </c>
      <c r="K43" s="109" t="str">
        <f>IFERROR(VLOOKUP(H_Juin[[#This Row],[Service]],Codes[],4,0),"")</f>
        <v/>
      </c>
      <c r="L43" s="49">
        <f>IF(H_Juin[[#This Row],[PNP Début]]=0,0,IF(H_Juin[[#This Row],[PNP Début]]&lt;H_Juin[[#This Row],[début]],1,0)+H_Juin[[#This Row],[PNP Début]])</f>
        <v>0</v>
      </c>
      <c r="M43" s="50">
        <f>IF(H_Juin[[#This Row],[PNP Fin]]=0,0,IF(H_Juin[[#This Row],[PNP Fin]]&lt;H_Juin[[#This Row],[début]],1,0)+H_Juin[[#This Row],[PNP Fin]])</f>
        <v>0</v>
      </c>
      <c r="N43" s="50">
        <f>IF(H_Juin[[#This Row],[Fin]]&lt;H_Juin[[#This Row],[début]],1,0)+H_Juin[[#This Row],[Fin]]</f>
        <v>0</v>
      </c>
      <c r="O4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0.1*(H_Juin[[#This Row],[Heures de nuit]]+IF(H_Juin[[#This Row],[majoration dim &amp; JF]]="non",0,H_Juin[[#This Row],[heures jour dimanche]]+H_Juin[[#This Row],[heures jour fériés]]))</f>
        <v>0</v>
      </c>
      <c r="J44" s="48">
        <f>(MOD(H_Juin[[#This Row],[Fin]]-H_Juin[[#This Row],[début]],1)-MOD(H_Juin[[#This Row],[PNP Fin]]-H_Juin[[#This Row],[PNP Début]],1))*24</f>
        <v>0</v>
      </c>
      <c r="K44" s="109" t="str">
        <f>IFERROR(VLOOKUP(H_Juin[[#This Row],[Service]],Codes[],4,0),"")</f>
        <v/>
      </c>
      <c r="L44" s="49">
        <f>IF(H_Juin[[#This Row],[PNP Début]]=0,0,IF(H_Juin[[#This Row],[PNP Début]]&lt;H_Juin[[#This Row],[début]],1,0)+H_Juin[[#This Row],[PNP Début]])</f>
        <v>0</v>
      </c>
      <c r="M44" s="50">
        <f>IF(H_Juin[[#This Row],[PNP Fin]]=0,0,IF(H_Juin[[#This Row],[PNP Fin]]&lt;H_Juin[[#This Row],[début]],1,0)+H_Juin[[#This Row],[PNP Fin]])</f>
        <v>0</v>
      </c>
      <c r="N44" s="50">
        <f>IF(H_Juin[[#This Row],[Fin]]&lt;H_Juin[[#This Row],[début]],1,0)+H_Juin[[#This Row],[Fin]]</f>
        <v>0</v>
      </c>
      <c r="O4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0.1*(H_Juin[[#This Row],[Heures de nuit]]+IF(H_Juin[[#This Row],[majoration dim &amp; JF]]="non",0,H_Juin[[#This Row],[heures jour dimanche]]+H_Juin[[#This Row],[heures jour fériés]]))</f>
        <v>0</v>
      </c>
      <c r="J45" s="48">
        <f>(MOD(H_Juin[[#This Row],[Fin]]-H_Juin[[#This Row],[début]],1)-MOD(H_Juin[[#This Row],[PNP Fin]]-H_Juin[[#This Row],[PNP Début]],1))*24</f>
        <v>0</v>
      </c>
      <c r="K45" s="109" t="str">
        <f>IFERROR(VLOOKUP(H_Juin[[#This Row],[Service]],Codes[],4,0),"")</f>
        <v/>
      </c>
      <c r="L45" s="49">
        <f>IF(H_Juin[[#This Row],[PNP Début]]=0,0,IF(H_Juin[[#This Row],[PNP Début]]&lt;H_Juin[[#This Row],[début]],1,0)+H_Juin[[#This Row],[PNP Début]])</f>
        <v>0</v>
      </c>
      <c r="M45" s="50">
        <f>IF(H_Juin[[#This Row],[PNP Fin]]=0,0,IF(H_Juin[[#This Row],[PNP Fin]]&lt;H_Juin[[#This Row],[début]],1,0)+H_Juin[[#This Row],[PNP Fin]])</f>
        <v>0</v>
      </c>
      <c r="N45" s="50">
        <f>IF(H_Juin[[#This Row],[Fin]]&lt;H_Juin[[#This Row],[début]],1,0)+H_Juin[[#This Row],[Fin]]</f>
        <v>0</v>
      </c>
      <c r="O4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0.1*(H_Juin[[#This Row],[Heures de nuit]]+IF(H_Juin[[#This Row],[majoration dim &amp; JF]]="non",0,H_Juin[[#This Row],[heures jour dimanche]]+H_Juin[[#This Row],[heures jour fériés]]))</f>
        <v>0</v>
      </c>
      <c r="J46" s="48">
        <f>(MOD(H_Juin[[#This Row],[Fin]]-H_Juin[[#This Row],[début]],1)-MOD(H_Juin[[#This Row],[PNP Fin]]-H_Juin[[#This Row],[PNP Début]],1))*24</f>
        <v>0</v>
      </c>
      <c r="K46" s="109" t="str">
        <f>IFERROR(VLOOKUP(H_Juin[[#This Row],[Service]],Codes[],4,0),"")</f>
        <v/>
      </c>
      <c r="L46" s="49">
        <f>IF(H_Juin[[#This Row],[PNP Début]]=0,0,IF(H_Juin[[#This Row],[PNP Début]]&lt;H_Juin[[#This Row],[début]],1,0)+H_Juin[[#This Row],[PNP Début]])</f>
        <v>0</v>
      </c>
      <c r="M46" s="50">
        <f>IF(H_Juin[[#This Row],[PNP Fin]]=0,0,IF(H_Juin[[#This Row],[PNP Fin]]&lt;H_Juin[[#This Row],[début]],1,0)+H_Juin[[#This Row],[PNP Fin]])</f>
        <v>0</v>
      </c>
      <c r="N46" s="50">
        <f>IF(H_Juin[[#This Row],[Fin]]&lt;H_Juin[[#This Row],[début]],1,0)+H_Juin[[#This Row],[Fin]]</f>
        <v>0</v>
      </c>
      <c r="O4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0.1*(H_Juin[[#This Row],[Heures de nuit]]+IF(H_Juin[[#This Row],[majoration dim &amp; JF]]="non",0,H_Juin[[#This Row],[heures jour dimanche]]+H_Juin[[#This Row],[heures jour fériés]]))</f>
        <v>0</v>
      </c>
      <c r="J47" s="48">
        <f>(MOD(H_Juin[[#This Row],[Fin]]-H_Juin[[#This Row],[début]],1)-MOD(H_Juin[[#This Row],[PNP Fin]]-H_Juin[[#This Row],[PNP Début]],1))*24</f>
        <v>0</v>
      </c>
      <c r="K47" s="109" t="str">
        <f>IFERROR(VLOOKUP(H_Juin[[#This Row],[Service]],Codes[],4,0),"")</f>
        <v/>
      </c>
      <c r="L47" s="49">
        <f>IF(H_Juin[[#This Row],[PNP Début]]=0,0,IF(H_Juin[[#This Row],[PNP Début]]&lt;H_Juin[[#This Row],[début]],1,0)+H_Juin[[#This Row],[PNP Début]])</f>
        <v>0</v>
      </c>
      <c r="M47" s="50">
        <f>IF(H_Juin[[#This Row],[PNP Fin]]=0,0,IF(H_Juin[[#This Row],[PNP Fin]]&lt;H_Juin[[#This Row],[début]],1,0)+H_Juin[[#This Row],[PNP Fin]])</f>
        <v>0</v>
      </c>
      <c r="N47" s="50">
        <f>IF(H_Juin[[#This Row],[Fin]]&lt;H_Juin[[#This Row],[début]],1,0)+H_Juin[[#This Row],[Fin]]</f>
        <v>0</v>
      </c>
      <c r="O4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0.1*(H_Juin[[#This Row],[Heures de nuit]]+IF(H_Juin[[#This Row],[majoration dim &amp; JF]]="non",0,H_Juin[[#This Row],[heures jour dimanche]]+H_Juin[[#This Row],[heures jour fériés]]))</f>
        <v>0</v>
      </c>
      <c r="J48" s="48">
        <f>(MOD(H_Juin[[#This Row],[Fin]]-H_Juin[[#This Row],[début]],1)-MOD(H_Juin[[#This Row],[PNP Fin]]-H_Juin[[#This Row],[PNP Début]],1))*24</f>
        <v>0</v>
      </c>
      <c r="K48" s="109" t="str">
        <f>IFERROR(VLOOKUP(H_Juin[[#This Row],[Service]],Codes[],4,0),"")</f>
        <v/>
      </c>
      <c r="L48" s="49">
        <f>IF(H_Juin[[#This Row],[PNP Début]]=0,0,IF(H_Juin[[#This Row],[PNP Début]]&lt;H_Juin[[#This Row],[début]],1,0)+H_Juin[[#This Row],[PNP Début]])</f>
        <v>0</v>
      </c>
      <c r="M48" s="50">
        <f>IF(H_Juin[[#This Row],[PNP Fin]]=0,0,IF(H_Juin[[#This Row],[PNP Fin]]&lt;H_Juin[[#This Row],[début]],1,0)+H_Juin[[#This Row],[PNP Fin]])</f>
        <v>0</v>
      </c>
      <c r="N48" s="50">
        <f>IF(H_Juin[[#This Row],[Fin]]&lt;H_Juin[[#This Row],[début]],1,0)+H_Juin[[#This Row],[Fin]]</f>
        <v>0</v>
      </c>
      <c r="O4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0.1*(H_Juin[[#This Row],[Heures de nuit]]+IF(H_Juin[[#This Row],[majoration dim &amp; JF]]="non",0,H_Juin[[#This Row],[heures jour dimanche]]+H_Juin[[#This Row],[heures jour fériés]]))</f>
        <v>0</v>
      </c>
      <c r="J49" s="48">
        <f>(MOD(H_Juin[[#This Row],[Fin]]-H_Juin[[#This Row],[début]],1)-MOD(H_Juin[[#This Row],[PNP Fin]]-H_Juin[[#This Row],[PNP Début]],1))*24</f>
        <v>0</v>
      </c>
      <c r="K49" s="109" t="str">
        <f>IFERROR(VLOOKUP(H_Juin[[#This Row],[Service]],Codes[],4,0),"")</f>
        <v/>
      </c>
      <c r="L49" s="49">
        <f>IF(H_Juin[[#This Row],[PNP Début]]=0,0,IF(H_Juin[[#This Row],[PNP Début]]&lt;H_Juin[[#This Row],[début]],1,0)+H_Juin[[#This Row],[PNP Début]])</f>
        <v>0</v>
      </c>
      <c r="M49" s="50">
        <f>IF(H_Juin[[#This Row],[PNP Fin]]=0,0,IF(H_Juin[[#This Row],[PNP Fin]]&lt;H_Juin[[#This Row],[début]],1,0)+H_Juin[[#This Row],[PNP Fin]])</f>
        <v>0</v>
      </c>
      <c r="N49" s="50">
        <f>IF(H_Juin[[#This Row],[Fin]]&lt;H_Juin[[#This Row],[début]],1,0)+H_Juin[[#This Row],[Fin]]</f>
        <v>0</v>
      </c>
      <c r="O4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SUM(H_Juin[Majoration])</f>
        <v>0</v>
      </c>
      <c r="J50" s="54">
        <f>SUM(H_Juin[Heures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88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print="0" autoLine="0" r:id="rId5">
            <anchor moveWithCells="1">
              <from>
                <xdr:col>9</xdr:col>
                <xdr:colOff>480060</xdr:colOff>
                <xdr:row>0</xdr:row>
                <xdr:rowOff>83820</xdr:rowOff>
              </from>
              <to>
                <xdr:col>9</xdr:col>
                <xdr:colOff>1272540</xdr:colOff>
                <xdr:row>3</xdr:row>
                <xdr:rowOff>198120</xdr:rowOff>
              </to>
            </anchor>
          </controlPr>
        </control>
      </mc:Choice>
      <mc:Fallback>
        <control shapeId="921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Z60"/>
  <sheetViews>
    <sheetView topLeftCell="A2" zoomScale="80" zoomScaleNormal="80" zoomScalePageLayoutView="55" workbookViewId="0">
      <selection activeCell="V19" activeCellId="2" sqref="V9:W10 V15:Z16 V19:W19"/>
    </sheetView>
  </sheetViews>
  <sheetFormatPr baseColWidth="10" defaultRowHeight="14.4" x14ac:dyDescent="0.3"/>
  <cols>
    <col min="1" max="1" width="20.1093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2.7773437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102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Juillet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68"/>
      <c r="Y9" s="169"/>
      <c r="Z9" s="168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68"/>
      <c r="Y10" s="168"/>
      <c r="Z10" s="168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68"/>
      <c r="X11" s="168"/>
      <c r="Y11" s="168"/>
      <c r="Z11" s="168"/>
    </row>
    <row r="12" spans="1:26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70"/>
      <c r="X12" s="170"/>
      <c r="Y12" s="170"/>
      <c r="Z12" s="170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0.1*(H_Juil[[#This Row],[Heures de nuit]]+IF(H_Juil[[#This Row],[majoration dim &amp; JF]]="non",0,H_Juil[[#This Row],[heures jour dimanche]]+H_Juil[[#This Row],[heures jour fériés]]))</f>
        <v>0</v>
      </c>
      <c r="J13" s="29">
        <f>(MOD(H_Juil[[#This Row],[Fin]]-H_Juil[[#This Row],[début]],1)-MOD(H_Juil[[#This Row],[PNP Fin]]-H_Juil[[#This Row],[PNP Début]],1))*24</f>
        <v>0</v>
      </c>
      <c r="K13" s="29" t="str">
        <f>IFERROR(VLOOKUP(H_Juil[[#This Row],[Service]],Codes[],4,0),"")</f>
        <v/>
      </c>
      <c r="L13" s="30">
        <f>IF(H_Juil[[#This Row],[PNP Début]]=0,0,IF(H_Juil[[#This Row],[PNP Début]]&lt;H_Juil[[#This Row],[début]],1,0)+H_Juil[[#This Row],[PNP Début]])</f>
        <v>0</v>
      </c>
      <c r="M13" s="30">
        <f>IF(H_Juil[[#This Row],[PNP Fin]]=0,0,IF(H_Juil[[#This Row],[PNP Fin]]&lt;H_Juil[[#This Row],[début]],1,0)+H_Juil[[#This Row],[PNP Fin]])</f>
        <v>0</v>
      </c>
      <c r="N13" s="30">
        <f>IF(H_Juil[[#This Row],[Fin]]&lt;H_Juil[[#This Row],[début]],1,0)+H_Juil[[#This Row],[Fin]]</f>
        <v>0</v>
      </c>
      <c r="O1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3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3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3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3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3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13" s="166"/>
      <c r="W13" s="168"/>
      <c r="X13" s="168"/>
      <c r="Y13" s="168"/>
      <c r="Z13" s="168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0.1*(H_Juil[[#This Row],[Heures de nuit]]+IF(H_Juil[[#This Row],[majoration dim &amp; JF]]="non",0,H_Juil[[#This Row],[heures jour dimanche]]+H_Juil[[#This Row],[heures jour fériés]]))</f>
        <v>0</v>
      </c>
      <c r="J14" s="29">
        <f>(MOD(H_Juil[[#This Row],[Fin]]-H_Juil[[#This Row],[début]],1)-MOD(H_Juil[[#This Row],[PNP Fin]]-H_Juil[[#This Row],[PNP Début]],1))*24</f>
        <v>0</v>
      </c>
      <c r="K14" s="29" t="str">
        <f>IFERROR(VLOOKUP(H_Juil[[#This Row],[Service]],Codes[],4,0),"")</f>
        <v/>
      </c>
      <c r="L14" s="30">
        <f>IF(H_Juil[[#This Row],[PNP Début]]=0,0,IF(H_Juil[[#This Row],[PNP Début]]&lt;H_Juil[[#This Row],[début]],1,0)+H_Juil[[#This Row],[PNP Début]])</f>
        <v>0</v>
      </c>
      <c r="M14" s="30">
        <f>IF(H_Juil[[#This Row],[PNP Fin]]=0,0,IF(H_Juil[[#This Row],[PNP Fin]]&lt;H_Juil[[#This Row],[début]],1,0)+H_Juil[[#This Row],[PNP Fin]])</f>
        <v>0</v>
      </c>
      <c r="N14" s="30">
        <f>IF(H_Juil[[#This Row],[Fin]]&lt;H_Juil[[#This Row],[début]],1,0)+H_Juil[[#This Row],[Fin]]</f>
        <v>0</v>
      </c>
      <c r="O1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4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4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4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4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4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14" s="166"/>
      <c r="W14" s="168"/>
      <c r="X14" s="168"/>
      <c r="Y14" s="168"/>
      <c r="Z14" s="168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0.1*(H_Juil[[#This Row],[Heures de nuit]]+IF(H_Juil[[#This Row],[majoration dim &amp; JF]]="non",0,H_Juil[[#This Row],[heures jour dimanche]]+H_Juil[[#This Row],[heures jour fériés]]))</f>
        <v>0</v>
      </c>
      <c r="J15" s="29">
        <f>(MOD(H_Juil[[#This Row],[Fin]]-H_Juil[[#This Row],[début]],1)-MOD(H_Juil[[#This Row],[PNP Fin]]-H_Juil[[#This Row],[PNP Début]],1))*24</f>
        <v>0</v>
      </c>
      <c r="K15" s="29" t="str">
        <f>IFERROR(VLOOKUP(H_Juil[[#This Row],[Service]],Codes[],4,0),"")</f>
        <v/>
      </c>
      <c r="L15" s="30">
        <f>IF(H_Juil[[#This Row],[PNP Début]]=0,0,IF(H_Juil[[#This Row],[PNP Début]]&lt;H_Juil[[#This Row],[début]],1,0)+H_Juil[[#This Row],[PNP Début]])</f>
        <v>0</v>
      </c>
      <c r="M15" s="30">
        <f>IF(H_Juil[[#This Row],[PNP Fin]]=0,0,IF(H_Juil[[#This Row],[PNP Fin]]&lt;H_Juil[[#This Row],[début]],1,0)+H_Juil[[#This Row],[PNP Fin]])</f>
        <v>0</v>
      </c>
      <c r="N15" s="30">
        <f>IF(H_Juil[[#This Row],[Fin]]&lt;H_Juil[[#This Row],[début]],1,0)+H_Juil[[#This Row],[Fin]]</f>
        <v>0</v>
      </c>
      <c r="O1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5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5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5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5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5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0.1*(H_Juil[[#This Row],[Heures de nuit]]+IF(H_Juil[[#This Row],[majoration dim &amp; JF]]="non",0,H_Juil[[#This Row],[heures jour dimanche]]+H_Juil[[#This Row],[heures jour fériés]]))</f>
        <v>0</v>
      </c>
      <c r="J16" s="33">
        <f>(MOD(H_Juil[[#This Row],[Fin]]-H_Juil[[#This Row],[début]],1)-MOD(H_Juil[[#This Row],[PNP Fin]]-H_Juil[[#This Row],[PNP Début]],1))*24</f>
        <v>0</v>
      </c>
      <c r="K16" s="33" t="str">
        <f>IFERROR(VLOOKUP(H_Juil[[#This Row],[Service]],Codes[],4,0),"")</f>
        <v/>
      </c>
      <c r="L16" s="30">
        <f>IF(H_Juil[[#This Row],[PNP Début]]=0,0,IF(H_Juil[[#This Row],[PNP Début]]&lt;H_Juil[[#This Row],[début]],1,0)+H_Juil[[#This Row],[PNP Début]])</f>
        <v>0</v>
      </c>
      <c r="M16" s="30">
        <f>IF(H_Juil[[#This Row],[PNP Fin]]=0,0,IF(H_Juil[[#This Row],[PNP Fin]]&lt;H_Juil[[#This Row],[début]],1,0)+H_Juil[[#This Row],[PNP Fin]])</f>
        <v>0</v>
      </c>
      <c r="N16" s="34">
        <f>IF(H_Juil[[#This Row],[Fin]]&lt;H_Juil[[#This Row],[début]],1,0)+H_Juil[[#This Row],[Fin]]</f>
        <v>0</v>
      </c>
      <c r="O1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6" s="35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6" s="35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6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6" s="3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6" s="3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16" s="176" t="s">
        <v>128</v>
      </c>
      <c r="W16" s="177">
        <f>'Juin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6" x14ac:dyDescent="0.3">
      <c r="A17" s="4"/>
      <c r="B17" s="1"/>
      <c r="C17" s="2"/>
      <c r="D17" s="2"/>
      <c r="E17" s="3"/>
      <c r="F17" s="3"/>
      <c r="G17" s="9"/>
      <c r="H17" s="9"/>
      <c r="I17" s="37">
        <f>0.1*(H_Juil[[#This Row],[Heures de nuit]]+IF(H_Juil[[#This Row],[majoration dim &amp; JF]]="non",0,H_Juil[[#This Row],[heures jour dimanche]]+H_Juil[[#This Row],[heures jour fériés]]))</f>
        <v>0</v>
      </c>
      <c r="J17" s="38">
        <f>(MOD(H_Juil[[#This Row],[Fin]]-H_Juil[[#This Row],[début]],1)-MOD(H_Juil[[#This Row],[PNP Fin]]-H_Juil[[#This Row],[PNP Début]],1))*24</f>
        <v>0</v>
      </c>
      <c r="K17" s="112" t="str">
        <f>IFERROR(VLOOKUP(H_Juil[[#This Row],[Service]],Codes[],4,0),"")</f>
        <v/>
      </c>
      <c r="L17" s="39">
        <f>IF(H_Juil[[#This Row],[PNP Début]]=0,0,IF(H_Juil[[#This Row],[PNP Début]]&lt;H_Juil[[#This Row],[début]],1,0)+H_Juil[[#This Row],[PNP Début]])</f>
        <v>0</v>
      </c>
      <c r="M17" s="40">
        <f>IF(H_Juil[[#This Row],[PNP Fin]]=0,0,IF(H_Juil[[#This Row],[PNP Fin]]&lt;H_Juil[[#This Row],[début]],1,0)+H_Juil[[#This Row],[PNP Fin]])</f>
        <v>0</v>
      </c>
      <c r="N17" s="40">
        <f>IF(H_Juil[[#This Row],[Fin]]&lt;H_Juil[[#This Row],[début]],1,0)+H_Juil[[#This Row],[Fin]]</f>
        <v>0</v>
      </c>
      <c r="O1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7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7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7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7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7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17" s="163"/>
      <c r="W17" s="171"/>
      <c r="X17" s="171"/>
      <c r="Y17" s="171"/>
      <c r="Z17" s="171"/>
    </row>
    <row r="18" spans="1:26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0.1*(H_Juil[[#This Row],[Heures de nuit]]+IF(H_Juil[[#This Row],[majoration dim &amp; JF]]="non",0,H_Juil[[#This Row],[heures jour dimanche]]+H_Juil[[#This Row],[heures jour fériés]]))</f>
        <v>0</v>
      </c>
      <c r="J18" s="38">
        <f>(MOD(H_Juil[[#This Row],[Fin]]-H_Juil[[#This Row],[début]],1)-MOD(H_Juil[[#This Row],[PNP Fin]]-H_Juil[[#This Row],[PNP Début]],1))*24</f>
        <v>0</v>
      </c>
      <c r="K18" s="112" t="str">
        <f>IFERROR(VLOOKUP(H_Juil[[#This Row],[Service]],Codes[],4,0),"")</f>
        <v/>
      </c>
      <c r="L18" s="39">
        <f>IF(H_Juil[[#This Row],[PNP Début]]=0,0,IF(H_Juil[[#This Row],[PNP Début]]&lt;H_Juil[[#This Row],[début]],1,0)+H_Juil[[#This Row],[PNP Début]])</f>
        <v>0</v>
      </c>
      <c r="M18" s="40">
        <f>IF(H_Juil[[#This Row],[PNP Fin]]=0,0,IF(H_Juil[[#This Row],[PNP Fin]]&lt;H_Juil[[#This Row],[début]],1,0)+H_Juil[[#This Row],[PNP Fin]])</f>
        <v>0</v>
      </c>
      <c r="N18" s="40">
        <f>IF(H_Juil[[#This Row],[Fin]]&lt;H_Juil[[#This Row],[début]],1,0)+H_Juil[[#This Row],[Fin]]</f>
        <v>0</v>
      </c>
      <c r="O1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8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8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8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8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8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18" s="163"/>
      <c r="W18" s="171"/>
      <c r="X18" s="171"/>
      <c r="Y18" s="171"/>
      <c r="Z18" s="171"/>
    </row>
    <row r="19" spans="1:26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0.1*(H_Juil[[#This Row],[Heures de nuit]]+IF(H_Juil[[#This Row],[majoration dim &amp; JF]]="non",0,H_Juil[[#This Row],[heures jour dimanche]]+H_Juil[[#This Row],[heures jour fériés]]))</f>
        <v>0</v>
      </c>
      <c r="J19" s="38">
        <f>(MOD(H_Juil[[#This Row],[Fin]]-H_Juil[[#This Row],[début]],1)-MOD(H_Juil[[#This Row],[PNP Fin]]-H_Juil[[#This Row],[PNP Début]],1))*24</f>
        <v>0</v>
      </c>
      <c r="K19" s="112" t="str">
        <f>IFERROR(VLOOKUP(H_Juil[[#This Row],[Service]],Codes[],4,0),"")</f>
        <v/>
      </c>
      <c r="L19" s="39">
        <f>IF(H_Juil[[#This Row],[PNP Début]]=0,0,IF(H_Juil[[#This Row],[PNP Début]]&lt;H_Juil[[#This Row],[début]],1,0)+H_Juil[[#This Row],[PNP Début]])</f>
        <v>0</v>
      </c>
      <c r="M19" s="40">
        <f>IF(H_Juil[[#This Row],[PNP Fin]]=0,0,IF(H_Juil[[#This Row],[PNP Fin]]&lt;H_Juil[[#This Row],[début]],1,0)+H_Juil[[#This Row],[PNP Fin]])</f>
        <v>0</v>
      </c>
      <c r="N19" s="40">
        <f>IF(H_Juil[[#This Row],[Fin]]&lt;H_Juil[[#This Row],[début]],1,0)+H_Juil[[#This Row],[Fin]]</f>
        <v>0</v>
      </c>
      <c r="O1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9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9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9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9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9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  <c r="X19" s="171"/>
      <c r="Y19" s="171"/>
      <c r="Z19" s="171"/>
    </row>
    <row r="20" spans="1:26" ht="15" thickBot="1" x14ac:dyDescent="0.35">
      <c r="A20" s="4"/>
      <c r="B20" s="1"/>
      <c r="C20" s="2"/>
      <c r="D20" s="2"/>
      <c r="E20" s="9"/>
      <c r="F20" s="9"/>
      <c r="G20" s="9"/>
      <c r="H20" s="9"/>
      <c r="I20" s="37">
        <f>0.1*(H_Juil[[#This Row],[Heures de nuit]]+IF(H_Juil[[#This Row],[majoration dim &amp; JF]]="non",0,H_Juil[[#This Row],[heures jour dimanche]]+H_Juil[[#This Row],[heures jour fériés]]))</f>
        <v>0</v>
      </c>
      <c r="J20" s="38">
        <f>(MOD(H_Juil[[#This Row],[Fin]]-H_Juil[[#This Row],[début]],1)-MOD(H_Juil[[#This Row],[PNP Fin]]-H_Juil[[#This Row],[PNP Début]],1))*24</f>
        <v>0</v>
      </c>
      <c r="K20" s="112" t="str">
        <f>IFERROR(VLOOKUP(H_Juil[[#This Row],[Service]],Codes[],4,0),"")</f>
        <v/>
      </c>
      <c r="L20" s="39">
        <f>IF(H_Juil[[#This Row],[PNP Début]]=0,0,IF(H_Juil[[#This Row],[PNP Début]]&lt;H_Juil[[#This Row],[début]],1,0)+H_Juil[[#This Row],[PNP Début]])</f>
        <v>0</v>
      </c>
      <c r="M20" s="40">
        <f>IF(H_Juil[[#This Row],[PNP Fin]]=0,0,IF(H_Juil[[#This Row],[PNP Fin]]&lt;H_Juil[[#This Row],[début]],1,0)+H_Juil[[#This Row],[PNP Fin]])</f>
        <v>0</v>
      </c>
      <c r="N20" s="40">
        <f>IF(H_Juil[[#This Row],[Fin]]&lt;H_Juil[[#This Row],[début]],1,0)+H_Juil[[#This Row],[Fin]]</f>
        <v>0</v>
      </c>
      <c r="O2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0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0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0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0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0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20" s="163"/>
      <c r="W20" s="171"/>
      <c r="X20" s="171"/>
      <c r="Y20" s="171"/>
      <c r="Z20" s="171"/>
    </row>
    <row r="21" spans="1:26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0.1*(H_Juil[[#This Row],[Heures de nuit]]+IF(H_Juil[[#This Row],[majoration dim &amp; JF]]="non",0,H_Juil[[#This Row],[heures jour dimanche]]+H_Juil[[#This Row],[heures jour fériés]]))</f>
        <v>0</v>
      </c>
      <c r="J21" s="43">
        <f>(MOD(H_Juil[[#This Row],[Fin]]-H_Juil[[#This Row],[début]],1)-MOD(H_Juil[[#This Row],[PNP Fin]]-H_Juil[[#This Row],[PNP Début]],1))*24</f>
        <v>0</v>
      </c>
      <c r="K21" s="113" t="str">
        <f>IFERROR(VLOOKUP(H_Juil[[#This Row],[Service]],Codes[],4,0),"")</f>
        <v/>
      </c>
      <c r="L21" s="44">
        <f>IF(H_Juil[[#This Row],[PNP Début]]=0,0,IF(H_Juil[[#This Row],[PNP Début]]&lt;H_Juil[[#This Row],[début]],1,0)+H_Juil[[#This Row],[PNP Début]])</f>
        <v>0</v>
      </c>
      <c r="M21" s="45">
        <f>IF(H_Juil[[#This Row],[PNP Fin]]=0,0,IF(H_Juil[[#This Row],[PNP Fin]]&lt;H_Juil[[#This Row],[début]],1,0)+H_Juil[[#This Row],[PNP Fin]])</f>
        <v>0</v>
      </c>
      <c r="N21" s="45">
        <f>IF(H_Juil[[#This Row],[Fin]]&lt;H_Juil[[#This Row],[début]],1,0)+H_Juil[[#This Row],[Fin]]</f>
        <v>0</v>
      </c>
      <c r="O2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1" s="46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1" s="46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1" s="46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1" s="4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1" s="4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21" s="164" t="s">
        <v>167</v>
      </c>
      <c r="W21" s="162">
        <f>COUNTIF(B13:B49,"*récuperations*")</f>
        <v>0</v>
      </c>
      <c r="X21" s="171"/>
      <c r="Y21" s="171"/>
      <c r="Z21" s="171"/>
    </row>
    <row r="22" spans="1:26" ht="15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0.1*(H_Juil[[#This Row],[Heures de nuit]]+IF(H_Juil[[#This Row],[majoration dim &amp; JF]]="non",0,H_Juil[[#This Row],[heures jour dimanche]]+H_Juil[[#This Row],[heures jour fériés]]))</f>
        <v>0</v>
      </c>
      <c r="J22" s="48">
        <f>(MOD(H_Juil[[#This Row],[Fin]]-H_Juil[[#This Row],[début]],1)-MOD(H_Juil[[#This Row],[PNP Fin]]-H_Juil[[#This Row],[PNP Début]],1))*24</f>
        <v>0</v>
      </c>
      <c r="K22" s="109" t="str">
        <f>IFERROR(VLOOKUP(H_Juil[[#This Row],[Service]],Codes[],4,0),"")</f>
        <v/>
      </c>
      <c r="L22" s="49">
        <f>IF(H_Juil[[#This Row],[PNP Début]]=0,0,IF(H_Juil[[#This Row],[PNP Début]]&lt;H_Juil[[#This Row],[début]],1,0)+H_Juil[[#This Row],[PNP Début]])</f>
        <v>0</v>
      </c>
      <c r="M22" s="50">
        <f>IF(H_Juil[[#This Row],[PNP Fin]]=0,0,IF(H_Juil[[#This Row],[PNP Fin]]&lt;H_Juil[[#This Row],[début]],1,0)+H_Juil[[#This Row],[PNP Fin]])</f>
        <v>0</v>
      </c>
      <c r="N22" s="50">
        <f>IF(H_Juil[[#This Row],[Fin]]&lt;H_Juil[[#This Row],[début]],1,0)+H_Juil[[#This Row],[Fin]]</f>
        <v>0</v>
      </c>
      <c r="O2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22" s="165"/>
      <c r="W22" s="171"/>
      <c r="X22" s="171"/>
      <c r="Y22" s="171"/>
      <c r="Z22" s="171"/>
    </row>
    <row r="23" spans="1:26" ht="15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0.1*(H_Juil[[#This Row],[Heures de nuit]]+IF(H_Juil[[#This Row],[majoration dim &amp; JF]]="non",0,H_Juil[[#This Row],[heures jour dimanche]]+H_Juil[[#This Row],[heures jour fériés]]))</f>
        <v>0</v>
      </c>
      <c r="J23" s="48">
        <f>(MOD(H_Juil[[#This Row],[Fin]]-H_Juil[[#This Row],[début]],1)-MOD(H_Juil[[#This Row],[PNP Fin]]-H_Juil[[#This Row],[PNP Début]],1))*24</f>
        <v>0</v>
      </c>
      <c r="K23" s="109" t="str">
        <f>IFERROR(VLOOKUP(H_Juil[[#This Row],[Service]],Codes[],4,0),"")</f>
        <v/>
      </c>
      <c r="L23" s="49">
        <f>IF(H_Juil[[#This Row],[PNP Début]]=0,0,IF(H_Juil[[#This Row],[PNP Début]]&lt;H_Juil[[#This Row],[début]],1,0)+H_Juil[[#This Row],[PNP Début]])</f>
        <v>0</v>
      </c>
      <c r="M23" s="50">
        <f>IF(H_Juil[[#This Row],[PNP Fin]]=0,0,IF(H_Juil[[#This Row],[PNP Fin]]&lt;H_Juil[[#This Row],[début]],1,0)+H_Juil[[#This Row],[PNP Fin]])</f>
        <v>0</v>
      </c>
      <c r="N23" s="50">
        <f>IF(H_Juil[[#This Row],[Fin]]&lt;H_Juil[[#This Row],[début]],1,0)+H_Juil[[#This Row],[Fin]]</f>
        <v>0</v>
      </c>
      <c r="O2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V23" s="164" t="s">
        <v>168</v>
      </c>
      <c r="W23" s="162">
        <f>COUNTIF(B13:B49,"*CCT*")</f>
        <v>0</v>
      </c>
      <c r="X23" s="171"/>
      <c r="Y23" s="171"/>
      <c r="Z23" s="171"/>
    </row>
    <row r="24" spans="1:26" x14ac:dyDescent="0.3">
      <c r="A24" s="4"/>
      <c r="B24" s="1"/>
      <c r="C24" s="2"/>
      <c r="D24" s="2"/>
      <c r="E24" s="3"/>
      <c r="F24" s="3"/>
      <c r="G24" s="3"/>
      <c r="H24" s="3"/>
      <c r="I24" s="47">
        <f>0.1*(H_Juil[[#This Row],[Heures de nuit]]+IF(H_Juil[[#This Row],[majoration dim &amp; JF]]="non",0,H_Juil[[#This Row],[heures jour dimanche]]+H_Juil[[#This Row],[heures jour fériés]]))</f>
        <v>0</v>
      </c>
      <c r="J24" s="48">
        <f>(MOD(H_Juil[[#This Row],[Fin]]-H_Juil[[#This Row],[début]],1)-MOD(H_Juil[[#This Row],[PNP Fin]]-H_Juil[[#This Row],[PNP Début]],1))*24</f>
        <v>0</v>
      </c>
      <c r="K24" s="109" t="str">
        <f>IFERROR(VLOOKUP(H_Juil[[#This Row],[Service]],Codes[],4,0),"")</f>
        <v/>
      </c>
      <c r="L24" s="49">
        <f>IF(H_Juil[[#This Row],[PNP Début]]=0,0,IF(H_Juil[[#This Row],[PNP Début]]&lt;H_Juil[[#This Row],[début]],1,0)+H_Juil[[#This Row],[PNP Début]])</f>
        <v>0</v>
      </c>
      <c r="M24" s="50">
        <f>IF(H_Juil[[#This Row],[PNP Fin]]=0,0,IF(H_Juil[[#This Row],[PNP Fin]]&lt;H_Juil[[#This Row],[début]],1,0)+H_Juil[[#This Row],[PNP Fin]])</f>
        <v>0</v>
      </c>
      <c r="N24" s="50">
        <f>IF(H_Juil[[#This Row],[Fin]]&lt;H_Juil[[#This Row],[début]],1,0)+H_Juil[[#This Row],[Fin]]</f>
        <v>0</v>
      </c>
      <c r="O2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  <c r="W24" s="171"/>
      <c r="X24" s="171"/>
      <c r="Y24" s="171"/>
      <c r="Z24" s="171"/>
    </row>
    <row r="25" spans="1:26" x14ac:dyDescent="0.3">
      <c r="A25" s="4"/>
      <c r="B25" s="1"/>
      <c r="C25" s="2"/>
      <c r="D25" s="2"/>
      <c r="E25" s="3"/>
      <c r="F25" s="3"/>
      <c r="G25" s="3"/>
      <c r="H25" s="3"/>
      <c r="I25" s="47">
        <f>0.1*(H_Juil[[#This Row],[Heures de nuit]]+IF(H_Juil[[#This Row],[majoration dim &amp; JF]]="non",0,H_Juil[[#This Row],[heures jour dimanche]]+H_Juil[[#This Row],[heures jour fériés]]))</f>
        <v>0</v>
      </c>
      <c r="J25" s="48">
        <f>(MOD(H_Juil[[#This Row],[Fin]]-H_Juil[[#This Row],[début]],1)-MOD(H_Juil[[#This Row],[PNP Fin]]-H_Juil[[#This Row],[PNP Début]],1))*24</f>
        <v>0</v>
      </c>
      <c r="K25" s="109" t="str">
        <f>IFERROR(VLOOKUP(H_Juil[[#This Row],[Service]],Codes[],4,0),"")</f>
        <v/>
      </c>
      <c r="L25" s="49">
        <f>IF(H_Juil[[#This Row],[PNP Début]]=0,0,IF(H_Juil[[#This Row],[PNP Début]]&lt;H_Juil[[#This Row],[début]],1,0)+H_Juil[[#This Row],[PNP Début]])</f>
        <v>0</v>
      </c>
      <c r="M25" s="50">
        <f>IF(H_Juil[[#This Row],[PNP Fin]]=0,0,IF(H_Juil[[#This Row],[PNP Fin]]&lt;H_Juil[[#This Row],[début]],1,0)+H_Juil[[#This Row],[PNP Fin]])</f>
        <v>0</v>
      </c>
      <c r="N25" s="50">
        <f>IF(H_Juil[[#This Row],[Fin]]&lt;H_Juil[[#This Row],[début]],1,0)+H_Juil[[#This Row],[Fin]]</f>
        <v>0</v>
      </c>
      <c r="O2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6" spans="1:26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0.1*(H_Juil[[#This Row],[Heures de nuit]]+IF(H_Juil[[#This Row],[majoration dim &amp; JF]]="non",0,H_Juil[[#This Row],[heures jour dimanche]]+H_Juil[[#This Row],[heures jour fériés]]))</f>
        <v>0</v>
      </c>
      <c r="J26" s="48">
        <f>(MOD(H_Juil[[#This Row],[Fin]]-H_Juil[[#This Row],[début]],1)-MOD(H_Juil[[#This Row],[PNP Fin]]-H_Juil[[#This Row],[PNP Début]],1))*24</f>
        <v>0</v>
      </c>
      <c r="K26" s="109" t="str">
        <f>IFERROR(VLOOKUP(H_Juil[[#This Row],[Service]],Codes[],4,0),"")</f>
        <v/>
      </c>
      <c r="L26" s="49">
        <f>IF(H_Juil[[#This Row],[PNP Début]]=0,0,IF(H_Juil[[#This Row],[PNP Début]]&lt;H_Juil[[#This Row],[début]],1,0)+H_Juil[[#This Row],[PNP Début]])</f>
        <v>0</v>
      </c>
      <c r="M26" s="50">
        <f>IF(H_Juil[[#This Row],[PNP Fin]]=0,0,IF(H_Juil[[#This Row],[PNP Fin]]&lt;H_Juil[[#This Row],[début]],1,0)+H_Juil[[#This Row],[PNP Fin]])</f>
        <v>0</v>
      </c>
      <c r="N26" s="50">
        <f>IF(H_Juil[[#This Row],[Fin]]&lt;H_Juil[[#This Row],[début]],1,0)+H_Juil[[#This Row],[Fin]]</f>
        <v>0</v>
      </c>
      <c r="O2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7" spans="1:26" x14ac:dyDescent="0.3">
      <c r="A27" s="4"/>
      <c r="B27" s="1"/>
      <c r="C27" s="2"/>
      <c r="D27" s="2"/>
      <c r="E27" s="3"/>
      <c r="F27" s="3"/>
      <c r="G27" s="3"/>
      <c r="H27" s="3"/>
      <c r="I27" s="47">
        <f>0.1*(H_Juil[[#This Row],[Heures de nuit]]+IF(H_Juil[[#This Row],[majoration dim &amp; JF]]="non",0,H_Juil[[#This Row],[heures jour dimanche]]+H_Juil[[#This Row],[heures jour fériés]]))</f>
        <v>0</v>
      </c>
      <c r="J27" s="48">
        <f>(MOD(H_Juil[[#This Row],[Fin]]-H_Juil[[#This Row],[début]],1)-MOD(H_Juil[[#This Row],[PNP Fin]]-H_Juil[[#This Row],[PNP Début]],1))*24</f>
        <v>0</v>
      </c>
      <c r="K27" s="109" t="str">
        <f>IFERROR(VLOOKUP(H_Juil[[#This Row],[Service]],Codes[],4,0),"")</f>
        <v/>
      </c>
      <c r="L27" s="49">
        <f>IF(H_Juil[[#This Row],[PNP Début]]=0,0,IF(H_Juil[[#This Row],[PNP Début]]&lt;H_Juil[[#This Row],[début]],1,0)+H_Juil[[#This Row],[PNP Début]])</f>
        <v>0</v>
      </c>
      <c r="M27" s="50">
        <f>IF(H_Juil[[#This Row],[PNP Fin]]=0,0,IF(H_Juil[[#This Row],[PNP Fin]]&lt;H_Juil[[#This Row],[début]],1,0)+H_Juil[[#This Row],[PNP Fin]])</f>
        <v>0</v>
      </c>
      <c r="N27" s="50">
        <f>IF(H_Juil[[#This Row],[Fin]]&lt;H_Juil[[#This Row],[début]],1,0)+H_Juil[[#This Row],[Fin]]</f>
        <v>0</v>
      </c>
      <c r="O2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8" spans="1:26" x14ac:dyDescent="0.3">
      <c r="A28" s="4"/>
      <c r="B28" s="1"/>
      <c r="C28" s="2"/>
      <c r="D28" s="2"/>
      <c r="E28" s="3"/>
      <c r="F28" s="3"/>
      <c r="G28" s="3"/>
      <c r="H28" s="3"/>
      <c r="I28" s="47">
        <f>0.1*(H_Juil[[#This Row],[Heures de nuit]]+IF(H_Juil[[#This Row],[majoration dim &amp; JF]]="non",0,H_Juil[[#This Row],[heures jour dimanche]]+H_Juil[[#This Row],[heures jour fériés]]))</f>
        <v>0</v>
      </c>
      <c r="J28" s="48">
        <f>(MOD(H_Juil[[#This Row],[Fin]]-H_Juil[[#This Row],[début]],1)-MOD(H_Juil[[#This Row],[PNP Fin]]-H_Juil[[#This Row],[PNP Début]],1))*24</f>
        <v>0</v>
      </c>
      <c r="K28" s="109" t="str">
        <f>IFERROR(VLOOKUP(H_Juil[[#This Row],[Service]],Codes[],4,0),"")</f>
        <v/>
      </c>
      <c r="L28" s="49">
        <f>IF(H_Juil[[#This Row],[PNP Début]]=0,0,IF(H_Juil[[#This Row],[PNP Début]]&lt;H_Juil[[#This Row],[début]],1,0)+H_Juil[[#This Row],[PNP Début]])</f>
        <v>0</v>
      </c>
      <c r="M28" s="50">
        <f>IF(H_Juil[[#This Row],[PNP Fin]]=0,0,IF(H_Juil[[#This Row],[PNP Fin]]&lt;H_Juil[[#This Row],[début]],1,0)+H_Juil[[#This Row],[PNP Fin]])</f>
        <v>0</v>
      </c>
      <c r="N28" s="50">
        <f>IF(H_Juil[[#This Row],[Fin]]&lt;H_Juil[[#This Row],[début]],1,0)+H_Juil[[#This Row],[Fin]]</f>
        <v>0</v>
      </c>
      <c r="O2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9" spans="1:26" x14ac:dyDescent="0.3">
      <c r="A29" s="4"/>
      <c r="B29" s="1"/>
      <c r="C29" s="2"/>
      <c r="D29" s="2"/>
      <c r="E29" s="3"/>
      <c r="F29" s="3"/>
      <c r="G29" s="3"/>
      <c r="H29" s="3"/>
      <c r="I29" s="47">
        <f>0.1*(H_Juil[[#This Row],[Heures de nuit]]+IF(H_Juil[[#This Row],[majoration dim &amp; JF]]="non",0,H_Juil[[#This Row],[heures jour dimanche]]+H_Juil[[#This Row],[heures jour fériés]]))</f>
        <v>0</v>
      </c>
      <c r="J29" s="48">
        <f>(MOD(H_Juil[[#This Row],[Fin]]-H_Juil[[#This Row],[début]],1)-MOD(H_Juil[[#This Row],[PNP Fin]]-H_Juil[[#This Row],[PNP Début]],1))*24</f>
        <v>0</v>
      </c>
      <c r="K29" s="109" t="str">
        <f>IFERROR(VLOOKUP(H_Juil[[#This Row],[Service]],Codes[],4,0),"")</f>
        <v/>
      </c>
      <c r="L29" s="49">
        <f>IF(H_Juil[[#This Row],[PNP Début]]=0,0,IF(H_Juil[[#This Row],[PNP Début]]&lt;H_Juil[[#This Row],[début]],1,0)+H_Juil[[#This Row],[PNP Début]])</f>
        <v>0</v>
      </c>
      <c r="M29" s="50">
        <f>IF(H_Juil[[#This Row],[PNP Fin]]=0,0,IF(H_Juil[[#This Row],[PNP Fin]]&lt;H_Juil[[#This Row],[début]],1,0)+H_Juil[[#This Row],[PNP Fin]])</f>
        <v>0</v>
      </c>
      <c r="N29" s="50">
        <f>IF(H_Juil[[#This Row],[Fin]]&lt;H_Juil[[#This Row],[début]],1,0)+H_Juil[[#This Row],[Fin]]</f>
        <v>0</v>
      </c>
      <c r="O2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0" spans="1:26" x14ac:dyDescent="0.3">
      <c r="A30" s="4"/>
      <c r="B30" s="1"/>
      <c r="C30" s="2"/>
      <c r="D30" s="2"/>
      <c r="E30" s="3"/>
      <c r="F30" s="3"/>
      <c r="G30" s="3"/>
      <c r="H30" s="3"/>
      <c r="I30" s="47">
        <f>0.1*(H_Juil[[#This Row],[Heures de nuit]]+IF(H_Juil[[#This Row],[majoration dim &amp; JF]]="non",0,H_Juil[[#This Row],[heures jour dimanche]]+H_Juil[[#This Row],[heures jour fériés]]))</f>
        <v>0</v>
      </c>
      <c r="J30" s="48">
        <f>(MOD(H_Juil[[#This Row],[Fin]]-H_Juil[[#This Row],[début]],1)-MOD(H_Juil[[#This Row],[PNP Fin]]-H_Juil[[#This Row],[PNP Début]],1))*24</f>
        <v>0</v>
      </c>
      <c r="K30" s="109" t="str">
        <f>IFERROR(VLOOKUP(H_Juil[[#This Row],[Service]],Codes[],4,0),"")</f>
        <v/>
      </c>
      <c r="L30" s="49">
        <f>IF(H_Juil[[#This Row],[PNP Début]]=0,0,IF(H_Juil[[#This Row],[PNP Début]]&lt;H_Juil[[#This Row],[début]],1,0)+H_Juil[[#This Row],[PNP Début]])</f>
        <v>0</v>
      </c>
      <c r="M30" s="50">
        <f>IF(H_Juil[[#This Row],[PNP Fin]]=0,0,IF(H_Juil[[#This Row],[PNP Fin]]&lt;H_Juil[[#This Row],[début]],1,0)+H_Juil[[#This Row],[PNP Fin]])</f>
        <v>0</v>
      </c>
      <c r="N30" s="50">
        <f>IF(H_Juil[[#This Row],[Fin]]&lt;H_Juil[[#This Row],[début]],1,0)+H_Juil[[#This Row],[Fin]]</f>
        <v>0</v>
      </c>
      <c r="O3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0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1" spans="1:26" x14ac:dyDescent="0.3">
      <c r="A31" s="4"/>
      <c r="B31" s="1"/>
      <c r="C31" s="2"/>
      <c r="D31" s="2"/>
      <c r="E31" s="3"/>
      <c r="F31" s="3"/>
      <c r="G31" s="3"/>
      <c r="H31" s="3"/>
      <c r="I31" s="47">
        <f>0.1*(H_Juil[[#This Row],[Heures de nuit]]+IF(H_Juil[[#This Row],[majoration dim &amp; JF]]="non",0,H_Juil[[#This Row],[heures jour dimanche]]+H_Juil[[#This Row],[heures jour fériés]]))</f>
        <v>0</v>
      </c>
      <c r="J31" s="48">
        <f>(MOD(H_Juil[[#This Row],[Fin]]-H_Juil[[#This Row],[début]],1)-MOD(H_Juil[[#This Row],[PNP Fin]]-H_Juil[[#This Row],[PNP Début]],1))*24</f>
        <v>0</v>
      </c>
      <c r="K31" s="109" t="str">
        <f>IFERROR(VLOOKUP(H_Juil[[#This Row],[Service]],Codes[],4,0),"")</f>
        <v/>
      </c>
      <c r="L31" s="49">
        <f>IF(H_Juil[[#This Row],[PNP Début]]=0,0,IF(H_Juil[[#This Row],[PNP Début]]&lt;H_Juil[[#This Row],[début]],1,0)+H_Juil[[#This Row],[PNP Début]])</f>
        <v>0</v>
      </c>
      <c r="M31" s="50">
        <f>IF(H_Juil[[#This Row],[PNP Fin]]=0,0,IF(H_Juil[[#This Row],[PNP Fin]]&lt;H_Juil[[#This Row],[début]],1,0)+H_Juil[[#This Row],[PNP Fin]])</f>
        <v>0</v>
      </c>
      <c r="N31" s="50">
        <f>IF(H_Juil[[#This Row],[Fin]]&lt;H_Juil[[#This Row],[début]],1,0)+H_Juil[[#This Row],[Fin]]</f>
        <v>0</v>
      </c>
      <c r="O3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1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2" spans="1:26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0.1*(H_Juil[[#This Row],[Heures de nuit]]+IF(H_Juil[[#This Row],[majoration dim &amp; JF]]="non",0,H_Juil[[#This Row],[heures jour dimanche]]+H_Juil[[#This Row],[heures jour fériés]]))</f>
        <v>0</v>
      </c>
      <c r="J32" s="48">
        <f>(MOD(H_Juil[[#This Row],[Fin]]-H_Juil[[#This Row],[début]],1)-MOD(H_Juil[[#This Row],[PNP Fin]]-H_Juil[[#This Row],[PNP Début]],1))*24</f>
        <v>0</v>
      </c>
      <c r="K32" s="109" t="str">
        <f>IFERROR(VLOOKUP(H_Juil[[#This Row],[Service]],Codes[],4,0),"")</f>
        <v/>
      </c>
      <c r="L32" s="49">
        <f>IF(H_Juil[[#This Row],[PNP Début]]=0,0,IF(H_Juil[[#This Row],[PNP Début]]&lt;H_Juil[[#This Row],[début]],1,0)+H_Juil[[#This Row],[PNP Début]])</f>
        <v>0</v>
      </c>
      <c r="M32" s="50">
        <f>IF(H_Juil[[#This Row],[PNP Fin]]=0,0,IF(H_Juil[[#This Row],[PNP Fin]]&lt;H_Juil[[#This Row],[début]],1,0)+H_Juil[[#This Row],[PNP Fin]])</f>
        <v>0</v>
      </c>
      <c r="N32" s="50">
        <f>IF(H_Juil[[#This Row],[Fin]]&lt;H_Juil[[#This Row],[début]],1,0)+H_Juil[[#This Row],[Fin]]</f>
        <v>0</v>
      </c>
      <c r="O3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0.1*(H_Juil[[#This Row],[Heures de nuit]]+IF(H_Juil[[#This Row],[majoration dim &amp; JF]]="non",0,H_Juil[[#This Row],[heures jour dimanche]]+H_Juil[[#This Row],[heures jour fériés]]))</f>
        <v>0</v>
      </c>
      <c r="J33" s="48">
        <f>(MOD(H_Juil[[#This Row],[Fin]]-H_Juil[[#This Row],[début]],1)-MOD(H_Juil[[#This Row],[PNP Fin]]-H_Juil[[#This Row],[PNP Début]],1))*24</f>
        <v>0</v>
      </c>
      <c r="K33" s="109" t="str">
        <f>IFERROR(VLOOKUP(H_Juil[[#This Row],[Service]],Codes[],4,0),"")</f>
        <v/>
      </c>
      <c r="L33" s="49">
        <f>IF(H_Juil[[#This Row],[PNP Début]]=0,0,IF(H_Juil[[#This Row],[PNP Début]]&lt;H_Juil[[#This Row],[début]],1,0)+H_Juil[[#This Row],[PNP Début]])</f>
        <v>0</v>
      </c>
      <c r="M33" s="50">
        <f>IF(H_Juil[[#This Row],[PNP Fin]]=0,0,IF(H_Juil[[#This Row],[PNP Fin]]&lt;H_Juil[[#This Row],[début]],1,0)+H_Juil[[#This Row],[PNP Fin]])</f>
        <v>0</v>
      </c>
      <c r="N33" s="50">
        <f>IF(H_Juil[[#This Row],[Fin]]&lt;H_Juil[[#This Row],[début]],1,0)+H_Juil[[#This Row],[Fin]]</f>
        <v>0</v>
      </c>
      <c r="O3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0.1*(H_Juil[[#This Row],[Heures de nuit]]+IF(H_Juil[[#This Row],[majoration dim &amp; JF]]="non",0,H_Juil[[#This Row],[heures jour dimanche]]+H_Juil[[#This Row],[heures jour fériés]]))</f>
        <v>0</v>
      </c>
      <c r="J34" s="48">
        <f>(MOD(H_Juil[[#This Row],[Fin]]-H_Juil[[#This Row],[début]],1)-MOD(H_Juil[[#This Row],[PNP Fin]]-H_Juil[[#This Row],[PNP Début]],1))*24</f>
        <v>0</v>
      </c>
      <c r="K34" s="109" t="str">
        <f>IFERROR(VLOOKUP(H_Juil[[#This Row],[Service]],Codes[],4,0),"")</f>
        <v/>
      </c>
      <c r="L34" s="49">
        <f>IF(H_Juil[[#This Row],[PNP Début]]=0,0,IF(H_Juil[[#This Row],[PNP Début]]&lt;H_Juil[[#This Row],[début]],1,0)+H_Juil[[#This Row],[PNP Début]])</f>
        <v>0</v>
      </c>
      <c r="M34" s="50">
        <f>IF(H_Juil[[#This Row],[PNP Fin]]=0,0,IF(H_Juil[[#This Row],[PNP Fin]]&lt;H_Juil[[#This Row],[début]],1,0)+H_Juil[[#This Row],[PNP Fin]])</f>
        <v>0</v>
      </c>
      <c r="N34" s="50">
        <f>IF(H_Juil[[#This Row],[Fin]]&lt;H_Juil[[#This Row],[début]],1,0)+H_Juil[[#This Row],[Fin]]</f>
        <v>0</v>
      </c>
      <c r="O3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0.1*(H_Juil[[#This Row],[Heures de nuit]]+IF(H_Juil[[#This Row],[majoration dim &amp; JF]]="non",0,H_Juil[[#This Row],[heures jour dimanche]]+H_Juil[[#This Row],[heures jour fériés]]))</f>
        <v>0</v>
      </c>
      <c r="J35" s="48">
        <f>(MOD(H_Juil[[#This Row],[Fin]]-H_Juil[[#This Row],[début]],1)-MOD(H_Juil[[#This Row],[PNP Fin]]-H_Juil[[#This Row],[PNP Début]],1))*24</f>
        <v>0</v>
      </c>
      <c r="K35" s="109" t="str">
        <f>IFERROR(VLOOKUP(H_Juil[[#This Row],[Service]],Codes[],4,0),"")</f>
        <v/>
      </c>
      <c r="L35" s="49">
        <f>IF(H_Juil[[#This Row],[PNP Début]]=0,0,IF(H_Juil[[#This Row],[PNP Début]]&lt;H_Juil[[#This Row],[début]],1,0)+H_Juil[[#This Row],[PNP Début]])</f>
        <v>0</v>
      </c>
      <c r="M35" s="50">
        <f>IF(H_Juil[[#This Row],[PNP Fin]]=0,0,IF(H_Juil[[#This Row],[PNP Fin]]&lt;H_Juil[[#This Row],[début]],1,0)+H_Juil[[#This Row],[PNP Fin]])</f>
        <v>0</v>
      </c>
      <c r="N35" s="50">
        <f>IF(H_Juil[[#This Row],[Fin]]&lt;H_Juil[[#This Row],[début]],1,0)+H_Juil[[#This Row],[Fin]]</f>
        <v>0</v>
      </c>
      <c r="O3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0.1*(H_Juil[[#This Row],[Heures de nuit]]+IF(H_Juil[[#This Row],[majoration dim &amp; JF]]="non",0,H_Juil[[#This Row],[heures jour dimanche]]+H_Juil[[#This Row],[heures jour fériés]]))</f>
        <v>0</v>
      </c>
      <c r="J36" s="48">
        <f>(MOD(H_Juil[[#This Row],[Fin]]-H_Juil[[#This Row],[début]],1)-MOD(H_Juil[[#This Row],[PNP Fin]]-H_Juil[[#This Row],[PNP Début]],1))*24</f>
        <v>0</v>
      </c>
      <c r="K36" s="109" t="str">
        <f>IFERROR(VLOOKUP(H_Juil[[#This Row],[Service]],Codes[],4,0),"")</f>
        <v/>
      </c>
      <c r="L36" s="49">
        <f>IF(H_Juil[[#This Row],[PNP Début]]=0,0,IF(H_Juil[[#This Row],[PNP Début]]&lt;H_Juil[[#This Row],[début]],1,0)+H_Juil[[#This Row],[PNP Début]])</f>
        <v>0</v>
      </c>
      <c r="M36" s="50">
        <f>IF(H_Juil[[#This Row],[PNP Fin]]=0,0,IF(H_Juil[[#This Row],[PNP Fin]]&lt;H_Juil[[#This Row],[début]],1,0)+H_Juil[[#This Row],[PNP Fin]])</f>
        <v>0</v>
      </c>
      <c r="N36" s="50">
        <f>IF(H_Juil[[#This Row],[Fin]]&lt;H_Juil[[#This Row],[début]],1,0)+H_Juil[[#This Row],[Fin]]</f>
        <v>0</v>
      </c>
      <c r="O3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0.1*(H_Juil[[#This Row],[Heures de nuit]]+IF(H_Juil[[#This Row],[majoration dim &amp; JF]]="non",0,H_Juil[[#This Row],[heures jour dimanche]]+H_Juil[[#This Row],[heures jour fériés]]))</f>
        <v>0</v>
      </c>
      <c r="J37" s="48">
        <f>(MOD(H_Juil[[#This Row],[Fin]]-H_Juil[[#This Row],[début]],1)-MOD(H_Juil[[#This Row],[PNP Fin]]-H_Juil[[#This Row],[PNP Début]],1))*24</f>
        <v>0</v>
      </c>
      <c r="K37" s="109" t="str">
        <f>IFERROR(VLOOKUP(H_Juil[[#This Row],[Service]],Codes[],4,0),"")</f>
        <v/>
      </c>
      <c r="L37" s="49">
        <f>IF(H_Juil[[#This Row],[PNP Début]]=0,0,IF(H_Juil[[#This Row],[PNP Début]]&lt;H_Juil[[#This Row],[début]],1,0)+H_Juil[[#This Row],[PNP Début]])</f>
        <v>0</v>
      </c>
      <c r="M37" s="50">
        <f>IF(H_Juil[[#This Row],[PNP Fin]]=0,0,IF(H_Juil[[#This Row],[PNP Fin]]&lt;H_Juil[[#This Row],[début]],1,0)+H_Juil[[#This Row],[PNP Fin]])</f>
        <v>0</v>
      </c>
      <c r="N37" s="50">
        <f>IF(H_Juil[[#This Row],[Fin]]&lt;H_Juil[[#This Row],[début]],1,0)+H_Juil[[#This Row],[Fin]]</f>
        <v>0</v>
      </c>
      <c r="O3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0.1*(H_Juil[[#This Row],[Heures de nuit]]+IF(H_Juil[[#This Row],[majoration dim &amp; JF]]="non",0,H_Juil[[#This Row],[heures jour dimanche]]+H_Juil[[#This Row],[heures jour fériés]]))</f>
        <v>0</v>
      </c>
      <c r="J38" s="48">
        <f>(MOD(H_Juil[[#This Row],[Fin]]-H_Juil[[#This Row],[début]],1)-MOD(H_Juil[[#This Row],[PNP Fin]]-H_Juil[[#This Row],[PNP Début]],1))*24</f>
        <v>0</v>
      </c>
      <c r="K38" s="109" t="str">
        <f>IFERROR(VLOOKUP(H_Juil[[#This Row],[Service]],Codes[],4,0),"")</f>
        <v/>
      </c>
      <c r="L38" s="49">
        <f>IF(H_Juil[[#This Row],[PNP Début]]=0,0,IF(H_Juil[[#This Row],[PNP Début]]&lt;H_Juil[[#This Row],[début]],1,0)+H_Juil[[#This Row],[PNP Début]])</f>
        <v>0</v>
      </c>
      <c r="M38" s="50">
        <f>IF(H_Juil[[#This Row],[PNP Fin]]=0,0,IF(H_Juil[[#This Row],[PNP Fin]]&lt;H_Juil[[#This Row],[début]],1,0)+H_Juil[[#This Row],[PNP Fin]])</f>
        <v>0</v>
      </c>
      <c r="N38" s="50">
        <f>IF(H_Juil[[#This Row],[Fin]]&lt;H_Juil[[#This Row],[début]],1,0)+H_Juil[[#This Row],[Fin]]</f>
        <v>0</v>
      </c>
      <c r="O3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0.1*(H_Juil[[#This Row],[Heures de nuit]]+IF(H_Juil[[#This Row],[majoration dim &amp; JF]]="non",0,H_Juil[[#This Row],[heures jour dimanche]]+H_Juil[[#This Row],[heures jour fériés]]))</f>
        <v>0</v>
      </c>
      <c r="J39" s="48">
        <f>(MOD(H_Juil[[#This Row],[Fin]]-H_Juil[[#This Row],[début]],1)-MOD(H_Juil[[#This Row],[PNP Fin]]-H_Juil[[#This Row],[PNP Début]],1))*24</f>
        <v>0</v>
      </c>
      <c r="K39" s="109" t="str">
        <f>IFERROR(VLOOKUP(H_Juil[[#This Row],[Service]],Codes[],4,0),"")</f>
        <v/>
      </c>
      <c r="L39" s="49">
        <f>IF(H_Juil[[#This Row],[PNP Début]]=0,0,IF(H_Juil[[#This Row],[PNP Début]]&lt;H_Juil[[#This Row],[début]],1,0)+H_Juil[[#This Row],[PNP Début]])</f>
        <v>0</v>
      </c>
      <c r="M39" s="50">
        <f>IF(H_Juil[[#This Row],[PNP Fin]]=0,0,IF(H_Juil[[#This Row],[PNP Fin]]&lt;H_Juil[[#This Row],[début]],1,0)+H_Juil[[#This Row],[PNP Fin]])</f>
        <v>0</v>
      </c>
      <c r="N39" s="50">
        <f>IF(H_Juil[[#This Row],[Fin]]&lt;H_Juil[[#This Row],[début]],1,0)+H_Juil[[#This Row],[Fin]]</f>
        <v>0</v>
      </c>
      <c r="O3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0.1*(H_Juil[[#This Row],[Heures de nuit]]+IF(H_Juil[[#This Row],[majoration dim &amp; JF]]="non",0,H_Juil[[#This Row],[heures jour dimanche]]+H_Juil[[#This Row],[heures jour fériés]]))</f>
        <v>0</v>
      </c>
      <c r="J40" s="48">
        <f>(MOD(H_Juil[[#This Row],[Fin]]-H_Juil[[#This Row],[début]],1)-MOD(H_Juil[[#This Row],[PNP Fin]]-H_Juil[[#This Row],[PNP Début]],1))*24</f>
        <v>0</v>
      </c>
      <c r="K40" s="109" t="str">
        <f>IFERROR(VLOOKUP(H_Juil[[#This Row],[Service]],Codes[],4,0),"")</f>
        <v/>
      </c>
      <c r="L40" s="49">
        <f>IF(H_Juil[[#This Row],[PNP Début]]=0,0,IF(H_Juil[[#This Row],[PNP Début]]&lt;H_Juil[[#This Row],[début]],1,0)+H_Juil[[#This Row],[PNP Début]])</f>
        <v>0</v>
      </c>
      <c r="M40" s="50">
        <f>IF(H_Juil[[#This Row],[PNP Fin]]=0,0,IF(H_Juil[[#This Row],[PNP Fin]]&lt;H_Juil[[#This Row],[début]],1,0)+H_Juil[[#This Row],[PNP Fin]])</f>
        <v>0</v>
      </c>
      <c r="N40" s="50">
        <f>IF(H_Juil[[#This Row],[Fin]]&lt;H_Juil[[#This Row],[début]],1,0)+H_Juil[[#This Row],[Fin]]</f>
        <v>0</v>
      </c>
      <c r="O4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0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0.1*(H_Juil[[#This Row],[Heures de nuit]]+IF(H_Juil[[#This Row],[majoration dim &amp; JF]]="non",0,H_Juil[[#This Row],[heures jour dimanche]]+H_Juil[[#This Row],[heures jour fériés]]))</f>
        <v>0</v>
      </c>
      <c r="J41" s="48">
        <f>(MOD(H_Juil[[#This Row],[Fin]]-H_Juil[[#This Row],[début]],1)-MOD(H_Juil[[#This Row],[PNP Fin]]-H_Juil[[#This Row],[PNP Début]],1))*24</f>
        <v>0</v>
      </c>
      <c r="K41" s="109" t="str">
        <f>IFERROR(VLOOKUP(H_Juil[[#This Row],[Service]],Codes[],4,0),"")</f>
        <v/>
      </c>
      <c r="L41" s="49">
        <f>IF(H_Juil[[#This Row],[PNP Début]]=0,0,IF(H_Juil[[#This Row],[PNP Début]]&lt;H_Juil[[#This Row],[début]],1,0)+H_Juil[[#This Row],[PNP Début]])</f>
        <v>0</v>
      </c>
      <c r="M41" s="50">
        <f>IF(H_Juil[[#This Row],[PNP Fin]]=0,0,IF(H_Juil[[#This Row],[PNP Fin]]&lt;H_Juil[[#This Row],[début]],1,0)+H_Juil[[#This Row],[PNP Fin]])</f>
        <v>0</v>
      </c>
      <c r="N41" s="50">
        <f>IF(H_Juil[[#This Row],[Fin]]&lt;H_Juil[[#This Row],[début]],1,0)+H_Juil[[#This Row],[Fin]]</f>
        <v>0</v>
      </c>
      <c r="O4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1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0.1*(H_Juil[[#This Row],[Heures de nuit]]+IF(H_Juil[[#This Row],[majoration dim &amp; JF]]="non",0,H_Juil[[#This Row],[heures jour dimanche]]+H_Juil[[#This Row],[heures jour fériés]]))</f>
        <v>0</v>
      </c>
      <c r="J42" s="48">
        <f>(MOD(H_Juil[[#This Row],[Fin]]-H_Juil[[#This Row],[début]],1)-MOD(H_Juil[[#This Row],[PNP Fin]]-H_Juil[[#This Row],[PNP Début]],1))*24</f>
        <v>0</v>
      </c>
      <c r="K42" s="109" t="str">
        <f>IFERROR(VLOOKUP(H_Juil[[#This Row],[Service]],Codes[],4,0),"")</f>
        <v/>
      </c>
      <c r="L42" s="49">
        <f>IF(H_Juil[[#This Row],[PNP Début]]=0,0,IF(H_Juil[[#This Row],[PNP Début]]&lt;H_Juil[[#This Row],[début]],1,0)+H_Juil[[#This Row],[PNP Début]])</f>
        <v>0</v>
      </c>
      <c r="M42" s="50">
        <f>IF(H_Juil[[#This Row],[PNP Fin]]=0,0,IF(H_Juil[[#This Row],[PNP Fin]]&lt;H_Juil[[#This Row],[début]],1,0)+H_Juil[[#This Row],[PNP Fin]])</f>
        <v>0</v>
      </c>
      <c r="N42" s="50">
        <f>IF(H_Juil[[#This Row],[Fin]]&lt;H_Juil[[#This Row],[début]],1,0)+H_Juil[[#This Row],[Fin]]</f>
        <v>0</v>
      </c>
      <c r="O4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0.1*(H_Juil[[#This Row],[Heures de nuit]]+IF(H_Juil[[#This Row],[majoration dim &amp; JF]]="non",0,H_Juil[[#This Row],[heures jour dimanche]]+H_Juil[[#This Row],[heures jour fériés]]))</f>
        <v>0</v>
      </c>
      <c r="J43" s="48">
        <f>(MOD(H_Juil[[#This Row],[Fin]]-H_Juil[[#This Row],[début]],1)-MOD(H_Juil[[#This Row],[PNP Fin]]-H_Juil[[#This Row],[PNP Début]],1))*24</f>
        <v>0</v>
      </c>
      <c r="K43" s="109" t="str">
        <f>IFERROR(VLOOKUP(H_Juil[[#This Row],[Service]],Codes[],4,0),"")</f>
        <v/>
      </c>
      <c r="L43" s="49">
        <f>IF(H_Juil[[#This Row],[PNP Début]]=0,0,IF(H_Juil[[#This Row],[PNP Début]]&lt;H_Juil[[#This Row],[début]],1,0)+H_Juil[[#This Row],[PNP Début]])</f>
        <v>0</v>
      </c>
      <c r="M43" s="50">
        <f>IF(H_Juil[[#This Row],[PNP Fin]]=0,0,IF(H_Juil[[#This Row],[PNP Fin]]&lt;H_Juil[[#This Row],[début]],1,0)+H_Juil[[#This Row],[PNP Fin]])</f>
        <v>0</v>
      </c>
      <c r="N43" s="50">
        <f>IF(H_Juil[[#This Row],[Fin]]&lt;H_Juil[[#This Row],[début]],1,0)+H_Juil[[#This Row],[Fin]]</f>
        <v>0</v>
      </c>
      <c r="O4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0.1*(H_Juil[[#This Row],[Heures de nuit]]+IF(H_Juil[[#This Row],[majoration dim &amp; JF]]="non",0,H_Juil[[#This Row],[heures jour dimanche]]+H_Juil[[#This Row],[heures jour fériés]]))</f>
        <v>0</v>
      </c>
      <c r="J44" s="48">
        <f>(MOD(H_Juil[[#This Row],[Fin]]-H_Juil[[#This Row],[début]],1)-MOD(H_Juil[[#This Row],[PNP Fin]]-H_Juil[[#This Row],[PNP Début]],1))*24</f>
        <v>0</v>
      </c>
      <c r="K44" s="109" t="str">
        <f>IFERROR(VLOOKUP(H_Juil[[#This Row],[Service]],Codes[],4,0),"")</f>
        <v/>
      </c>
      <c r="L44" s="49">
        <f>IF(H_Juil[[#This Row],[PNP Début]]=0,0,IF(H_Juil[[#This Row],[PNP Début]]&lt;H_Juil[[#This Row],[début]],1,0)+H_Juil[[#This Row],[PNP Début]])</f>
        <v>0</v>
      </c>
      <c r="M44" s="50">
        <f>IF(H_Juil[[#This Row],[PNP Fin]]=0,0,IF(H_Juil[[#This Row],[PNP Fin]]&lt;H_Juil[[#This Row],[début]],1,0)+H_Juil[[#This Row],[PNP Fin]])</f>
        <v>0</v>
      </c>
      <c r="N44" s="50">
        <f>IF(H_Juil[[#This Row],[Fin]]&lt;H_Juil[[#This Row],[début]],1,0)+H_Juil[[#This Row],[Fin]]</f>
        <v>0</v>
      </c>
      <c r="O4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0.1*(H_Juil[[#This Row],[Heures de nuit]]+IF(H_Juil[[#This Row],[majoration dim &amp; JF]]="non",0,H_Juil[[#This Row],[heures jour dimanche]]+H_Juil[[#This Row],[heures jour fériés]]))</f>
        <v>0</v>
      </c>
      <c r="J45" s="48">
        <f>(MOD(H_Juil[[#This Row],[Fin]]-H_Juil[[#This Row],[début]],1)-MOD(H_Juil[[#This Row],[PNP Fin]]-H_Juil[[#This Row],[PNP Début]],1))*24</f>
        <v>0</v>
      </c>
      <c r="K45" s="109" t="str">
        <f>IFERROR(VLOOKUP(H_Juil[[#This Row],[Service]],Codes[],4,0),"")</f>
        <v/>
      </c>
      <c r="L45" s="49">
        <f>IF(H_Juil[[#This Row],[PNP Début]]=0,0,IF(H_Juil[[#This Row],[PNP Début]]&lt;H_Juil[[#This Row],[début]],1,0)+H_Juil[[#This Row],[PNP Début]])</f>
        <v>0</v>
      </c>
      <c r="M45" s="50">
        <f>IF(H_Juil[[#This Row],[PNP Fin]]=0,0,IF(H_Juil[[#This Row],[PNP Fin]]&lt;H_Juil[[#This Row],[début]],1,0)+H_Juil[[#This Row],[PNP Fin]])</f>
        <v>0</v>
      </c>
      <c r="N45" s="50">
        <f>IF(H_Juil[[#This Row],[Fin]]&lt;H_Juil[[#This Row],[début]],1,0)+H_Juil[[#This Row],[Fin]]</f>
        <v>0</v>
      </c>
      <c r="O4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0.1*(H_Juil[[#This Row],[Heures de nuit]]+IF(H_Juil[[#This Row],[majoration dim &amp; JF]]="non",0,H_Juil[[#This Row],[heures jour dimanche]]+H_Juil[[#This Row],[heures jour fériés]]))</f>
        <v>0</v>
      </c>
      <c r="J46" s="48">
        <f>(MOD(H_Juil[[#This Row],[Fin]]-H_Juil[[#This Row],[début]],1)-MOD(H_Juil[[#This Row],[PNP Fin]]-H_Juil[[#This Row],[PNP Début]],1))*24</f>
        <v>0</v>
      </c>
      <c r="K46" s="109" t="str">
        <f>IFERROR(VLOOKUP(H_Juil[[#This Row],[Service]],Codes[],4,0),"")</f>
        <v/>
      </c>
      <c r="L46" s="49">
        <f>IF(H_Juil[[#This Row],[PNP Début]]=0,0,IF(H_Juil[[#This Row],[PNP Début]]&lt;H_Juil[[#This Row],[début]],1,0)+H_Juil[[#This Row],[PNP Début]])</f>
        <v>0</v>
      </c>
      <c r="M46" s="50">
        <f>IF(H_Juil[[#This Row],[PNP Fin]]=0,0,IF(H_Juil[[#This Row],[PNP Fin]]&lt;H_Juil[[#This Row],[début]],1,0)+H_Juil[[#This Row],[PNP Fin]])</f>
        <v>0</v>
      </c>
      <c r="N46" s="50">
        <f>IF(H_Juil[[#This Row],[Fin]]&lt;H_Juil[[#This Row],[début]],1,0)+H_Juil[[#This Row],[Fin]]</f>
        <v>0</v>
      </c>
      <c r="O4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0.1*(H_Juil[[#This Row],[Heures de nuit]]+IF(H_Juil[[#This Row],[majoration dim &amp; JF]]="non",0,H_Juil[[#This Row],[heures jour dimanche]]+H_Juil[[#This Row],[heures jour fériés]]))</f>
        <v>0</v>
      </c>
      <c r="J47" s="48">
        <f>(MOD(H_Juil[[#This Row],[Fin]]-H_Juil[[#This Row],[début]],1)-MOD(H_Juil[[#This Row],[PNP Fin]]-H_Juil[[#This Row],[PNP Début]],1))*24</f>
        <v>0</v>
      </c>
      <c r="K47" s="109" t="str">
        <f>IFERROR(VLOOKUP(H_Juil[[#This Row],[Service]],Codes[],4,0),"")</f>
        <v/>
      </c>
      <c r="L47" s="49">
        <f>IF(H_Juil[[#This Row],[PNP Début]]=0,0,IF(H_Juil[[#This Row],[PNP Début]]&lt;H_Juil[[#This Row],[début]],1,0)+H_Juil[[#This Row],[PNP Début]])</f>
        <v>0</v>
      </c>
      <c r="M47" s="50">
        <f>IF(H_Juil[[#This Row],[PNP Fin]]=0,0,IF(H_Juil[[#This Row],[PNP Fin]]&lt;H_Juil[[#This Row],[début]],1,0)+H_Juil[[#This Row],[PNP Fin]])</f>
        <v>0</v>
      </c>
      <c r="N47" s="50">
        <f>IF(H_Juil[[#This Row],[Fin]]&lt;H_Juil[[#This Row],[début]],1,0)+H_Juil[[#This Row],[Fin]]</f>
        <v>0</v>
      </c>
      <c r="O4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0.1*(H_Juil[[#This Row],[Heures de nuit]]+IF(H_Juil[[#This Row],[majoration dim &amp; JF]]="non",0,H_Juil[[#This Row],[heures jour dimanche]]+H_Juil[[#This Row],[heures jour fériés]]))</f>
        <v>0</v>
      </c>
      <c r="J48" s="48">
        <f>(MOD(H_Juil[[#This Row],[Fin]]-H_Juil[[#This Row],[début]],1)-MOD(H_Juil[[#This Row],[PNP Fin]]-H_Juil[[#This Row],[PNP Début]],1))*24</f>
        <v>0</v>
      </c>
      <c r="K48" s="109" t="str">
        <f>IFERROR(VLOOKUP(H_Juil[[#This Row],[Service]],Codes[],4,0),"")</f>
        <v/>
      </c>
      <c r="L48" s="49">
        <f>IF(H_Juil[[#This Row],[PNP Début]]=0,0,IF(H_Juil[[#This Row],[PNP Début]]&lt;H_Juil[[#This Row],[début]],1,0)+H_Juil[[#This Row],[PNP Début]])</f>
        <v>0</v>
      </c>
      <c r="M48" s="50">
        <f>IF(H_Juil[[#This Row],[PNP Fin]]=0,0,IF(H_Juil[[#This Row],[PNP Fin]]&lt;H_Juil[[#This Row],[début]],1,0)+H_Juil[[#This Row],[PNP Fin]])</f>
        <v>0</v>
      </c>
      <c r="N48" s="50">
        <f>IF(H_Juil[[#This Row],[Fin]]&lt;H_Juil[[#This Row],[début]],1,0)+H_Juil[[#This Row],[Fin]]</f>
        <v>0</v>
      </c>
      <c r="O4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0.1*(H_Juil[[#This Row],[Heures de nuit]]+IF(H_Juil[[#This Row],[majoration dim &amp; JF]]="non",0,H_Juil[[#This Row],[heures jour dimanche]]+H_Juil[[#This Row],[heures jour fériés]]))</f>
        <v>0</v>
      </c>
      <c r="J49" s="48">
        <f>(MOD(H_Juil[[#This Row],[Fin]]-H_Juil[[#This Row],[début]],1)-MOD(H_Juil[[#This Row],[PNP Fin]]-H_Juil[[#This Row],[PNP Début]],1))*24</f>
        <v>0</v>
      </c>
      <c r="K49" s="109" t="str">
        <f>IFERROR(VLOOKUP(H_Juil[[#This Row],[Service]],Codes[],4,0),"")</f>
        <v/>
      </c>
      <c r="L49" s="49">
        <f>IF(H_Juil[[#This Row],[PNP Début]]=0,0,IF(H_Juil[[#This Row],[PNP Début]]&lt;H_Juil[[#This Row],[début]],1,0)+H_Juil[[#This Row],[PNP Début]])</f>
        <v>0</v>
      </c>
      <c r="M49" s="50">
        <f>IF(H_Juil[[#This Row],[PNP Fin]]=0,0,IF(H_Juil[[#This Row],[PNP Fin]]&lt;H_Juil[[#This Row],[début]],1,0)+H_Juil[[#This Row],[PNP Fin]])</f>
        <v>0</v>
      </c>
      <c r="N49" s="50">
        <f>IF(H_Juil[[#This Row],[Fin]]&lt;H_Juil[[#This Row],[début]],1,0)+H_Juil[[#This Row],[Fin]]</f>
        <v>0</v>
      </c>
      <c r="O4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SUM(H_Juil[Majoration])</f>
        <v>0</v>
      </c>
      <c r="J50" s="54">
        <f>SUM(H_Juil[Heures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62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print="0" autoLine="0" r:id="rId5">
            <anchor moveWithCells="1">
              <from>
                <xdr:col>9</xdr:col>
                <xdr:colOff>480060</xdr:colOff>
                <xdr:row>0</xdr:row>
                <xdr:rowOff>76200</xdr:rowOff>
              </from>
              <to>
                <xdr:col>9</xdr:col>
                <xdr:colOff>1264920</xdr:colOff>
                <xdr:row>3</xdr:row>
                <xdr:rowOff>198120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Z60"/>
  <sheetViews>
    <sheetView topLeftCell="A2" zoomScale="80" zoomScaleNormal="80" zoomScalePageLayoutView="55" workbookViewId="0">
      <selection activeCell="V19" activeCellId="2" sqref="V9:W10 V15:Z16 V19:W19"/>
    </sheetView>
  </sheetViews>
  <sheetFormatPr baseColWidth="10" defaultRowHeight="14.4" x14ac:dyDescent="0.3"/>
  <cols>
    <col min="1" max="1" width="20.21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1.8867187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102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Août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68"/>
      <c r="Y9" s="169"/>
      <c r="Z9" s="168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68"/>
      <c r="Y10" s="168"/>
      <c r="Z10" s="168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68"/>
      <c r="X11" s="168"/>
      <c r="Y11" s="168"/>
      <c r="Z11" s="168"/>
    </row>
    <row r="12" spans="1:26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70"/>
      <c r="X12" s="170"/>
      <c r="Y12" s="170"/>
      <c r="Z12" s="170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0.1*(H_Aout[[#This Row],[Heures de nuit]]+IF(H_Aout[[#This Row],[majoration dim &amp; JF]]="non",0,H_Aout[[#This Row],[heures jour dimanche]]+H_Aout[[#This Row],[heures jour fériés]]))</f>
        <v>0</v>
      </c>
      <c r="J13" s="29">
        <f>(MOD(H_Aout[[#This Row],[Fin]]-H_Aout[[#This Row],[début]],1)-MOD(H_Aout[[#This Row],[PNP Fin]]-H_Aout[[#This Row],[PNP Début]],1))*24</f>
        <v>0</v>
      </c>
      <c r="K13" s="29" t="str">
        <f>IFERROR(VLOOKUP(H_Aout[[#This Row],[Service]],Codes[],4,0),"")</f>
        <v/>
      </c>
      <c r="L13" s="30">
        <f>IF(H_Aout[[#This Row],[PNP Début]]=0,0,IF(H_Aout[[#This Row],[PNP Début]]&lt;H_Aout[[#This Row],[début]],1,0)+H_Aout[[#This Row],[PNP Début]])</f>
        <v>0</v>
      </c>
      <c r="M13" s="30">
        <f>IF(H_Aout[[#This Row],[PNP Fin]]=0,0,IF(H_Aout[[#This Row],[PNP Fin]]&lt;H_Aout[[#This Row],[début]],1,0)+H_Aout[[#This Row],[PNP Fin]])</f>
        <v>0</v>
      </c>
      <c r="N13" s="30">
        <f>IF(H_Aout[[#This Row],[Fin]]&lt;H_Aout[[#This Row],[début]],1,0)+H_Aout[[#This Row],[Fin]]</f>
        <v>0</v>
      </c>
      <c r="O1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3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3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3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3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3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13" s="166"/>
      <c r="W13" s="168"/>
      <c r="X13" s="168"/>
      <c r="Y13" s="168"/>
      <c r="Z13" s="168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0.1*(H_Aout[[#This Row],[Heures de nuit]]+IF(H_Aout[[#This Row],[majoration dim &amp; JF]]="non",0,H_Aout[[#This Row],[heures jour dimanche]]+H_Aout[[#This Row],[heures jour fériés]]))</f>
        <v>0</v>
      </c>
      <c r="J14" s="29">
        <f>(MOD(H_Aout[[#This Row],[Fin]]-H_Aout[[#This Row],[début]],1)-MOD(H_Aout[[#This Row],[PNP Fin]]-H_Aout[[#This Row],[PNP Début]],1))*24</f>
        <v>0</v>
      </c>
      <c r="K14" s="29" t="str">
        <f>IFERROR(VLOOKUP(H_Aout[[#This Row],[Service]],Codes[],4,0),"")</f>
        <v/>
      </c>
      <c r="L14" s="30">
        <f>IF(H_Aout[[#This Row],[PNP Début]]=0,0,IF(H_Aout[[#This Row],[PNP Début]]&lt;H_Aout[[#This Row],[début]],1,0)+H_Aout[[#This Row],[PNP Début]])</f>
        <v>0</v>
      </c>
      <c r="M14" s="30">
        <f>IF(H_Aout[[#This Row],[PNP Fin]]=0,0,IF(H_Aout[[#This Row],[PNP Fin]]&lt;H_Aout[[#This Row],[début]],1,0)+H_Aout[[#This Row],[PNP Fin]])</f>
        <v>0</v>
      </c>
      <c r="N14" s="30">
        <f>IF(H_Aout[[#This Row],[Fin]]&lt;H_Aout[[#This Row],[début]],1,0)+H_Aout[[#This Row],[Fin]]</f>
        <v>0</v>
      </c>
      <c r="O1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4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4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4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4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4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14" s="166"/>
      <c r="W14" s="168"/>
      <c r="X14" s="168"/>
      <c r="Y14" s="168"/>
      <c r="Z14" s="168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0.1*(H_Aout[[#This Row],[Heures de nuit]]+IF(H_Aout[[#This Row],[majoration dim &amp; JF]]="non",0,H_Aout[[#This Row],[heures jour dimanche]]+H_Aout[[#This Row],[heures jour fériés]]))</f>
        <v>0</v>
      </c>
      <c r="J15" s="29">
        <f>(MOD(H_Aout[[#This Row],[Fin]]-H_Aout[[#This Row],[début]],1)-MOD(H_Aout[[#This Row],[PNP Fin]]-H_Aout[[#This Row],[PNP Début]],1))*24</f>
        <v>0</v>
      </c>
      <c r="K15" s="29" t="str">
        <f>IFERROR(VLOOKUP(H_Aout[[#This Row],[Service]],Codes[],4,0),"")</f>
        <v/>
      </c>
      <c r="L15" s="30">
        <f>IF(H_Aout[[#This Row],[PNP Début]]=0,0,IF(H_Aout[[#This Row],[PNP Début]]&lt;H_Aout[[#This Row],[début]],1,0)+H_Aout[[#This Row],[PNP Début]])</f>
        <v>0</v>
      </c>
      <c r="M15" s="30">
        <f>IF(H_Aout[[#This Row],[PNP Fin]]=0,0,IF(H_Aout[[#This Row],[PNP Fin]]&lt;H_Aout[[#This Row],[début]],1,0)+H_Aout[[#This Row],[PNP Fin]])</f>
        <v>0</v>
      </c>
      <c r="N15" s="30">
        <f>IF(H_Aout[[#This Row],[Fin]]&lt;H_Aout[[#This Row],[début]],1,0)+H_Aout[[#This Row],[Fin]]</f>
        <v>0</v>
      </c>
      <c r="O1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5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5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5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5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5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0.1*(H_Aout[[#This Row],[Heures de nuit]]+IF(H_Aout[[#This Row],[majoration dim &amp; JF]]="non",0,H_Aout[[#This Row],[heures jour dimanche]]+H_Aout[[#This Row],[heures jour fériés]]))</f>
        <v>0</v>
      </c>
      <c r="J16" s="33">
        <f>(MOD(H_Aout[[#This Row],[Fin]]-H_Aout[[#This Row],[début]],1)-MOD(H_Aout[[#This Row],[PNP Fin]]-H_Aout[[#This Row],[PNP Début]],1))*24</f>
        <v>0</v>
      </c>
      <c r="K16" s="33" t="str">
        <f>IFERROR(VLOOKUP(H_Aout[[#This Row],[Service]],Codes[],4,0),"")</f>
        <v/>
      </c>
      <c r="L16" s="30">
        <f>IF(H_Aout[[#This Row],[PNP Début]]=0,0,IF(H_Aout[[#This Row],[PNP Début]]&lt;H_Aout[[#This Row],[début]],1,0)+H_Aout[[#This Row],[PNP Début]])</f>
        <v>0</v>
      </c>
      <c r="M16" s="30">
        <f>IF(H_Aout[[#This Row],[PNP Fin]]=0,0,IF(H_Aout[[#This Row],[PNP Fin]]&lt;H_Aout[[#This Row],[début]],1,0)+H_Aout[[#This Row],[PNP Fin]])</f>
        <v>0</v>
      </c>
      <c r="N16" s="34">
        <f>IF(H_Aout[[#This Row],[Fin]]&lt;H_Aout[[#This Row],[début]],1,0)+H_Aout[[#This Row],[Fin]]</f>
        <v>0</v>
      </c>
      <c r="O1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6" s="35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6" s="35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6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6" s="3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6" s="3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16" s="176" t="s">
        <v>128</v>
      </c>
      <c r="W16" s="177">
        <f>'Juillet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6" x14ac:dyDescent="0.3">
      <c r="A17" s="4"/>
      <c r="B17" s="1"/>
      <c r="C17" s="2"/>
      <c r="D17" s="2"/>
      <c r="E17" s="3"/>
      <c r="F17" s="3"/>
      <c r="G17" s="9"/>
      <c r="H17" s="9"/>
      <c r="I17" s="37">
        <f>0.1*(H_Aout[[#This Row],[Heures de nuit]]+IF(H_Aout[[#This Row],[majoration dim &amp; JF]]="non",0,H_Aout[[#This Row],[heures jour dimanche]]+H_Aout[[#This Row],[heures jour fériés]]))</f>
        <v>0</v>
      </c>
      <c r="J17" s="38">
        <f>(MOD(H_Aout[[#This Row],[Fin]]-H_Aout[[#This Row],[début]],1)-MOD(H_Aout[[#This Row],[PNP Fin]]-H_Aout[[#This Row],[PNP Début]],1))*24</f>
        <v>0</v>
      </c>
      <c r="K17" s="112" t="str">
        <f>IFERROR(VLOOKUP(H_Aout[[#This Row],[Service]],Codes[],4,0),"")</f>
        <v/>
      </c>
      <c r="L17" s="39">
        <f>IF(H_Aout[[#This Row],[PNP Début]]=0,0,IF(H_Aout[[#This Row],[PNP Début]]&lt;H_Aout[[#This Row],[début]],1,0)+H_Aout[[#This Row],[PNP Début]])</f>
        <v>0</v>
      </c>
      <c r="M17" s="40">
        <f>IF(H_Aout[[#This Row],[PNP Fin]]=0,0,IF(H_Aout[[#This Row],[PNP Fin]]&lt;H_Aout[[#This Row],[début]],1,0)+H_Aout[[#This Row],[PNP Fin]])</f>
        <v>0</v>
      </c>
      <c r="N17" s="40">
        <f>IF(H_Aout[[#This Row],[Fin]]&lt;H_Aout[[#This Row],[début]],1,0)+H_Aout[[#This Row],[Fin]]</f>
        <v>0</v>
      </c>
      <c r="O1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7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7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7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7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7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17" s="163"/>
      <c r="W17" s="171"/>
      <c r="X17" s="171"/>
      <c r="Y17" s="171"/>
      <c r="Z17" s="171"/>
    </row>
    <row r="18" spans="1:26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0.1*(H_Aout[[#This Row],[Heures de nuit]]+IF(H_Aout[[#This Row],[majoration dim &amp; JF]]="non",0,H_Aout[[#This Row],[heures jour dimanche]]+H_Aout[[#This Row],[heures jour fériés]]))</f>
        <v>0</v>
      </c>
      <c r="J18" s="38">
        <f>(MOD(H_Aout[[#This Row],[Fin]]-H_Aout[[#This Row],[début]],1)-MOD(H_Aout[[#This Row],[PNP Fin]]-H_Aout[[#This Row],[PNP Début]],1))*24</f>
        <v>0</v>
      </c>
      <c r="K18" s="112" t="str">
        <f>IFERROR(VLOOKUP(H_Aout[[#This Row],[Service]],Codes[],4,0),"")</f>
        <v/>
      </c>
      <c r="L18" s="39">
        <f>IF(H_Aout[[#This Row],[PNP Début]]=0,0,IF(H_Aout[[#This Row],[PNP Début]]&lt;H_Aout[[#This Row],[début]],1,0)+H_Aout[[#This Row],[PNP Début]])</f>
        <v>0</v>
      </c>
      <c r="M18" s="40">
        <f>IF(H_Aout[[#This Row],[PNP Fin]]=0,0,IF(H_Aout[[#This Row],[PNP Fin]]&lt;H_Aout[[#This Row],[début]],1,0)+H_Aout[[#This Row],[PNP Fin]])</f>
        <v>0</v>
      </c>
      <c r="N18" s="40">
        <f>IF(H_Aout[[#This Row],[Fin]]&lt;H_Aout[[#This Row],[début]],1,0)+H_Aout[[#This Row],[Fin]]</f>
        <v>0</v>
      </c>
      <c r="O1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8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8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8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8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8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18" s="163"/>
      <c r="W18" s="171"/>
      <c r="X18" s="171"/>
      <c r="Y18" s="171"/>
      <c r="Z18" s="171"/>
    </row>
    <row r="19" spans="1:26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0.1*(H_Aout[[#This Row],[Heures de nuit]]+IF(H_Aout[[#This Row],[majoration dim &amp; JF]]="non",0,H_Aout[[#This Row],[heures jour dimanche]]+H_Aout[[#This Row],[heures jour fériés]]))</f>
        <v>0</v>
      </c>
      <c r="J19" s="38">
        <f>(MOD(H_Aout[[#This Row],[Fin]]-H_Aout[[#This Row],[début]],1)-MOD(H_Aout[[#This Row],[PNP Fin]]-H_Aout[[#This Row],[PNP Début]],1))*24</f>
        <v>0</v>
      </c>
      <c r="K19" s="112" t="str">
        <f>IFERROR(VLOOKUP(H_Aout[[#This Row],[Service]],Codes[],4,0),"")</f>
        <v/>
      </c>
      <c r="L19" s="39">
        <f>IF(H_Aout[[#This Row],[PNP Début]]=0,0,IF(H_Aout[[#This Row],[PNP Début]]&lt;H_Aout[[#This Row],[début]],1,0)+H_Aout[[#This Row],[PNP Début]])</f>
        <v>0</v>
      </c>
      <c r="M19" s="40">
        <f>IF(H_Aout[[#This Row],[PNP Fin]]=0,0,IF(H_Aout[[#This Row],[PNP Fin]]&lt;H_Aout[[#This Row],[début]],1,0)+H_Aout[[#This Row],[PNP Fin]])</f>
        <v>0</v>
      </c>
      <c r="N19" s="40">
        <f>IF(H_Aout[[#This Row],[Fin]]&lt;H_Aout[[#This Row],[début]],1,0)+H_Aout[[#This Row],[Fin]]</f>
        <v>0</v>
      </c>
      <c r="O1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9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9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9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9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9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  <c r="X19" s="171"/>
      <c r="Y19" s="171"/>
      <c r="Z19" s="171"/>
    </row>
    <row r="20" spans="1:26" ht="15" thickBot="1" x14ac:dyDescent="0.35">
      <c r="A20" s="4"/>
      <c r="B20" s="1"/>
      <c r="C20" s="2"/>
      <c r="D20" s="2"/>
      <c r="E20" s="9"/>
      <c r="F20" s="9"/>
      <c r="G20" s="9"/>
      <c r="H20" s="9"/>
      <c r="I20" s="37">
        <f>0.1*(H_Aout[[#This Row],[Heures de nuit]]+IF(H_Aout[[#This Row],[majoration dim &amp; JF]]="non",0,H_Aout[[#This Row],[heures jour dimanche]]+H_Aout[[#This Row],[heures jour fériés]]))</f>
        <v>0</v>
      </c>
      <c r="J20" s="38">
        <f>(MOD(H_Aout[[#This Row],[Fin]]-H_Aout[[#This Row],[début]],1)-MOD(H_Aout[[#This Row],[PNP Fin]]-H_Aout[[#This Row],[PNP Début]],1))*24</f>
        <v>0</v>
      </c>
      <c r="K20" s="112" t="str">
        <f>IFERROR(VLOOKUP(H_Aout[[#This Row],[Service]],Codes[],4,0),"")</f>
        <v/>
      </c>
      <c r="L20" s="39">
        <f>IF(H_Aout[[#This Row],[PNP Début]]=0,0,IF(H_Aout[[#This Row],[PNP Début]]&lt;H_Aout[[#This Row],[début]],1,0)+H_Aout[[#This Row],[PNP Début]])</f>
        <v>0</v>
      </c>
      <c r="M20" s="40">
        <f>IF(H_Aout[[#This Row],[PNP Fin]]=0,0,IF(H_Aout[[#This Row],[PNP Fin]]&lt;H_Aout[[#This Row],[début]],1,0)+H_Aout[[#This Row],[PNP Fin]])</f>
        <v>0</v>
      </c>
      <c r="N20" s="40">
        <f>IF(H_Aout[[#This Row],[Fin]]&lt;H_Aout[[#This Row],[début]],1,0)+H_Aout[[#This Row],[Fin]]</f>
        <v>0</v>
      </c>
      <c r="O2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0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0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0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0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0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20" s="163"/>
      <c r="W20" s="171"/>
      <c r="X20" s="171"/>
      <c r="Y20" s="171"/>
      <c r="Z20" s="171"/>
    </row>
    <row r="21" spans="1:26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0.1*(H_Aout[[#This Row],[Heures de nuit]]+IF(H_Aout[[#This Row],[majoration dim &amp; JF]]="non",0,H_Aout[[#This Row],[heures jour dimanche]]+H_Aout[[#This Row],[heures jour fériés]]))</f>
        <v>0</v>
      </c>
      <c r="J21" s="43">
        <f>(MOD(H_Aout[[#This Row],[Fin]]-H_Aout[[#This Row],[début]],1)-MOD(H_Aout[[#This Row],[PNP Fin]]-H_Aout[[#This Row],[PNP Début]],1))*24</f>
        <v>0</v>
      </c>
      <c r="K21" s="113" t="str">
        <f>IFERROR(VLOOKUP(H_Aout[[#This Row],[Service]],Codes[],4,0),"")</f>
        <v/>
      </c>
      <c r="L21" s="44">
        <f>IF(H_Aout[[#This Row],[PNP Début]]=0,0,IF(H_Aout[[#This Row],[PNP Début]]&lt;H_Aout[[#This Row],[début]],1,0)+H_Aout[[#This Row],[PNP Début]])</f>
        <v>0</v>
      </c>
      <c r="M21" s="45">
        <f>IF(H_Aout[[#This Row],[PNP Fin]]=0,0,IF(H_Aout[[#This Row],[PNP Fin]]&lt;H_Aout[[#This Row],[début]],1,0)+H_Aout[[#This Row],[PNP Fin]])</f>
        <v>0</v>
      </c>
      <c r="N21" s="45">
        <f>IF(H_Aout[[#This Row],[Fin]]&lt;H_Aout[[#This Row],[début]],1,0)+H_Aout[[#This Row],[Fin]]</f>
        <v>0</v>
      </c>
      <c r="O2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1" s="46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1" s="46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1" s="46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1" s="4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1" s="4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21" s="164" t="s">
        <v>167</v>
      </c>
      <c r="W21" s="162">
        <f>COUNTIF(B13:B49,"*récuperations*")</f>
        <v>0</v>
      </c>
      <c r="X21" s="171"/>
      <c r="Y21" s="171"/>
      <c r="Z21" s="171"/>
    </row>
    <row r="22" spans="1:26" ht="15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0.1*(H_Aout[[#This Row],[Heures de nuit]]+IF(H_Aout[[#This Row],[majoration dim &amp; JF]]="non",0,H_Aout[[#This Row],[heures jour dimanche]]+H_Aout[[#This Row],[heures jour fériés]]))</f>
        <v>0</v>
      </c>
      <c r="J22" s="48">
        <f>(MOD(H_Aout[[#This Row],[Fin]]-H_Aout[[#This Row],[début]],1)-MOD(H_Aout[[#This Row],[PNP Fin]]-H_Aout[[#This Row],[PNP Début]],1))*24</f>
        <v>0</v>
      </c>
      <c r="K22" s="109" t="str">
        <f>IFERROR(VLOOKUP(H_Aout[[#This Row],[Service]],Codes[],4,0),"")</f>
        <v/>
      </c>
      <c r="L22" s="49">
        <f>IF(H_Aout[[#This Row],[PNP Début]]=0,0,IF(H_Aout[[#This Row],[PNP Début]]&lt;H_Aout[[#This Row],[début]],1,0)+H_Aout[[#This Row],[PNP Début]])</f>
        <v>0</v>
      </c>
      <c r="M22" s="50">
        <f>IF(H_Aout[[#This Row],[PNP Fin]]=0,0,IF(H_Aout[[#This Row],[PNP Fin]]&lt;H_Aout[[#This Row],[début]],1,0)+H_Aout[[#This Row],[PNP Fin]])</f>
        <v>0</v>
      </c>
      <c r="N22" s="50">
        <f>IF(H_Aout[[#This Row],[Fin]]&lt;H_Aout[[#This Row],[début]],1,0)+H_Aout[[#This Row],[Fin]]</f>
        <v>0</v>
      </c>
      <c r="O2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22" s="165"/>
      <c r="W22" s="171"/>
      <c r="X22" s="171"/>
      <c r="Y22" s="171"/>
      <c r="Z22" s="171"/>
    </row>
    <row r="23" spans="1:26" ht="15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0.1*(H_Aout[[#This Row],[Heures de nuit]]+IF(H_Aout[[#This Row],[majoration dim &amp; JF]]="non",0,H_Aout[[#This Row],[heures jour dimanche]]+H_Aout[[#This Row],[heures jour fériés]]))</f>
        <v>0</v>
      </c>
      <c r="J23" s="48">
        <f>(MOD(H_Aout[[#This Row],[Fin]]-H_Aout[[#This Row],[début]],1)-MOD(H_Aout[[#This Row],[PNP Fin]]-H_Aout[[#This Row],[PNP Début]],1))*24</f>
        <v>0</v>
      </c>
      <c r="K23" s="109" t="str">
        <f>IFERROR(VLOOKUP(H_Aout[[#This Row],[Service]],Codes[],4,0),"")</f>
        <v/>
      </c>
      <c r="L23" s="49">
        <f>IF(H_Aout[[#This Row],[PNP Début]]=0,0,IF(H_Aout[[#This Row],[PNP Début]]&lt;H_Aout[[#This Row],[début]],1,0)+H_Aout[[#This Row],[PNP Début]])</f>
        <v>0</v>
      </c>
      <c r="M23" s="50">
        <f>IF(H_Aout[[#This Row],[PNP Fin]]=0,0,IF(H_Aout[[#This Row],[PNP Fin]]&lt;H_Aout[[#This Row],[début]],1,0)+H_Aout[[#This Row],[PNP Fin]])</f>
        <v>0</v>
      </c>
      <c r="N23" s="50">
        <f>IF(H_Aout[[#This Row],[Fin]]&lt;H_Aout[[#This Row],[début]],1,0)+H_Aout[[#This Row],[Fin]]</f>
        <v>0</v>
      </c>
      <c r="O2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  <c r="V23" s="164" t="s">
        <v>168</v>
      </c>
      <c r="W23" s="162">
        <f>COUNTIF(B13:B49,"*CCT*")</f>
        <v>0</v>
      </c>
      <c r="X23" s="171"/>
      <c r="Y23" s="171"/>
      <c r="Z23" s="171"/>
    </row>
    <row r="24" spans="1:26" x14ac:dyDescent="0.3">
      <c r="A24" s="4"/>
      <c r="B24" s="1"/>
      <c r="C24" s="2"/>
      <c r="D24" s="2"/>
      <c r="E24" s="3"/>
      <c r="F24" s="3"/>
      <c r="G24" s="3"/>
      <c r="H24" s="3"/>
      <c r="I24" s="47">
        <f>0.1*(H_Aout[[#This Row],[Heures de nuit]]+IF(H_Aout[[#This Row],[majoration dim &amp; JF]]="non",0,H_Aout[[#This Row],[heures jour dimanche]]+H_Aout[[#This Row],[heures jour fériés]]))</f>
        <v>0</v>
      </c>
      <c r="J24" s="48">
        <f>(MOD(H_Aout[[#This Row],[Fin]]-H_Aout[[#This Row],[début]],1)-MOD(H_Aout[[#This Row],[PNP Fin]]-H_Aout[[#This Row],[PNP Début]],1))*24</f>
        <v>0</v>
      </c>
      <c r="K24" s="109" t="str">
        <f>IFERROR(VLOOKUP(H_Aout[[#This Row],[Service]],Codes[],4,0),"")</f>
        <v/>
      </c>
      <c r="L24" s="49">
        <f>IF(H_Aout[[#This Row],[PNP Début]]=0,0,IF(H_Aout[[#This Row],[PNP Début]]&lt;H_Aout[[#This Row],[début]],1,0)+H_Aout[[#This Row],[PNP Début]])</f>
        <v>0</v>
      </c>
      <c r="M24" s="50">
        <f>IF(H_Aout[[#This Row],[PNP Fin]]=0,0,IF(H_Aout[[#This Row],[PNP Fin]]&lt;H_Aout[[#This Row],[début]],1,0)+H_Aout[[#This Row],[PNP Fin]])</f>
        <v>0</v>
      </c>
      <c r="N24" s="50">
        <f>IF(H_Aout[[#This Row],[Fin]]&lt;H_Aout[[#This Row],[début]],1,0)+H_Aout[[#This Row],[Fin]]</f>
        <v>0</v>
      </c>
      <c r="O2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5" spans="1:26" x14ac:dyDescent="0.3">
      <c r="A25" s="4"/>
      <c r="B25" s="1"/>
      <c r="C25" s="2"/>
      <c r="D25" s="2"/>
      <c r="E25" s="3"/>
      <c r="F25" s="3"/>
      <c r="G25" s="3"/>
      <c r="H25" s="3"/>
      <c r="I25" s="47">
        <f>0.1*(H_Aout[[#This Row],[Heures de nuit]]+IF(H_Aout[[#This Row],[majoration dim &amp; JF]]="non",0,H_Aout[[#This Row],[heures jour dimanche]]+H_Aout[[#This Row],[heures jour fériés]]))</f>
        <v>0</v>
      </c>
      <c r="J25" s="48">
        <f>(MOD(H_Aout[[#This Row],[Fin]]-H_Aout[[#This Row],[début]],1)-MOD(H_Aout[[#This Row],[PNP Fin]]-H_Aout[[#This Row],[PNP Début]],1))*24</f>
        <v>0</v>
      </c>
      <c r="K25" s="109" t="str">
        <f>IFERROR(VLOOKUP(H_Aout[[#This Row],[Service]],Codes[],4,0),"")</f>
        <v/>
      </c>
      <c r="L25" s="49">
        <f>IF(H_Aout[[#This Row],[PNP Début]]=0,0,IF(H_Aout[[#This Row],[PNP Début]]&lt;H_Aout[[#This Row],[début]],1,0)+H_Aout[[#This Row],[PNP Début]])</f>
        <v>0</v>
      </c>
      <c r="M25" s="50">
        <f>IF(H_Aout[[#This Row],[PNP Fin]]=0,0,IF(H_Aout[[#This Row],[PNP Fin]]&lt;H_Aout[[#This Row],[début]],1,0)+H_Aout[[#This Row],[PNP Fin]])</f>
        <v>0</v>
      </c>
      <c r="N25" s="50">
        <f>IF(H_Aout[[#This Row],[Fin]]&lt;H_Aout[[#This Row],[début]],1,0)+H_Aout[[#This Row],[Fin]]</f>
        <v>0</v>
      </c>
      <c r="O2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6" spans="1:26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0.1*(H_Aout[[#This Row],[Heures de nuit]]+IF(H_Aout[[#This Row],[majoration dim &amp; JF]]="non",0,H_Aout[[#This Row],[heures jour dimanche]]+H_Aout[[#This Row],[heures jour fériés]]))</f>
        <v>0</v>
      </c>
      <c r="J26" s="48">
        <f>(MOD(H_Aout[[#This Row],[Fin]]-H_Aout[[#This Row],[début]],1)-MOD(H_Aout[[#This Row],[PNP Fin]]-H_Aout[[#This Row],[PNP Début]],1))*24</f>
        <v>0</v>
      </c>
      <c r="K26" s="109" t="str">
        <f>IFERROR(VLOOKUP(H_Aout[[#This Row],[Service]],Codes[],4,0),"")</f>
        <v/>
      </c>
      <c r="L26" s="49">
        <f>IF(H_Aout[[#This Row],[PNP Début]]=0,0,IF(H_Aout[[#This Row],[PNP Début]]&lt;H_Aout[[#This Row],[début]],1,0)+H_Aout[[#This Row],[PNP Début]])</f>
        <v>0</v>
      </c>
      <c r="M26" s="50">
        <f>IF(H_Aout[[#This Row],[PNP Fin]]=0,0,IF(H_Aout[[#This Row],[PNP Fin]]&lt;H_Aout[[#This Row],[début]],1,0)+H_Aout[[#This Row],[PNP Fin]])</f>
        <v>0</v>
      </c>
      <c r="N26" s="50">
        <f>IF(H_Aout[[#This Row],[Fin]]&lt;H_Aout[[#This Row],[début]],1,0)+H_Aout[[#This Row],[Fin]]</f>
        <v>0</v>
      </c>
      <c r="O2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7" spans="1:26" x14ac:dyDescent="0.3">
      <c r="A27" s="4"/>
      <c r="B27" s="1"/>
      <c r="C27" s="2"/>
      <c r="D27" s="2"/>
      <c r="E27" s="3"/>
      <c r="F27" s="3"/>
      <c r="G27" s="3"/>
      <c r="H27" s="3"/>
      <c r="I27" s="47">
        <f>0.1*(H_Aout[[#This Row],[Heures de nuit]]+IF(H_Aout[[#This Row],[majoration dim &amp; JF]]="non",0,H_Aout[[#This Row],[heures jour dimanche]]+H_Aout[[#This Row],[heures jour fériés]]))</f>
        <v>0</v>
      </c>
      <c r="J27" s="48">
        <f>(MOD(H_Aout[[#This Row],[Fin]]-H_Aout[[#This Row],[début]],1)-MOD(H_Aout[[#This Row],[PNP Fin]]-H_Aout[[#This Row],[PNP Début]],1))*24</f>
        <v>0</v>
      </c>
      <c r="K27" s="109" t="str">
        <f>IFERROR(VLOOKUP(H_Aout[[#This Row],[Service]],Codes[],4,0),"")</f>
        <v/>
      </c>
      <c r="L27" s="49">
        <f>IF(H_Aout[[#This Row],[PNP Début]]=0,0,IF(H_Aout[[#This Row],[PNP Début]]&lt;H_Aout[[#This Row],[début]],1,0)+H_Aout[[#This Row],[PNP Début]])</f>
        <v>0</v>
      </c>
      <c r="M27" s="50">
        <f>IF(H_Aout[[#This Row],[PNP Fin]]=0,0,IF(H_Aout[[#This Row],[PNP Fin]]&lt;H_Aout[[#This Row],[début]],1,0)+H_Aout[[#This Row],[PNP Fin]])</f>
        <v>0</v>
      </c>
      <c r="N27" s="50">
        <f>IF(H_Aout[[#This Row],[Fin]]&lt;H_Aout[[#This Row],[début]],1,0)+H_Aout[[#This Row],[Fin]]</f>
        <v>0</v>
      </c>
      <c r="O2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8" spans="1:26" x14ac:dyDescent="0.3">
      <c r="A28" s="4"/>
      <c r="B28" s="1"/>
      <c r="C28" s="2"/>
      <c r="D28" s="2"/>
      <c r="E28" s="3"/>
      <c r="F28" s="3"/>
      <c r="G28" s="3"/>
      <c r="H28" s="3"/>
      <c r="I28" s="47">
        <f>0.1*(H_Aout[[#This Row],[Heures de nuit]]+IF(H_Aout[[#This Row],[majoration dim &amp; JF]]="non",0,H_Aout[[#This Row],[heures jour dimanche]]+H_Aout[[#This Row],[heures jour fériés]]))</f>
        <v>0</v>
      </c>
      <c r="J28" s="48">
        <f>(MOD(H_Aout[[#This Row],[Fin]]-H_Aout[[#This Row],[début]],1)-MOD(H_Aout[[#This Row],[PNP Fin]]-H_Aout[[#This Row],[PNP Début]],1))*24</f>
        <v>0</v>
      </c>
      <c r="K28" s="109" t="str">
        <f>IFERROR(VLOOKUP(H_Aout[[#This Row],[Service]],Codes[],4,0),"")</f>
        <v/>
      </c>
      <c r="L28" s="49">
        <f>IF(H_Aout[[#This Row],[PNP Début]]=0,0,IF(H_Aout[[#This Row],[PNP Début]]&lt;H_Aout[[#This Row],[début]],1,0)+H_Aout[[#This Row],[PNP Début]])</f>
        <v>0</v>
      </c>
      <c r="M28" s="50">
        <f>IF(H_Aout[[#This Row],[PNP Fin]]=0,0,IF(H_Aout[[#This Row],[PNP Fin]]&lt;H_Aout[[#This Row],[début]],1,0)+H_Aout[[#This Row],[PNP Fin]])</f>
        <v>0</v>
      </c>
      <c r="N28" s="50">
        <f>IF(H_Aout[[#This Row],[Fin]]&lt;H_Aout[[#This Row],[début]],1,0)+H_Aout[[#This Row],[Fin]]</f>
        <v>0</v>
      </c>
      <c r="O2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9" spans="1:26" x14ac:dyDescent="0.3">
      <c r="A29" s="4"/>
      <c r="B29" s="1"/>
      <c r="C29" s="2"/>
      <c r="D29" s="2"/>
      <c r="E29" s="3"/>
      <c r="F29" s="3"/>
      <c r="G29" s="3"/>
      <c r="H29" s="3"/>
      <c r="I29" s="47">
        <f>0.1*(H_Aout[[#This Row],[Heures de nuit]]+IF(H_Aout[[#This Row],[majoration dim &amp; JF]]="non",0,H_Aout[[#This Row],[heures jour dimanche]]+H_Aout[[#This Row],[heures jour fériés]]))</f>
        <v>0</v>
      </c>
      <c r="J29" s="48">
        <f>(MOD(H_Aout[[#This Row],[Fin]]-H_Aout[[#This Row],[début]],1)-MOD(H_Aout[[#This Row],[PNP Fin]]-H_Aout[[#This Row],[PNP Début]],1))*24</f>
        <v>0</v>
      </c>
      <c r="K29" s="109" t="str">
        <f>IFERROR(VLOOKUP(H_Aout[[#This Row],[Service]],Codes[],4,0),"")</f>
        <v/>
      </c>
      <c r="L29" s="49">
        <f>IF(H_Aout[[#This Row],[PNP Début]]=0,0,IF(H_Aout[[#This Row],[PNP Début]]&lt;H_Aout[[#This Row],[début]],1,0)+H_Aout[[#This Row],[PNP Début]])</f>
        <v>0</v>
      </c>
      <c r="M29" s="50">
        <f>IF(H_Aout[[#This Row],[PNP Fin]]=0,0,IF(H_Aout[[#This Row],[PNP Fin]]&lt;H_Aout[[#This Row],[début]],1,0)+H_Aout[[#This Row],[PNP Fin]])</f>
        <v>0</v>
      </c>
      <c r="N29" s="50">
        <f>IF(H_Aout[[#This Row],[Fin]]&lt;H_Aout[[#This Row],[début]],1,0)+H_Aout[[#This Row],[Fin]]</f>
        <v>0</v>
      </c>
      <c r="O2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0" spans="1:26" x14ac:dyDescent="0.3">
      <c r="A30" s="4"/>
      <c r="B30" s="1"/>
      <c r="C30" s="2"/>
      <c r="D30" s="2"/>
      <c r="E30" s="3"/>
      <c r="F30" s="3"/>
      <c r="G30" s="3"/>
      <c r="H30" s="3"/>
      <c r="I30" s="47">
        <f>0.1*(H_Aout[[#This Row],[Heures de nuit]]+IF(H_Aout[[#This Row],[majoration dim &amp; JF]]="non",0,H_Aout[[#This Row],[heures jour dimanche]]+H_Aout[[#This Row],[heures jour fériés]]))</f>
        <v>0</v>
      </c>
      <c r="J30" s="48">
        <f>(MOD(H_Aout[[#This Row],[Fin]]-H_Aout[[#This Row],[début]],1)-MOD(H_Aout[[#This Row],[PNP Fin]]-H_Aout[[#This Row],[PNP Début]],1))*24</f>
        <v>0</v>
      </c>
      <c r="K30" s="109" t="str">
        <f>IFERROR(VLOOKUP(H_Aout[[#This Row],[Service]],Codes[],4,0),"")</f>
        <v/>
      </c>
      <c r="L30" s="49">
        <f>IF(H_Aout[[#This Row],[PNP Début]]=0,0,IF(H_Aout[[#This Row],[PNP Début]]&lt;H_Aout[[#This Row],[début]],1,0)+H_Aout[[#This Row],[PNP Début]])</f>
        <v>0</v>
      </c>
      <c r="M30" s="50">
        <f>IF(H_Aout[[#This Row],[PNP Fin]]=0,0,IF(H_Aout[[#This Row],[PNP Fin]]&lt;H_Aout[[#This Row],[début]],1,0)+H_Aout[[#This Row],[PNP Fin]])</f>
        <v>0</v>
      </c>
      <c r="N30" s="50">
        <f>IF(H_Aout[[#This Row],[Fin]]&lt;H_Aout[[#This Row],[début]],1,0)+H_Aout[[#This Row],[Fin]]</f>
        <v>0</v>
      </c>
      <c r="O3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0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1" spans="1:26" x14ac:dyDescent="0.3">
      <c r="A31" s="4"/>
      <c r="B31" s="1"/>
      <c r="C31" s="2"/>
      <c r="D31" s="2"/>
      <c r="E31" s="3"/>
      <c r="F31" s="3"/>
      <c r="G31" s="3"/>
      <c r="H31" s="3"/>
      <c r="I31" s="47">
        <f>0.1*(H_Aout[[#This Row],[Heures de nuit]]+IF(H_Aout[[#This Row],[majoration dim &amp; JF]]="non",0,H_Aout[[#This Row],[heures jour dimanche]]+H_Aout[[#This Row],[heures jour fériés]]))</f>
        <v>0</v>
      </c>
      <c r="J31" s="48">
        <f>(MOD(H_Aout[[#This Row],[Fin]]-H_Aout[[#This Row],[début]],1)-MOD(H_Aout[[#This Row],[PNP Fin]]-H_Aout[[#This Row],[PNP Début]],1))*24</f>
        <v>0</v>
      </c>
      <c r="K31" s="109" t="str">
        <f>IFERROR(VLOOKUP(H_Aout[[#This Row],[Service]],Codes[],4,0),"")</f>
        <v/>
      </c>
      <c r="L31" s="49">
        <f>IF(H_Aout[[#This Row],[PNP Début]]=0,0,IF(H_Aout[[#This Row],[PNP Début]]&lt;H_Aout[[#This Row],[début]],1,0)+H_Aout[[#This Row],[PNP Début]])</f>
        <v>0</v>
      </c>
      <c r="M31" s="50">
        <f>IF(H_Aout[[#This Row],[PNP Fin]]=0,0,IF(H_Aout[[#This Row],[PNP Fin]]&lt;H_Aout[[#This Row],[début]],1,0)+H_Aout[[#This Row],[PNP Fin]])</f>
        <v>0</v>
      </c>
      <c r="N31" s="50">
        <f>IF(H_Aout[[#This Row],[Fin]]&lt;H_Aout[[#This Row],[début]],1,0)+H_Aout[[#This Row],[Fin]]</f>
        <v>0</v>
      </c>
      <c r="O3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1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2" spans="1:26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0.1*(H_Aout[[#This Row],[Heures de nuit]]+IF(H_Aout[[#This Row],[majoration dim &amp; JF]]="non",0,H_Aout[[#This Row],[heures jour dimanche]]+H_Aout[[#This Row],[heures jour fériés]]))</f>
        <v>0</v>
      </c>
      <c r="J32" s="48">
        <f>(MOD(H_Aout[[#This Row],[Fin]]-H_Aout[[#This Row],[début]],1)-MOD(H_Aout[[#This Row],[PNP Fin]]-H_Aout[[#This Row],[PNP Début]],1))*24</f>
        <v>0</v>
      </c>
      <c r="K32" s="109" t="str">
        <f>IFERROR(VLOOKUP(H_Aout[[#This Row],[Service]],Codes[],4,0),"")</f>
        <v/>
      </c>
      <c r="L32" s="49">
        <f>IF(H_Aout[[#This Row],[PNP Début]]=0,0,IF(H_Aout[[#This Row],[PNP Début]]&lt;H_Aout[[#This Row],[début]],1,0)+H_Aout[[#This Row],[PNP Début]])</f>
        <v>0</v>
      </c>
      <c r="M32" s="50">
        <f>IF(H_Aout[[#This Row],[PNP Fin]]=0,0,IF(H_Aout[[#This Row],[PNP Fin]]&lt;H_Aout[[#This Row],[début]],1,0)+H_Aout[[#This Row],[PNP Fin]])</f>
        <v>0</v>
      </c>
      <c r="N32" s="50">
        <f>IF(H_Aout[[#This Row],[Fin]]&lt;H_Aout[[#This Row],[début]],1,0)+H_Aout[[#This Row],[Fin]]</f>
        <v>0</v>
      </c>
      <c r="O3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0.1*(H_Aout[[#This Row],[Heures de nuit]]+IF(H_Aout[[#This Row],[majoration dim &amp; JF]]="non",0,H_Aout[[#This Row],[heures jour dimanche]]+H_Aout[[#This Row],[heures jour fériés]]))</f>
        <v>0</v>
      </c>
      <c r="J33" s="48">
        <f>(MOD(H_Aout[[#This Row],[Fin]]-H_Aout[[#This Row],[début]],1)-MOD(H_Aout[[#This Row],[PNP Fin]]-H_Aout[[#This Row],[PNP Début]],1))*24</f>
        <v>0</v>
      </c>
      <c r="K33" s="109" t="str">
        <f>IFERROR(VLOOKUP(H_Aout[[#This Row],[Service]],Codes[],4,0),"")</f>
        <v/>
      </c>
      <c r="L33" s="49">
        <f>IF(H_Aout[[#This Row],[PNP Début]]=0,0,IF(H_Aout[[#This Row],[PNP Début]]&lt;H_Aout[[#This Row],[début]],1,0)+H_Aout[[#This Row],[PNP Début]])</f>
        <v>0</v>
      </c>
      <c r="M33" s="50">
        <f>IF(H_Aout[[#This Row],[PNP Fin]]=0,0,IF(H_Aout[[#This Row],[PNP Fin]]&lt;H_Aout[[#This Row],[début]],1,0)+H_Aout[[#This Row],[PNP Fin]])</f>
        <v>0</v>
      </c>
      <c r="N33" s="50">
        <f>IF(H_Aout[[#This Row],[Fin]]&lt;H_Aout[[#This Row],[début]],1,0)+H_Aout[[#This Row],[Fin]]</f>
        <v>0</v>
      </c>
      <c r="O3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0.1*(H_Aout[[#This Row],[Heures de nuit]]+IF(H_Aout[[#This Row],[majoration dim &amp; JF]]="non",0,H_Aout[[#This Row],[heures jour dimanche]]+H_Aout[[#This Row],[heures jour fériés]]))</f>
        <v>0</v>
      </c>
      <c r="J34" s="48">
        <f>(MOD(H_Aout[[#This Row],[Fin]]-H_Aout[[#This Row],[début]],1)-MOD(H_Aout[[#This Row],[PNP Fin]]-H_Aout[[#This Row],[PNP Début]],1))*24</f>
        <v>0</v>
      </c>
      <c r="K34" s="109" t="str">
        <f>IFERROR(VLOOKUP(H_Aout[[#This Row],[Service]],Codes[],4,0),"")</f>
        <v/>
      </c>
      <c r="L34" s="49">
        <f>IF(H_Aout[[#This Row],[PNP Début]]=0,0,IF(H_Aout[[#This Row],[PNP Début]]&lt;H_Aout[[#This Row],[début]],1,0)+H_Aout[[#This Row],[PNP Début]])</f>
        <v>0</v>
      </c>
      <c r="M34" s="50">
        <f>IF(H_Aout[[#This Row],[PNP Fin]]=0,0,IF(H_Aout[[#This Row],[PNP Fin]]&lt;H_Aout[[#This Row],[début]],1,0)+H_Aout[[#This Row],[PNP Fin]])</f>
        <v>0</v>
      </c>
      <c r="N34" s="50">
        <f>IF(H_Aout[[#This Row],[Fin]]&lt;H_Aout[[#This Row],[début]],1,0)+H_Aout[[#This Row],[Fin]]</f>
        <v>0</v>
      </c>
      <c r="O3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0.1*(H_Aout[[#This Row],[Heures de nuit]]+IF(H_Aout[[#This Row],[majoration dim &amp; JF]]="non",0,H_Aout[[#This Row],[heures jour dimanche]]+H_Aout[[#This Row],[heures jour fériés]]))</f>
        <v>0</v>
      </c>
      <c r="J35" s="48">
        <f>(MOD(H_Aout[[#This Row],[Fin]]-H_Aout[[#This Row],[début]],1)-MOD(H_Aout[[#This Row],[PNP Fin]]-H_Aout[[#This Row],[PNP Début]],1))*24</f>
        <v>0</v>
      </c>
      <c r="K35" s="109" t="str">
        <f>IFERROR(VLOOKUP(H_Aout[[#This Row],[Service]],Codes[],4,0),"")</f>
        <v/>
      </c>
      <c r="L35" s="49">
        <f>IF(H_Aout[[#This Row],[PNP Début]]=0,0,IF(H_Aout[[#This Row],[PNP Début]]&lt;H_Aout[[#This Row],[début]],1,0)+H_Aout[[#This Row],[PNP Début]])</f>
        <v>0</v>
      </c>
      <c r="M35" s="50">
        <f>IF(H_Aout[[#This Row],[PNP Fin]]=0,0,IF(H_Aout[[#This Row],[PNP Fin]]&lt;H_Aout[[#This Row],[début]],1,0)+H_Aout[[#This Row],[PNP Fin]])</f>
        <v>0</v>
      </c>
      <c r="N35" s="50">
        <f>IF(H_Aout[[#This Row],[Fin]]&lt;H_Aout[[#This Row],[début]],1,0)+H_Aout[[#This Row],[Fin]]</f>
        <v>0</v>
      </c>
      <c r="O3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0.1*(H_Aout[[#This Row],[Heures de nuit]]+IF(H_Aout[[#This Row],[majoration dim &amp; JF]]="non",0,H_Aout[[#This Row],[heures jour dimanche]]+H_Aout[[#This Row],[heures jour fériés]]))</f>
        <v>0</v>
      </c>
      <c r="J36" s="48">
        <f>(MOD(H_Aout[[#This Row],[Fin]]-H_Aout[[#This Row],[début]],1)-MOD(H_Aout[[#This Row],[PNP Fin]]-H_Aout[[#This Row],[PNP Début]],1))*24</f>
        <v>0</v>
      </c>
      <c r="K36" s="109" t="str">
        <f>IFERROR(VLOOKUP(H_Aout[[#This Row],[Service]],Codes[],4,0),"")</f>
        <v/>
      </c>
      <c r="L36" s="49">
        <f>IF(H_Aout[[#This Row],[PNP Début]]=0,0,IF(H_Aout[[#This Row],[PNP Début]]&lt;H_Aout[[#This Row],[début]],1,0)+H_Aout[[#This Row],[PNP Début]])</f>
        <v>0</v>
      </c>
      <c r="M36" s="50">
        <f>IF(H_Aout[[#This Row],[PNP Fin]]=0,0,IF(H_Aout[[#This Row],[PNP Fin]]&lt;H_Aout[[#This Row],[début]],1,0)+H_Aout[[#This Row],[PNP Fin]])</f>
        <v>0</v>
      </c>
      <c r="N36" s="50">
        <f>IF(H_Aout[[#This Row],[Fin]]&lt;H_Aout[[#This Row],[début]],1,0)+H_Aout[[#This Row],[Fin]]</f>
        <v>0</v>
      </c>
      <c r="O3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0.1*(H_Aout[[#This Row],[Heures de nuit]]+IF(H_Aout[[#This Row],[majoration dim &amp; JF]]="non",0,H_Aout[[#This Row],[heures jour dimanche]]+H_Aout[[#This Row],[heures jour fériés]]))</f>
        <v>0</v>
      </c>
      <c r="J37" s="48">
        <f>(MOD(H_Aout[[#This Row],[Fin]]-H_Aout[[#This Row],[début]],1)-MOD(H_Aout[[#This Row],[PNP Fin]]-H_Aout[[#This Row],[PNP Début]],1))*24</f>
        <v>0</v>
      </c>
      <c r="K37" s="109" t="str">
        <f>IFERROR(VLOOKUP(H_Aout[[#This Row],[Service]],Codes[],4,0),"")</f>
        <v/>
      </c>
      <c r="L37" s="49">
        <f>IF(H_Aout[[#This Row],[PNP Début]]=0,0,IF(H_Aout[[#This Row],[PNP Début]]&lt;H_Aout[[#This Row],[début]],1,0)+H_Aout[[#This Row],[PNP Début]])</f>
        <v>0</v>
      </c>
      <c r="M37" s="50">
        <f>IF(H_Aout[[#This Row],[PNP Fin]]=0,0,IF(H_Aout[[#This Row],[PNP Fin]]&lt;H_Aout[[#This Row],[début]],1,0)+H_Aout[[#This Row],[PNP Fin]])</f>
        <v>0</v>
      </c>
      <c r="N37" s="50">
        <f>IF(H_Aout[[#This Row],[Fin]]&lt;H_Aout[[#This Row],[début]],1,0)+H_Aout[[#This Row],[Fin]]</f>
        <v>0</v>
      </c>
      <c r="O3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0.1*(H_Aout[[#This Row],[Heures de nuit]]+IF(H_Aout[[#This Row],[majoration dim &amp; JF]]="non",0,H_Aout[[#This Row],[heures jour dimanche]]+H_Aout[[#This Row],[heures jour fériés]]))</f>
        <v>0</v>
      </c>
      <c r="J38" s="48">
        <f>(MOD(H_Aout[[#This Row],[Fin]]-H_Aout[[#This Row],[début]],1)-MOD(H_Aout[[#This Row],[PNP Fin]]-H_Aout[[#This Row],[PNP Début]],1))*24</f>
        <v>0</v>
      </c>
      <c r="K38" s="109" t="str">
        <f>IFERROR(VLOOKUP(H_Aout[[#This Row],[Service]],Codes[],4,0),"")</f>
        <v/>
      </c>
      <c r="L38" s="49">
        <f>IF(H_Aout[[#This Row],[PNP Début]]=0,0,IF(H_Aout[[#This Row],[PNP Début]]&lt;H_Aout[[#This Row],[début]],1,0)+H_Aout[[#This Row],[PNP Début]])</f>
        <v>0</v>
      </c>
      <c r="M38" s="50">
        <f>IF(H_Aout[[#This Row],[PNP Fin]]=0,0,IF(H_Aout[[#This Row],[PNP Fin]]&lt;H_Aout[[#This Row],[début]],1,0)+H_Aout[[#This Row],[PNP Fin]])</f>
        <v>0</v>
      </c>
      <c r="N38" s="50">
        <f>IF(H_Aout[[#This Row],[Fin]]&lt;H_Aout[[#This Row],[début]],1,0)+H_Aout[[#This Row],[Fin]]</f>
        <v>0</v>
      </c>
      <c r="O3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0.1*(H_Aout[[#This Row],[Heures de nuit]]+IF(H_Aout[[#This Row],[majoration dim &amp; JF]]="non",0,H_Aout[[#This Row],[heures jour dimanche]]+H_Aout[[#This Row],[heures jour fériés]]))</f>
        <v>0</v>
      </c>
      <c r="J39" s="48">
        <f>(MOD(H_Aout[[#This Row],[Fin]]-H_Aout[[#This Row],[début]],1)-MOD(H_Aout[[#This Row],[PNP Fin]]-H_Aout[[#This Row],[PNP Début]],1))*24</f>
        <v>0</v>
      </c>
      <c r="K39" s="109" t="str">
        <f>IFERROR(VLOOKUP(H_Aout[[#This Row],[Service]],Codes[],4,0),"")</f>
        <v/>
      </c>
      <c r="L39" s="49">
        <f>IF(H_Aout[[#This Row],[PNP Début]]=0,0,IF(H_Aout[[#This Row],[PNP Début]]&lt;H_Aout[[#This Row],[début]],1,0)+H_Aout[[#This Row],[PNP Début]])</f>
        <v>0</v>
      </c>
      <c r="M39" s="50">
        <f>IF(H_Aout[[#This Row],[PNP Fin]]=0,0,IF(H_Aout[[#This Row],[PNP Fin]]&lt;H_Aout[[#This Row],[début]],1,0)+H_Aout[[#This Row],[PNP Fin]])</f>
        <v>0</v>
      </c>
      <c r="N39" s="50">
        <f>IF(H_Aout[[#This Row],[Fin]]&lt;H_Aout[[#This Row],[début]],1,0)+H_Aout[[#This Row],[Fin]]</f>
        <v>0</v>
      </c>
      <c r="O3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0.1*(H_Aout[[#This Row],[Heures de nuit]]+IF(H_Aout[[#This Row],[majoration dim &amp; JF]]="non",0,H_Aout[[#This Row],[heures jour dimanche]]+H_Aout[[#This Row],[heures jour fériés]]))</f>
        <v>0</v>
      </c>
      <c r="J40" s="48">
        <f>(MOD(H_Aout[[#This Row],[Fin]]-H_Aout[[#This Row],[début]],1)-MOD(H_Aout[[#This Row],[PNP Fin]]-H_Aout[[#This Row],[PNP Début]],1))*24</f>
        <v>0</v>
      </c>
      <c r="K40" s="109" t="str">
        <f>IFERROR(VLOOKUP(H_Aout[[#This Row],[Service]],Codes[],4,0),"")</f>
        <v/>
      </c>
      <c r="L40" s="49">
        <f>IF(H_Aout[[#This Row],[PNP Début]]=0,0,IF(H_Aout[[#This Row],[PNP Début]]&lt;H_Aout[[#This Row],[début]],1,0)+H_Aout[[#This Row],[PNP Début]])</f>
        <v>0</v>
      </c>
      <c r="M40" s="50">
        <f>IF(H_Aout[[#This Row],[PNP Fin]]=0,0,IF(H_Aout[[#This Row],[PNP Fin]]&lt;H_Aout[[#This Row],[début]],1,0)+H_Aout[[#This Row],[PNP Fin]])</f>
        <v>0</v>
      </c>
      <c r="N40" s="50">
        <f>IF(H_Aout[[#This Row],[Fin]]&lt;H_Aout[[#This Row],[début]],1,0)+H_Aout[[#This Row],[Fin]]</f>
        <v>0</v>
      </c>
      <c r="O4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0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0.1*(H_Aout[[#This Row],[Heures de nuit]]+IF(H_Aout[[#This Row],[majoration dim &amp; JF]]="non",0,H_Aout[[#This Row],[heures jour dimanche]]+H_Aout[[#This Row],[heures jour fériés]]))</f>
        <v>0</v>
      </c>
      <c r="J41" s="48">
        <f>(MOD(H_Aout[[#This Row],[Fin]]-H_Aout[[#This Row],[début]],1)-MOD(H_Aout[[#This Row],[PNP Fin]]-H_Aout[[#This Row],[PNP Début]],1))*24</f>
        <v>0</v>
      </c>
      <c r="K41" s="109" t="str">
        <f>IFERROR(VLOOKUP(H_Aout[[#This Row],[Service]],Codes[],4,0),"")</f>
        <v/>
      </c>
      <c r="L41" s="49">
        <f>IF(H_Aout[[#This Row],[PNP Début]]=0,0,IF(H_Aout[[#This Row],[PNP Début]]&lt;H_Aout[[#This Row],[début]],1,0)+H_Aout[[#This Row],[PNP Début]])</f>
        <v>0</v>
      </c>
      <c r="M41" s="50">
        <f>IF(H_Aout[[#This Row],[PNP Fin]]=0,0,IF(H_Aout[[#This Row],[PNP Fin]]&lt;H_Aout[[#This Row],[début]],1,0)+H_Aout[[#This Row],[PNP Fin]])</f>
        <v>0</v>
      </c>
      <c r="N41" s="50">
        <f>IF(H_Aout[[#This Row],[Fin]]&lt;H_Aout[[#This Row],[début]],1,0)+H_Aout[[#This Row],[Fin]]</f>
        <v>0</v>
      </c>
      <c r="O4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1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0.1*(H_Aout[[#This Row],[Heures de nuit]]+IF(H_Aout[[#This Row],[majoration dim &amp; JF]]="non",0,H_Aout[[#This Row],[heures jour dimanche]]+H_Aout[[#This Row],[heures jour fériés]]))</f>
        <v>0</v>
      </c>
      <c r="J42" s="48">
        <f>(MOD(H_Aout[[#This Row],[Fin]]-H_Aout[[#This Row],[début]],1)-MOD(H_Aout[[#This Row],[PNP Fin]]-H_Aout[[#This Row],[PNP Début]],1))*24</f>
        <v>0</v>
      </c>
      <c r="K42" s="109" t="str">
        <f>IFERROR(VLOOKUP(H_Aout[[#This Row],[Service]],Codes[],4,0),"")</f>
        <v/>
      </c>
      <c r="L42" s="49">
        <f>IF(H_Aout[[#This Row],[PNP Début]]=0,0,IF(H_Aout[[#This Row],[PNP Début]]&lt;H_Aout[[#This Row],[début]],1,0)+H_Aout[[#This Row],[PNP Début]])</f>
        <v>0</v>
      </c>
      <c r="M42" s="50">
        <f>IF(H_Aout[[#This Row],[PNP Fin]]=0,0,IF(H_Aout[[#This Row],[PNP Fin]]&lt;H_Aout[[#This Row],[début]],1,0)+H_Aout[[#This Row],[PNP Fin]])</f>
        <v>0</v>
      </c>
      <c r="N42" s="50">
        <f>IF(H_Aout[[#This Row],[Fin]]&lt;H_Aout[[#This Row],[début]],1,0)+H_Aout[[#This Row],[Fin]]</f>
        <v>0</v>
      </c>
      <c r="O4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0.1*(H_Aout[[#This Row],[Heures de nuit]]+IF(H_Aout[[#This Row],[majoration dim &amp; JF]]="non",0,H_Aout[[#This Row],[heures jour dimanche]]+H_Aout[[#This Row],[heures jour fériés]]))</f>
        <v>0</v>
      </c>
      <c r="J43" s="48">
        <f>(MOD(H_Aout[[#This Row],[Fin]]-H_Aout[[#This Row],[début]],1)-MOD(H_Aout[[#This Row],[PNP Fin]]-H_Aout[[#This Row],[PNP Début]],1))*24</f>
        <v>0</v>
      </c>
      <c r="K43" s="109" t="str">
        <f>IFERROR(VLOOKUP(H_Aout[[#This Row],[Service]],Codes[],4,0),"")</f>
        <v/>
      </c>
      <c r="L43" s="49">
        <f>IF(H_Aout[[#This Row],[PNP Début]]=0,0,IF(H_Aout[[#This Row],[PNP Début]]&lt;H_Aout[[#This Row],[début]],1,0)+H_Aout[[#This Row],[PNP Début]])</f>
        <v>0</v>
      </c>
      <c r="M43" s="50">
        <f>IF(H_Aout[[#This Row],[PNP Fin]]=0,0,IF(H_Aout[[#This Row],[PNP Fin]]&lt;H_Aout[[#This Row],[début]],1,0)+H_Aout[[#This Row],[PNP Fin]])</f>
        <v>0</v>
      </c>
      <c r="N43" s="50">
        <f>IF(H_Aout[[#This Row],[Fin]]&lt;H_Aout[[#This Row],[début]],1,0)+H_Aout[[#This Row],[Fin]]</f>
        <v>0</v>
      </c>
      <c r="O4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0.1*(H_Aout[[#This Row],[Heures de nuit]]+IF(H_Aout[[#This Row],[majoration dim &amp; JF]]="non",0,H_Aout[[#This Row],[heures jour dimanche]]+H_Aout[[#This Row],[heures jour fériés]]))</f>
        <v>0</v>
      </c>
      <c r="J44" s="48">
        <f>(MOD(H_Aout[[#This Row],[Fin]]-H_Aout[[#This Row],[début]],1)-MOD(H_Aout[[#This Row],[PNP Fin]]-H_Aout[[#This Row],[PNP Début]],1))*24</f>
        <v>0</v>
      </c>
      <c r="K44" s="109" t="str">
        <f>IFERROR(VLOOKUP(H_Aout[[#This Row],[Service]],Codes[],4,0),"")</f>
        <v/>
      </c>
      <c r="L44" s="49">
        <f>IF(H_Aout[[#This Row],[PNP Début]]=0,0,IF(H_Aout[[#This Row],[PNP Début]]&lt;H_Aout[[#This Row],[début]],1,0)+H_Aout[[#This Row],[PNP Début]])</f>
        <v>0</v>
      </c>
      <c r="M44" s="50">
        <f>IF(H_Aout[[#This Row],[PNP Fin]]=0,0,IF(H_Aout[[#This Row],[PNP Fin]]&lt;H_Aout[[#This Row],[début]],1,0)+H_Aout[[#This Row],[PNP Fin]])</f>
        <v>0</v>
      </c>
      <c r="N44" s="50">
        <f>IF(H_Aout[[#This Row],[Fin]]&lt;H_Aout[[#This Row],[début]],1,0)+H_Aout[[#This Row],[Fin]]</f>
        <v>0</v>
      </c>
      <c r="O4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0.1*(H_Aout[[#This Row],[Heures de nuit]]+IF(H_Aout[[#This Row],[majoration dim &amp; JF]]="non",0,H_Aout[[#This Row],[heures jour dimanche]]+H_Aout[[#This Row],[heures jour fériés]]))</f>
        <v>0</v>
      </c>
      <c r="J45" s="48">
        <f>(MOD(H_Aout[[#This Row],[Fin]]-H_Aout[[#This Row],[début]],1)-MOD(H_Aout[[#This Row],[PNP Fin]]-H_Aout[[#This Row],[PNP Début]],1))*24</f>
        <v>0</v>
      </c>
      <c r="K45" s="109" t="str">
        <f>IFERROR(VLOOKUP(H_Aout[[#This Row],[Service]],Codes[],4,0),"")</f>
        <v/>
      </c>
      <c r="L45" s="49">
        <f>IF(H_Aout[[#This Row],[PNP Début]]=0,0,IF(H_Aout[[#This Row],[PNP Début]]&lt;H_Aout[[#This Row],[début]],1,0)+H_Aout[[#This Row],[PNP Début]])</f>
        <v>0</v>
      </c>
      <c r="M45" s="50">
        <f>IF(H_Aout[[#This Row],[PNP Fin]]=0,0,IF(H_Aout[[#This Row],[PNP Fin]]&lt;H_Aout[[#This Row],[début]],1,0)+H_Aout[[#This Row],[PNP Fin]])</f>
        <v>0</v>
      </c>
      <c r="N45" s="50">
        <f>IF(H_Aout[[#This Row],[Fin]]&lt;H_Aout[[#This Row],[début]],1,0)+H_Aout[[#This Row],[Fin]]</f>
        <v>0</v>
      </c>
      <c r="O4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0.1*(H_Aout[[#This Row],[Heures de nuit]]+IF(H_Aout[[#This Row],[majoration dim &amp; JF]]="non",0,H_Aout[[#This Row],[heures jour dimanche]]+H_Aout[[#This Row],[heures jour fériés]]))</f>
        <v>0</v>
      </c>
      <c r="J46" s="48">
        <f>(MOD(H_Aout[[#This Row],[Fin]]-H_Aout[[#This Row],[début]],1)-MOD(H_Aout[[#This Row],[PNP Fin]]-H_Aout[[#This Row],[PNP Début]],1))*24</f>
        <v>0</v>
      </c>
      <c r="K46" s="109" t="str">
        <f>IFERROR(VLOOKUP(H_Aout[[#This Row],[Service]],Codes[],4,0),"")</f>
        <v/>
      </c>
      <c r="L46" s="49">
        <f>IF(H_Aout[[#This Row],[PNP Début]]=0,0,IF(H_Aout[[#This Row],[PNP Début]]&lt;H_Aout[[#This Row],[début]],1,0)+H_Aout[[#This Row],[PNP Début]])</f>
        <v>0</v>
      </c>
      <c r="M46" s="50">
        <f>IF(H_Aout[[#This Row],[PNP Fin]]=0,0,IF(H_Aout[[#This Row],[PNP Fin]]&lt;H_Aout[[#This Row],[début]],1,0)+H_Aout[[#This Row],[PNP Fin]])</f>
        <v>0</v>
      </c>
      <c r="N46" s="50">
        <f>IF(H_Aout[[#This Row],[Fin]]&lt;H_Aout[[#This Row],[début]],1,0)+H_Aout[[#This Row],[Fin]]</f>
        <v>0</v>
      </c>
      <c r="O4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0.1*(H_Aout[[#This Row],[Heures de nuit]]+IF(H_Aout[[#This Row],[majoration dim &amp; JF]]="non",0,H_Aout[[#This Row],[heures jour dimanche]]+H_Aout[[#This Row],[heures jour fériés]]))</f>
        <v>0</v>
      </c>
      <c r="J47" s="48">
        <f>(MOD(H_Aout[[#This Row],[Fin]]-H_Aout[[#This Row],[début]],1)-MOD(H_Aout[[#This Row],[PNP Fin]]-H_Aout[[#This Row],[PNP Début]],1))*24</f>
        <v>0</v>
      </c>
      <c r="K47" s="109" t="str">
        <f>IFERROR(VLOOKUP(H_Aout[[#This Row],[Service]],Codes[],4,0),"")</f>
        <v/>
      </c>
      <c r="L47" s="49">
        <f>IF(H_Aout[[#This Row],[PNP Début]]=0,0,IF(H_Aout[[#This Row],[PNP Début]]&lt;H_Aout[[#This Row],[début]],1,0)+H_Aout[[#This Row],[PNP Début]])</f>
        <v>0</v>
      </c>
      <c r="M47" s="50">
        <f>IF(H_Aout[[#This Row],[PNP Fin]]=0,0,IF(H_Aout[[#This Row],[PNP Fin]]&lt;H_Aout[[#This Row],[début]],1,0)+H_Aout[[#This Row],[PNP Fin]])</f>
        <v>0</v>
      </c>
      <c r="N47" s="50">
        <f>IF(H_Aout[[#This Row],[Fin]]&lt;H_Aout[[#This Row],[début]],1,0)+H_Aout[[#This Row],[Fin]]</f>
        <v>0</v>
      </c>
      <c r="O4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0.1*(H_Aout[[#This Row],[Heures de nuit]]+IF(H_Aout[[#This Row],[majoration dim &amp; JF]]="non",0,H_Aout[[#This Row],[heures jour dimanche]]+H_Aout[[#This Row],[heures jour fériés]]))</f>
        <v>0</v>
      </c>
      <c r="J48" s="48">
        <f>(MOD(H_Aout[[#This Row],[Fin]]-H_Aout[[#This Row],[début]],1)-MOD(H_Aout[[#This Row],[PNP Fin]]-H_Aout[[#This Row],[PNP Début]],1))*24</f>
        <v>0</v>
      </c>
      <c r="K48" s="109" t="str">
        <f>IFERROR(VLOOKUP(H_Aout[[#This Row],[Service]],Codes[],4,0),"")</f>
        <v/>
      </c>
      <c r="L48" s="49">
        <f>IF(H_Aout[[#This Row],[PNP Début]]=0,0,IF(H_Aout[[#This Row],[PNP Début]]&lt;H_Aout[[#This Row],[début]],1,0)+H_Aout[[#This Row],[PNP Début]])</f>
        <v>0</v>
      </c>
      <c r="M48" s="50">
        <f>IF(H_Aout[[#This Row],[PNP Fin]]=0,0,IF(H_Aout[[#This Row],[PNP Fin]]&lt;H_Aout[[#This Row],[début]],1,0)+H_Aout[[#This Row],[PNP Fin]])</f>
        <v>0</v>
      </c>
      <c r="N48" s="50">
        <f>IF(H_Aout[[#This Row],[Fin]]&lt;H_Aout[[#This Row],[début]],1,0)+H_Aout[[#This Row],[Fin]]</f>
        <v>0</v>
      </c>
      <c r="O4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0.1*(H_Aout[[#This Row],[Heures de nuit]]+IF(H_Aout[[#This Row],[majoration dim &amp; JF]]="non",0,H_Aout[[#This Row],[heures jour dimanche]]+H_Aout[[#This Row],[heures jour fériés]]))</f>
        <v>0</v>
      </c>
      <c r="J49" s="48">
        <f>(MOD(H_Aout[[#This Row],[Fin]]-H_Aout[[#This Row],[début]],1)-MOD(H_Aout[[#This Row],[PNP Fin]]-H_Aout[[#This Row],[PNP Début]],1))*24</f>
        <v>0</v>
      </c>
      <c r="K49" s="109" t="str">
        <f>IFERROR(VLOOKUP(H_Aout[[#This Row],[Service]],Codes[],4,0),"")</f>
        <v/>
      </c>
      <c r="L49" s="49">
        <f>IF(H_Aout[[#This Row],[PNP Début]]=0,0,IF(H_Aout[[#This Row],[PNP Début]]&lt;H_Aout[[#This Row],[début]],1,0)+H_Aout[[#This Row],[PNP Début]])</f>
        <v>0</v>
      </c>
      <c r="M49" s="50">
        <f>IF(H_Aout[[#This Row],[PNP Fin]]=0,0,IF(H_Aout[[#This Row],[PNP Fin]]&lt;H_Aout[[#This Row],[début]],1,0)+H_Aout[[#This Row],[PNP Fin]])</f>
        <v>0</v>
      </c>
      <c r="N49" s="50">
        <f>IF(H_Aout[[#This Row],[Fin]]&lt;H_Aout[[#This Row],[début]],1,0)+H_Aout[[#This Row],[Fin]]</f>
        <v>0</v>
      </c>
      <c r="O4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SUM(H_Aout[Majoration])</f>
        <v>0</v>
      </c>
      <c r="J50" s="54">
        <f>SUM(H_Aout[Heures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36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print="0" autoLine="0" r:id="rId5">
            <anchor moveWithCells="1">
              <from>
                <xdr:col>9</xdr:col>
                <xdr:colOff>449580</xdr:colOff>
                <xdr:row>0</xdr:row>
                <xdr:rowOff>83820</xdr:rowOff>
              </from>
              <to>
                <xdr:col>9</xdr:col>
                <xdr:colOff>1234440</xdr:colOff>
                <xdr:row>3</xdr:row>
                <xdr:rowOff>198120</xdr:rowOff>
              </to>
            </anchor>
          </controlPr>
        </control>
      </mc:Choice>
      <mc:Fallback>
        <control shapeId="1126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Z60"/>
  <sheetViews>
    <sheetView topLeftCell="A5" zoomScale="80" zoomScaleNormal="80" zoomScalePageLayoutView="40" workbookViewId="0">
      <selection activeCell="V19" activeCellId="2" sqref="V9:W10 V15:Z16 V19:W19"/>
    </sheetView>
  </sheetViews>
  <sheetFormatPr baseColWidth="10" defaultRowHeight="14.4" x14ac:dyDescent="0.3"/>
  <cols>
    <col min="1" max="1" width="20.4414062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2.10937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102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Septembre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14"/>
      <c r="Y9" s="116"/>
      <c r="Z9" s="114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14"/>
      <c r="Y10" s="114"/>
      <c r="Z10" s="114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14"/>
      <c r="X11" s="114"/>
      <c r="Y11" s="114"/>
      <c r="Z11" s="114"/>
    </row>
    <row r="12" spans="1:26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15"/>
      <c r="X12" s="115"/>
      <c r="Y12" s="115"/>
      <c r="Z12" s="115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0.1*(H_Sept[[#This Row],[Heures de nuit]]+IF(H_Sept[[#This Row],[majoration dim &amp; JF]]="non",0,H_Sept[[#This Row],[heures jour dimanche]]+H_Sept[[#This Row],[heures jour fériés]]))</f>
        <v>0</v>
      </c>
      <c r="J13" s="29">
        <f>(MOD(H_Sept[[#This Row],[Fin]]-H_Sept[[#This Row],[début]],1)-MOD(H_Sept[[#This Row],[PNP Fin]]-H_Sept[[#This Row],[PNP Début]],1))*24</f>
        <v>0</v>
      </c>
      <c r="K13" s="29" t="str">
        <f>IFERROR(VLOOKUP(H_Sept[[#This Row],[Service]],Codes[],4,0),"")</f>
        <v/>
      </c>
      <c r="L13" s="30">
        <f>IF(H_Sept[[#This Row],[PNP Début]]=0,0,IF(H_Sept[[#This Row],[PNP Début]]&lt;H_Sept[[#This Row],[début]],1,0)+H_Sept[[#This Row],[PNP Début]])</f>
        <v>0</v>
      </c>
      <c r="M13" s="30">
        <f>IF(H_Sept[[#This Row],[PNP Fin]]=0,0,IF(H_Sept[[#This Row],[PNP Fin]]&lt;H_Sept[[#This Row],[début]],1,0)+H_Sept[[#This Row],[PNP Fin]])</f>
        <v>0</v>
      </c>
      <c r="N13" s="30">
        <f>IF(H_Sept[[#This Row],[Fin]]&lt;H_Sept[[#This Row],[début]],1,0)+H_Sept[[#This Row],[Fin]]</f>
        <v>0</v>
      </c>
      <c r="O1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3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3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3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3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3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13" s="166"/>
      <c r="W13" s="114"/>
      <c r="X13" s="114"/>
      <c r="Y13" s="114"/>
      <c r="Z13" s="114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0.1*(H_Sept[[#This Row],[Heures de nuit]]+IF(H_Sept[[#This Row],[majoration dim &amp; JF]]="non",0,H_Sept[[#This Row],[heures jour dimanche]]+H_Sept[[#This Row],[heures jour fériés]]))</f>
        <v>0</v>
      </c>
      <c r="J14" s="29">
        <f>(MOD(H_Sept[[#This Row],[Fin]]-H_Sept[[#This Row],[début]],1)-MOD(H_Sept[[#This Row],[PNP Fin]]-H_Sept[[#This Row],[PNP Début]],1))*24</f>
        <v>0</v>
      </c>
      <c r="K14" s="29" t="str">
        <f>IFERROR(VLOOKUP(H_Sept[[#This Row],[Service]],Codes[],4,0),"")</f>
        <v/>
      </c>
      <c r="L14" s="30">
        <f>IF(H_Sept[[#This Row],[PNP Début]]=0,0,IF(H_Sept[[#This Row],[PNP Début]]&lt;H_Sept[[#This Row],[début]],1,0)+H_Sept[[#This Row],[PNP Début]])</f>
        <v>0</v>
      </c>
      <c r="M14" s="30">
        <f>IF(H_Sept[[#This Row],[PNP Fin]]=0,0,IF(H_Sept[[#This Row],[PNP Fin]]&lt;H_Sept[[#This Row],[début]],1,0)+H_Sept[[#This Row],[PNP Fin]])</f>
        <v>0</v>
      </c>
      <c r="N14" s="30">
        <f>IF(H_Sept[[#This Row],[Fin]]&lt;H_Sept[[#This Row],[début]],1,0)+H_Sept[[#This Row],[Fin]]</f>
        <v>0</v>
      </c>
      <c r="O1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4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4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4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4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4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14" s="166"/>
      <c r="W14" s="114"/>
      <c r="X14" s="114"/>
      <c r="Y14" s="114"/>
      <c r="Z14" s="114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0.1*(H_Sept[[#This Row],[Heures de nuit]]+IF(H_Sept[[#This Row],[majoration dim &amp; JF]]="non",0,H_Sept[[#This Row],[heures jour dimanche]]+H_Sept[[#This Row],[heures jour fériés]]))</f>
        <v>0</v>
      </c>
      <c r="J15" s="29">
        <f>(MOD(H_Sept[[#This Row],[Fin]]-H_Sept[[#This Row],[début]],1)-MOD(H_Sept[[#This Row],[PNP Fin]]-H_Sept[[#This Row],[PNP Début]],1))*24</f>
        <v>0</v>
      </c>
      <c r="K15" s="29" t="str">
        <f>IFERROR(VLOOKUP(H_Sept[[#This Row],[Service]],Codes[],4,0),"")</f>
        <v/>
      </c>
      <c r="L15" s="30">
        <f>IF(H_Sept[[#This Row],[PNP Début]]=0,0,IF(H_Sept[[#This Row],[PNP Début]]&lt;H_Sept[[#This Row],[début]],1,0)+H_Sept[[#This Row],[PNP Début]])</f>
        <v>0</v>
      </c>
      <c r="M15" s="30">
        <f>IF(H_Sept[[#This Row],[PNP Fin]]=0,0,IF(H_Sept[[#This Row],[PNP Fin]]&lt;H_Sept[[#This Row],[début]],1,0)+H_Sept[[#This Row],[PNP Fin]])</f>
        <v>0</v>
      </c>
      <c r="N15" s="30">
        <f>IF(H_Sept[[#This Row],[Fin]]&lt;H_Sept[[#This Row],[début]],1,0)+H_Sept[[#This Row],[Fin]]</f>
        <v>0</v>
      </c>
      <c r="O1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5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5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5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5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5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0.1*(H_Sept[[#This Row],[Heures de nuit]]+IF(H_Sept[[#This Row],[majoration dim &amp; JF]]="non",0,H_Sept[[#This Row],[heures jour dimanche]]+H_Sept[[#This Row],[heures jour fériés]]))</f>
        <v>0</v>
      </c>
      <c r="J16" s="33">
        <f>(MOD(H_Sept[[#This Row],[Fin]]-H_Sept[[#This Row],[début]],1)-MOD(H_Sept[[#This Row],[PNP Fin]]-H_Sept[[#This Row],[PNP Début]],1))*24</f>
        <v>0</v>
      </c>
      <c r="K16" s="33" t="str">
        <f>IFERROR(VLOOKUP(H_Sept[[#This Row],[Service]],Codes[],4,0),"")</f>
        <v/>
      </c>
      <c r="L16" s="30">
        <f>IF(H_Sept[[#This Row],[PNP Début]]=0,0,IF(H_Sept[[#This Row],[PNP Début]]&lt;H_Sept[[#This Row],[début]],1,0)+H_Sept[[#This Row],[PNP Début]])</f>
        <v>0</v>
      </c>
      <c r="M16" s="30">
        <f>IF(H_Sept[[#This Row],[PNP Fin]]=0,0,IF(H_Sept[[#This Row],[PNP Fin]]&lt;H_Sept[[#This Row],[début]],1,0)+H_Sept[[#This Row],[PNP Fin]])</f>
        <v>0</v>
      </c>
      <c r="N16" s="34">
        <f>IF(H_Sept[[#This Row],[Fin]]&lt;H_Sept[[#This Row],[début]],1,0)+H_Sept[[#This Row],[Fin]]</f>
        <v>0</v>
      </c>
      <c r="O1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6" s="35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6" s="35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6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6" s="3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6" s="3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16" s="176" t="s">
        <v>128</v>
      </c>
      <c r="W16" s="177">
        <f>'Août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3" x14ac:dyDescent="0.3">
      <c r="A17" s="4"/>
      <c r="B17" s="1"/>
      <c r="C17" s="2"/>
      <c r="D17" s="2"/>
      <c r="E17" s="3"/>
      <c r="F17" s="3"/>
      <c r="G17" s="9"/>
      <c r="H17" s="9"/>
      <c r="I17" s="37">
        <f>0.1*(H_Sept[[#This Row],[Heures de nuit]]+IF(H_Sept[[#This Row],[majoration dim &amp; JF]]="non",0,H_Sept[[#This Row],[heures jour dimanche]]+H_Sept[[#This Row],[heures jour fériés]]))</f>
        <v>0</v>
      </c>
      <c r="J17" s="38">
        <f>(MOD(H_Sept[[#This Row],[Fin]]-H_Sept[[#This Row],[début]],1)-MOD(H_Sept[[#This Row],[PNP Fin]]-H_Sept[[#This Row],[PNP Début]],1))*24</f>
        <v>0</v>
      </c>
      <c r="K17" s="112" t="str">
        <f>IFERROR(VLOOKUP(H_Sept[[#This Row],[Service]],Codes[],4,0),"")</f>
        <v/>
      </c>
      <c r="L17" s="39">
        <f>IF(H_Sept[[#This Row],[PNP Début]]=0,0,IF(H_Sept[[#This Row],[PNP Début]]&lt;H_Sept[[#This Row],[début]],1,0)+H_Sept[[#This Row],[PNP Début]])</f>
        <v>0</v>
      </c>
      <c r="M17" s="40">
        <f>IF(H_Sept[[#This Row],[PNP Fin]]=0,0,IF(H_Sept[[#This Row],[PNP Fin]]&lt;H_Sept[[#This Row],[début]],1,0)+H_Sept[[#This Row],[PNP Fin]])</f>
        <v>0</v>
      </c>
      <c r="N17" s="40">
        <f>IF(H_Sept[[#This Row],[Fin]]&lt;H_Sept[[#This Row],[début]],1,0)+H_Sept[[#This Row],[Fin]]</f>
        <v>0</v>
      </c>
      <c r="O1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7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7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7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7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7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17" s="163"/>
    </row>
    <row r="18" spans="1:23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0.1*(H_Sept[[#This Row],[Heures de nuit]]+IF(H_Sept[[#This Row],[majoration dim &amp; JF]]="non",0,H_Sept[[#This Row],[heures jour dimanche]]+H_Sept[[#This Row],[heures jour fériés]]))</f>
        <v>0</v>
      </c>
      <c r="J18" s="38">
        <f>(MOD(H_Sept[[#This Row],[Fin]]-H_Sept[[#This Row],[début]],1)-MOD(H_Sept[[#This Row],[PNP Fin]]-H_Sept[[#This Row],[PNP Début]],1))*24</f>
        <v>0</v>
      </c>
      <c r="K18" s="112" t="str">
        <f>IFERROR(VLOOKUP(H_Sept[[#This Row],[Service]],Codes[],4,0),"")</f>
        <v/>
      </c>
      <c r="L18" s="39">
        <f>IF(H_Sept[[#This Row],[PNP Début]]=0,0,IF(H_Sept[[#This Row],[PNP Début]]&lt;H_Sept[[#This Row],[début]],1,0)+H_Sept[[#This Row],[PNP Début]])</f>
        <v>0</v>
      </c>
      <c r="M18" s="40">
        <f>IF(H_Sept[[#This Row],[PNP Fin]]=0,0,IF(H_Sept[[#This Row],[PNP Fin]]&lt;H_Sept[[#This Row],[début]],1,0)+H_Sept[[#This Row],[PNP Fin]])</f>
        <v>0</v>
      </c>
      <c r="N18" s="40">
        <f>IF(H_Sept[[#This Row],[Fin]]&lt;H_Sept[[#This Row],[début]],1,0)+H_Sept[[#This Row],[Fin]]</f>
        <v>0</v>
      </c>
      <c r="O1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8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8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8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8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8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18" s="163"/>
    </row>
    <row r="19" spans="1:23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0.1*(H_Sept[[#This Row],[Heures de nuit]]+IF(H_Sept[[#This Row],[majoration dim &amp; JF]]="non",0,H_Sept[[#This Row],[heures jour dimanche]]+H_Sept[[#This Row],[heures jour fériés]]))</f>
        <v>0</v>
      </c>
      <c r="J19" s="38">
        <f>(MOD(H_Sept[[#This Row],[Fin]]-H_Sept[[#This Row],[début]],1)-MOD(H_Sept[[#This Row],[PNP Fin]]-H_Sept[[#This Row],[PNP Début]],1))*24</f>
        <v>0</v>
      </c>
      <c r="K19" s="112" t="str">
        <f>IFERROR(VLOOKUP(H_Sept[[#This Row],[Service]],Codes[],4,0),"")</f>
        <v/>
      </c>
      <c r="L19" s="39">
        <f>IF(H_Sept[[#This Row],[PNP Début]]=0,0,IF(H_Sept[[#This Row],[PNP Début]]&lt;H_Sept[[#This Row],[début]],1,0)+H_Sept[[#This Row],[PNP Début]])</f>
        <v>0</v>
      </c>
      <c r="M19" s="40">
        <f>IF(H_Sept[[#This Row],[PNP Fin]]=0,0,IF(H_Sept[[#This Row],[PNP Fin]]&lt;H_Sept[[#This Row],[début]],1,0)+H_Sept[[#This Row],[PNP Fin]])</f>
        <v>0</v>
      </c>
      <c r="N19" s="40">
        <f>IF(H_Sept[[#This Row],[Fin]]&lt;H_Sept[[#This Row],[début]],1,0)+H_Sept[[#This Row],[Fin]]</f>
        <v>0</v>
      </c>
      <c r="O1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9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9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9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9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9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</row>
    <row r="20" spans="1:23" ht="15" thickBot="1" x14ac:dyDescent="0.35">
      <c r="A20" s="4"/>
      <c r="B20" s="1"/>
      <c r="C20" s="2"/>
      <c r="D20" s="2"/>
      <c r="E20" s="9"/>
      <c r="F20" s="9"/>
      <c r="G20" s="9"/>
      <c r="H20" s="9"/>
      <c r="I20" s="37">
        <f>0.1*(H_Sept[[#This Row],[Heures de nuit]]+IF(H_Sept[[#This Row],[majoration dim &amp; JF]]="non",0,H_Sept[[#This Row],[heures jour dimanche]]+H_Sept[[#This Row],[heures jour fériés]]))</f>
        <v>0</v>
      </c>
      <c r="J20" s="38">
        <f>(MOD(H_Sept[[#This Row],[Fin]]-H_Sept[[#This Row],[début]],1)-MOD(H_Sept[[#This Row],[PNP Fin]]-H_Sept[[#This Row],[PNP Début]],1))*24</f>
        <v>0</v>
      </c>
      <c r="K20" s="112" t="str">
        <f>IFERROR(VLOOKUP(H_Sept[[#This Row],[Service]],Codes[],4,0),"")</f>
        <v/>
      </c>
      <c r="L20" s="39">
        <f>IF(H_Sept[[#This Row],[PNP Début]]=0,0,IF(H_Sept[[#This Row],[PNP Début]]&lt;H_Sept[[#This Row],[début]],1,0)+H_Sept[[#This Row],[PNP Début]])</f>
        <v>0</v>
      </c>
      <c r="M20" s="40">
        <f>IF(H_Sept[[#This Row],[PNP Fin]]=0,0,IF(H_Sept[[#This Row],[PNP Fin]]&lt;H_Sept[[#This Row],[début]],1,0)+H_Sept[[#This Row],[PNP Fin]])</f>
        <v>0</v>
      </c>
      <c r="N20" s="40">
        <f>IF(H_Sept[[#This Row],[Fin]]&lt;H_Sept[[#This Row],[début]],1,0)+H_Sept[[#This Row],[Fin]]</f>
        <v>0</v>
      </c>
      <c r="O2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0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0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0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0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0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20" s="163"/>
    </row>
    <row r="21" spans="1:23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0.1*(H_Sept[[#This Row],[Heures de nuit]]+IF(H_Sept[[#This Row],[majoration dim &amp; JF]]="non",0,H_Sept[[#This Row],[heures jour dimanche]]+H_Sept[[#This Row],[heures jour fériés]]))</f>
        <v>0</v>
      </c>
      <c r="J21" s="43">
        <f>(MOD(H_Sept[[#This Row],[Fin]]-H_Sept[[#This Row],[début]],1)-MOD(H_Sept[[#This Row],[PNP Fin]]-H_Sept[[#This Row],[PNP Début]],1))*24</f>
        <v>0</v>
      </c>
      <c r="K21" s="113" t="str">
        <f>IFERROR(VLOOKUP(H_Sept[[#This Row],[Service]],Codes[],4,0),"")</f>
        <v/>
      </c>
      <c r="L21" s="44">
        <f>IF(H_Sept[[#This Row],[PNP Début]]=0,0,IF(H_Sept[[#This Row],[PNP Début]]&lt;H_Sept[[#This Row],[début]],1,0)+H_Sept[[#This Row],[PNP Début]])</f>
        <v>0</v>
      </c>
      <c r="M21" s="45">
        <f>IF(H_Sept[[#This Row],[PNP Fin]]=0,0,IF(H_Sept[[#This Row],[PNP Fin]]&lt;H_Sept[[#This Row],[début]],1,0)+H_Sept[[#This Row],[PNP Fin]])</f>
        <v>0</v>
      </c>
      <c r="N21" s="45">
        <f>IF(H_Sept[[#This Row],[Fin]]&lt;H_Sept[[#This Row],[début]],1,0)+H_Sept[[#This Row],[Fin]]</f>
        <v>0</v>
      </c>
      <c r="O2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1" s="46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1" s="46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1" s="46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1" s="4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1" s="4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21" s="164" t="s">
        <v>167</v>
      </c>
      <c r="W21" s="162">
        <f>COUNTIF(B13:B49,"*récuperations*")</f>
        <v>0</v>
      </c>
    </row>
    <row r="22" spans="1:23" ht="15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0.1*(H_Sept[[#This Row],[Heures de nuit]]+IF(H_Sept[[#This Row],[majoration dim &amp; JF]]="non",0,H_Sept[[#This Row],[heures jour dimanche]]+H_Sept[[#This Row],[heures jour fériés]]))</f>
        <v>0</v>
      </c>
      <c r="J22" s="48">
        <f>(MOD(H_Sept[[#This Row],[Fin]]-H_Sept[[#This Row],[début]],1)-MOD(H_Sept[[#This Row],[PNP Fin]]-H_Sept[[#This Row],[PNP Début]],1))*24</f>
        <v>0</v>
      </c>
      <c r="K22" s="109" t="str">
        <f>IFERROR(VLOOKUP(H_Sept[[#This Row],[Service]],Codes[],4,0),"")</f>
        <v/>
      </c>
      <c r="L22" s="49">
        <f>IF(H_Sept[[#This Row],[PNP Début]]=0,0,IF(H_Sept[[#This Row],[PNP Début]]&lt;H_Sept[[#This Row],[début]],1,0)+H_Sept[[#This Row],[PNP Début]])</f>
        <v>0</v>
      </c>
      <c r="M22" s="50">
        <f>IF(H_Sept[[#This Row],[PNP Fin]]=0,0,IF(H_Sept[[#This Row],[PNP Fin]]&lt;H_Sept[[#This Row],[début]],1,0)+H_Sept[[#This Row],[PNP Fin]])</f>
        <v>0</v>
      </c>
      <c r="N22" s="50">
        <f>IF(H_Sept[[#This Row],[Fin]]&lt;H_Sept[[#This Row],[début]],1,0)+H_Sept[[#This Row],[Fin]]</f>
        <v>0</v>
      </c>
      <c r="O2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22" s="165"/>
    </row>
    <row r="23" spans="1:23" ht="15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0.1*(H_Sept[[#This Row],[Heures de nuit]]+IF(H_Sept[[#This Row],[majoration dim &amp; JF]]="non",0,H_Sept[[#This Row],[heures jour dimanche]]+H_Sept[[#This Row],[heures jour fériés]]))</f>
        <v>0</v>
      </c>
      <c r="J23" s="48">
        <f>(MOD(H_Sept[[#This Row],[Fin]]-H_Sept[[#This Row],[début]],1)-MOD(H_Sept[[#This Row],[PNP Fin]]-H_Sept[[#This Row],[PNP Début]],1))*24</f>
        <v>0</v>
      </c>
      <c r="K23" s="109" t="str">
        <f>IFERROR(VLOOKUP(H_Sept[[#This Row],[Service]],Codes[],4,0),"")</f>
        <v/>
      </c>
      <c r="L23" s="49">
        <f>IF(H_Sept[[#This Row],[PNP Début]]=0,0,IF(H_Sept[[#This Row],[PNP Début]]&lt;H_Sept[[#This Row],[début]],1,0)+H_Sept[[#This Row],[PNP Début]])</f>
        <v>0</v>
      </c>
      <c r="M23" s="50">
        <f>IF(H_Sept[[#This Row],[PNP Fin]]=0,0,IF(H_Sept[[#This Row],[PNP Fin]]&lt;H_Sept[[#This Row],[début]],1,0)+H_Sept[[#This Row],[PNP Fin]])</f>
        <v>0</v>
      </c>
      <c r="N23" s="50">
        <f>IF(H_Sept[[#This Row],[Fin]]&lt;H_Sept[[#This Row],[début]],1,0)+H_Sept[[#This Row],[Fin]]</f>
        <v>0</v>
      </c>
      <c r="O2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  <c r="V23" s="164" t="s">
        <v>168</v>
      </c>
      <c r="W23" s="162">
        <f>COUNTIF(B13:B49,"*CCT*")</f>
        <v>0</v>
      </c>
    </row>
    <row r="24" spans="1:23" x14ac:dyDescent="0.3">
      <c r="A24" s="4"/>
      <c r="B24" s="1"/>
      <c r="C24" s="2"/>
      <c r="D24" s="2"/>
      <c r="E24" s="3"/>
      <c r="F24" s="3"/>
      <c r="G24" s="3"/>
      <c r="H24" s="3"/>
      <c r="I24" s="47">
        <f>0.1*(H_Sept[[#This Row],[Heures de nuit]]+IF(H_Sept[[#This Row],[majoration dim &amp; JF]]="non",0,H_Sept[[#This Row],[heures jour dimanche]]+H_Sept[[#This Row],[heures jour fériés]]))</f>
        <v>0</v>
      </c>
      <c r="J24" s="48">
        <f>(MOD(H_Sept[[#This Row],[Fin]]-H_Sept[[#This Row],[début]],1)-MOD(H_Sept[[#This Row],[PNP Fin]]-H_Sept[[#This Row],[PNP Début]],1))*24</f>
        <v>0</v>
      </c>
      <c r="K24" s="109" t="str">
        <f>IFERROR(VLOOKUP(H_Sept[[#This Row],[Service]],Codes[],4,0),"")</f>
        <v/>
      </c>
      <c r="L24" s="49">
        <f>IF(H_Sept[[#This Row],[PNP Début]]=0,0,IF(H_Sept[[#This Row],[PNP Début]]&lt;H_Sept[[#This Row],[début]],1,0)+H_Sept[[#This Row],[PNP Début]])</f>
        <v>0</v>
      </c>
      <c r="M24" s="50">
        <f>IF(H_Sept[[#This Row],[PNP Fin]]=0,0,IF(H_Sept[[#This Row],[PNP Fin]]&lt;H_Sept[[#This Row],[début]],1,0)+H_Sept[[#This Row],[PNP Fin]])</f>
        <v>0</v>
      </c>
      <c r="N24" s="50">
        <f>IF(H_Sept[[#This Row],[Fin]]&lt;H_Sept[[#This Row],[début]],1,0)+H_Sept[[#This Row],[Fin]]</f>
        <v>0</v>
      </c>
      <c r="O2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5" spans="1:23" x14ac:dyDescent="0.3">
      <c r="A25" s="4"/>
      <c r="B25" s="1"/>
      <c r="C25" s="2"/>
      <c r="D25" s="2"/>
      <c r="E25" s="3"/>
      <c r="F25" s="3"/>
      <c r="G25" s="3"/>
      <c r="H25" s="3"/>
      <c r="I25" s="47">
        <f>0.1*(H_Sept[[#This Row],[Heures de nuit]]+IF(H_Sept[[#This Row],[majoration dim &amp; JF]]="non",0,H_Sept[[#This Row],[heures jour dimanche]]+H_Sept[[#This Row],[heures jour fériés]]))</f>
        <v>0</v>
      </c>
      <c r="J25" s="48">
        <f>(MOD(H_Sept[[#This Row],[Fin]]-H_Sept[[#This Row],[début]],1)-MOD(H_Sept[[#This Row],[PNP Fin]]-H_Sept[[#This Row],[PNP Début]],1))*24</f>
        <v>0</v>
      </c>
      <c r="K25" s="109" t="str">
        <f>IFERROR(VLOOKUP(H_Sept[[#This Row],[Service]],Codes[],4,0),"")</f>
        <v/>
      </c>
      <c r="L25" s="49">
        <f>IF(H_Sept[[#This Row],[PNP Début]]=0,0,IF(H_Sept[[#This Row],[PNP Début]]&lt;H_Sept[[#This Row],[début]],1,0)+H_Sept[[#This Row],[PNP Début]])</f>
        <v>0</v>
      </c>
      <c r="M25" s="50">
        <f>IF(H_Sept[[#This Row],[PNP Fin]]=0,0,IF(H_Sept[[#This Row],[PNP Fin]]&lt;H_Sept[[#This Row],[début]],1,0)+H_Sept[[#This Row],[PNP Fin]])</f>
        <v>0</v>
      </c>
      <c r="N25" s="50">
        <f>IF(H_Sept[[#This Row],[Fin]]&lt;H_Sept[[#This Row],[début]],1,0)+H_Sept[[#This Row],[Fin]]</f>
        <v>0</v>
      </c>
      <c r="O2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6" spans="1:23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0.1*(H_Sept[[#This Row],[Heures de nuit]]+IF(H_Sept[[#This Row],[majoration dim &amp; JF]]="non",0,H_Sept[[#This Row],[heures jour dimanche]]+H_Sept[[#This Row],[heures jour fériés]]))</f>
        <v>0</v>
      </c>
      <c r="J26" s="48">
        <f>(MOD(H_Sept[[#This Row],[Fin]]-H_Sept[[#This Row],[début]],1)-MOD(H_Sept[[#This Row],[PNP Fin]]-H_Sept[[#This Row],[PNP Début]],1))*24</f>
        <v>0</v>
      </c>
      <c r="K26" s="109" t="str">
        <f>IFERROR(VLOOKUP(H_Sept[[#This Row],[Service]],Codes[],4,0),"")</f>
        <v/>
      </c>
      <c r="L26" s="49">
        <f>IF(H_Sept[[#This Row],[PNP Début]]=0,0,IF(H_Sept[[#This Row],[PNP Début]]&lt;H_Sept[[#This Row],[début]],1,0)+H_Sept[[#This Row],[PNP Début]])</f>
        <v>0</v>
      </c>
      <c r="M26" s="50">
        <f>IF(H_Sept[[#This Row],[PNP Fin]]=0,0,IF(H_Sept[[#This Row],[PNP Fin]]&lt;H_Sept[[#This Row],[début]],1,0)+H_Sept[[#This Row],[PNP Fin]])</f>
        <v>0</v>
      </c>
      <c r="N26" s="50">
        <f>IF(H_Sept[[#This Row],[Fin]]&lt;H_Sept[[#This Row],[début]],1,0)+H_Sept[[#This Row],[Fin]]</f>
        <v>0</v>
      </c>
      <c r="O2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7" spans="1:23" x14ac:dyDescent="0.3">
      <c r="A27" s="4"/>
      <c r="B27" s="1"/>
      <c r="C27" s="2"/>
      <c r="D27" s="2"/>
      <c r="E27" s="3"/>
      <c r="F27" s="3"/>
      <c r="G27" s="3"/>
      <c r="H27" s="3"/>
      <c r="I27" s="47">
        <f>0.1*(H_Sept[[#This Row],[Heures de nuit]]+IF(H_Sept[[#This Row],[majoration dim &amp; JF]]="non",0,H_Sept[[#This Row],[heures jour dimanche]]+H_Sept[[#This Row],[heures jour fériés]]))</f>
        <v>0</v>
      </c>
      <c r="J27" s="48">
        <f>(MOD(H_Sept[[#This Row],[Fin]]-H_Sept[[#This Row],[début]],1)-MOD(H_Sept[[#This Row],[PNP Fin]]-H_Sept[[#This Row],[PNP Début]],1))*24</f>
        <v>0</v>
      </c>
      <c r="K27" s="109" t="str">
        <f>IFERROR(VLOOKUP(H_Sept[[#This Row],[Service]],Codes[],4,0),"")</f>
        <v/>
      </c>
      <c r="L27" s="49">
        <f>IF(H_Sept[[#This Row],[PNP Début]]=0,0,IF(H_Sept[[#This Row],[PNP Début]]&lt;H_Sept[[#This Row],[début]],1,0)+H_Sept[[#This Row],[PNP Début]])</f>
        <v>0</v>
      </c>
      <c r="M27" s="50">
        <f>IF(H_Sept[[#This Row],[PNP Fin]]=0,0,IF(H_Sept[[#This Row],[PNP Fin]]&lt;H_Sept[[#This Row],[début]],1,0)+H_Sept[[#This Row],[PNP Fin]])</f>
        <v>0</v>
      </c>
      <c r="N27" s="50">
        <f>IF(H_Sept[[#This Row],[Fin]]&lt;H_Sept[[#This Row],[début]],1,0)+H_Sept[[#This Row],[Fin]]</f>
        <v>0</v>
      </c>
      <c r="O2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8" spans="1:23" x14ac:dyDescent="0.3">
      <c r="A28" s="4"/>
      <c r="B28" s="1"/>
      <c r="C28" s="2"/>
      <c r="D28" s="2"/>
      <c r="E28" s="3"/>
      <c r="F28" s="3"/>
      <c r="G28" s="3"/>
      <c r="H28" s="3"/>
      <c r="I28" s="47">
        <f>0.1*(H_Sept[[#This Row],[Heures de nuit]]+IF(H_Sept[[#This Row],[majoration dim &amp; JF]]="non",0,H_Sept[[#This Row],[heures jour dimanche]]+H_Sept[[#This Row],[heures jour fériés]]))</f>
        <v>0</v>
      </c>
      <c r="J28" s="48">
        <f>(MOD(H_Sept[[#This Row],[Fin]]-H_Sept[[#This Row],[début]],1)-MOD(H_Sept[[#This Row],[PNP Fin]]-H_Sept[[#This Row],[PNP Début]],1))*24</f>
        <v>0</v>
      </c>
      <c r="K28" s="109" t="str">
        <f>IFERROR(VLOOKUP(H_Sept[[#This Row],[Service]],Codes[],4,0),"")</f>
        <v/>
      </c>
      <c r="L28" s="49">
        <f>IF(H_Sept[[#This Row],[PNP Début]]=0,0,IF(H_Sept[[#This Row],[PNP Début]]&lt;H_Sept[[#This Row],[début]],1,0)+H_Sept[[#This Row],[PNP Début]])</f>
        <v>0</v>
      </c>
      <c r="M28" s="50">
        <f>IF(H_Sept[[#This Row],[PNP Fin]]=0,0,IF(H_Sept[[#This Row],[PNP Fin]]&lt;H_Sept[[#This Row],[début]],1,0)+H_Sept[[#This Row],[PNP Fin]])</f>
        <v>0</v>
      </c>
      <c r="N28" s="50">
        <f>IF(H_Sept[[#This Row],[Fin]]&lt;H_Sept[[#This Row],[début]],1,0)+H_Sept[[#This Row],[Fin]]</f>
        <v>0</v>
      </c>
      <c r="O2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9" spans="1:23" x14ac:dyDescent="0.3">
      <c r="A29" s="4"/>
      <c r="B29" s="1"/>
      <c r="C29" s="2"/>
      <c r="D29" s="2"/>
      <c r="E29" s="3"/>
      <c r="F29" s="3"/>
      <c r="G29" s="3"/>
      <c r="H29" s="3"/>
      <c r="I29" s="47">
        <f>0.1*(H_Sept[[#This Row],[Heures de nuit]]+IF(H_Sept[[#This Row],[majoration dim &amp; JF]]="non",0,H_Sept[[#This Row],[heures jour dimanche]]+H_Sept[[#This Row],[heures jour fériés]]))</f>
        <v>0</v>
      </c>
      <c r="J29" s="48">
        <f>(MOD(H_Sept[[#This Row],[Fin]]-H_Sept[[#This Row],[début]],1)-MOD(H_Sept[[#This Row],[PNP Fin]]-H_Sept[[#This Row],[PNP Début]],1))*24</f>
        <v>0</v>
      </c>
      <c r="K29" s="109" t="str">
        <f>IFERROR(VLOOKUP(H_Sept[[#This Row],[Service]],Codes[],4,0),"")</f>
        <v/>
      </c>
      <c r="L29" s="49">
        <f>IF(H_Sept[[#This Row],[PNP Début]]=0,0,IF(H_Sept[[#This Row],[PNP Début]]&lt;H_Sept[[#This Row],[début]],1,0)+H_Sept[[#This Row],[PNP Début]])</f>
        <v>0</v>
      </c>
      <c r="M29" s="50">
        <f>IF(H_Sept[[#This Row],[PNP Fin]]=0,0,IF(H_Sept[[#This Row],[PNP Fin]]&lt;H_Sept[[#This Row],[début]],1,0)+H_Sept[[#This Row],[PNP Fin]])</f>
        <v>0</v>
      </c>
      <c r="N29" s="50">
        <f>IF(H_Sept[[#This Row],[Fin]]&lt;H_Sept[[#This Row],[début]],1,0)+H_Sept[[#This Row],[Fin]]</f>
        <v>0</v>
      </c>
      <c r="O2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0" spans="1:23" x14ac:dyDescent="0.3">
      <c r="A30" s="4"/>
      <c r="B30" s="1"/>
      <c r="C30" s="2"/>
      <c r="D30" s="2"/>
      <c r="E30" s="3"/>
      <c r="F30" s="3"/>
      <c r="G30" s="3"/>
      <c r="H30" s="3"/>
      <c r="I30" s="47">
        <f>0.1*(H_Sept[[#This Row],[Heures de nuit]]+IF(H_Sept[[#This Row],[majoration dim &amp; JF]]="non",0,H_Sept[[#This Row],[heures jour dimanche]]+H_Sept[[#This Row],[heures jour fériés]]))</f>
        <v>0</v>
      </c>
      <c r="J30" s="48">
        <f>(MOD(H_Sept[[#This Row],[Fin]]-H_Sept[[#This Row],[début]],1)-MOD(H_Sept[[#This Row],[PNP Fin]]-H_Sept[[#This Row],[PNP Début]],1))*24</f>
        <v>0</v>
      </c>
      <c r="K30" s="109" t="str">
        <f>IFERROR(VLOOKUP(H_Sept[[#This Row],[Service]],Codes[],4,0),"")</f>
        <v/>
      </c>
      <c r="L30" s="49">
        <f>IF(H_Sept[[#This Row],[PNP Début]]=0,0,IF(H_Sept[[#This Row],[PNP Début]]&lt;H_Sept[[#This Row],[début]],1,0)+H_Sept[[#This Row],[PNP Début]])</f>
        <v>0</v>
      </c>
      <c r="M30" s="50">
        <f>IF(H_Sept[[#This Row],[PNP Fin]]=0,0,IF(H_Sept[[#This Row],[PNP Fin]]&lt;H_Sept[[#This Row],[début]],1,0)+H_Sept[[#This Row],[PNP Fin]])</f>
        <v>0</v>
      </c>
      <c r="N30" s="50">
        <f>IF(H_Sept[[#This Row],[Fin]]&lt;H_Sept[[#This Row],[début]],1,0)+H_Sept[[#This Row],[Fin]]</f>
        <v>0</v>
      </c>
      <c r="O3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0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1" spans="1:23" x14ac:dyDescent="0.3">
      <c r="A31" s="4"/>
      <c r="B31" s="1"/>
      <c r="C31" s="2"/>
      <c r="D31" s="2"/>
      <c r="E31" s="3"/>
      <c r="F31" s="3"/>
      <c r="G31" s="3"/>
      <c r="H31" s="3"/>
      <c r="I31" s="47">
        <f>0.1*(H_Sept[[#This Row],[Heures de nuit]]+IF(H_Sept[[#This Row],[majoration dim &amp; JF]]="non",0,H_Sept[[#This Row],[heures jour dimanche]]+H_Sept[[#This Row],[heures jour fériés]]))</f>
        <v>0</v>
      </c>
      <c r="J31" s="48">
        <f>(MOD(H_Sept[[#This Row],[Fin]]-H_Sept[[#This Row],[début]],1)-MOD(H_Sept[[#This Row],[PNP Fin]]-H_Sept[[#This Row],[PNP Début]],1))*24</f>
        <v>0</v>
      </c>
      <c r="K31" s="109" t="str">
        <f>IFERROR(VLOOKUP(H_Sept[[#This Row],[Service]],Codes[],4,0),"")</f>
        <v/>
      </c>
      <c r="L31" s="49">
        <f>IF(H_Sept[[#This Row],[PNP Début]]=0,0,IF(H_Sept[[#This Row],[PNP Début]]&lt;H_Sept[[#This Row],[début]],1,0)+H_Sept[[#This Row],[PNP Début]])</f>
        <v>0</v>
      </c>
      <c r="M31" s="50">
        <f>IF(H_Sept[[#This Row],[PNP Fin]]=0,0,IF(H_Sept[[#This Row],[PNP Fin]]&lt;H_Sept[[#This Row],[début]],1,0)+H_Sept[[#This Row],[PNP Fin]])</f>
        <v>0</v>
      </c>
      <c r="N31" s="50">
        <f>IF(H_Sept[[#This Row],[Fin]]&lt;H_Sept[[#This Row],[début]],1,0)+H_Sept[[#This Row],[Fin]]</f>
        <v>0</v>
      </c>
      <c r="O3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1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2" spans="1:23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0.1*(H_Sept[[#This Row],[Heures de nuit]]+IF(H_Sept[[#This Row],[majoration dim &amp; JF]]="non",0,H_Sept[[#This Row],[heures jour dimanche]]+H_Sept[[#This Row],[heures jour fériés]]))</f>
        <v>0</v>
      </c>
      <c r="J32" s="48">
        <f>(MOD(H_Sept[[#This Row],[Fin]]-H_Sept[[#This Row],[début]],1)-MOD(H_Sept[[#This Row],[PNP Fin]]-H_Sept[[#This Row],[PNP Début]],1))*24</f>
        <v>0</v>
      </c>
      <c r="K32" s="109" t="str">
        <f>IFERROR(VLOOKUP(H_Sept[[#This Row],[Service]],Codes[],4,0),"")</f>
        <v/>
      </c>
      <c r="L32" s="49">
        <f>IF(H_Sept[[#This Row],[PNP Début]]=0,0,IF(H_Sept[[#This Row],[PNP Début]]&lt;H_Sept[[#This Row],[début]],1,0)+H_Sept[[#This Row],[PNP Début]])</f>
        <v>0</v>
      </c>
      <c r="M32" s="50">
        <f>IF(H_Sept[[#This Row],[PNP Fin]]=0,0,IF(H_Sept[[#This Row],[PNP Fin]]&lt;H_Sept[[#This Row],[début]],1,0)+H_Sept[[#This Row],[PNP Fin]])</f>
        <v>0</v>
      </c>
      <c r="N32" s="50">
        <f>IF(H_Sept[[#This Row],[Fin]]&lt;H_Sept[[#This Row],[début]],1,0)+H_Sept[[#This Row],[Fin]]</f>
        <v>0</v>
      </c>
      <c r="O3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0.1*(H_Sept[[#This Row],[Heures de nuit]]+IF(H_Sept[[#This Row],[majoration dim &amp; JF]]="non",0,H_Sept[[#This Row],[heures jour dimanche]]+H_Sept[[#This Row],[heures jour fériés]]))</f>
        <v>0</v>
      </c>
      <c r="J33" s="48">
        <f>(MOD(H_Sept[[#This Row],[Fin]]-H_Sept[[#This Row],[début]],1)-MOD(H_Sept[[#This Row],[PNP Fin]]-H_Sept[[#This Row],[PNP Début]],1))*24</f>
        <v>0</v>
      </c>
      <c r="K33" s="109" t="str">
        <f>IFERROR(VLOOKUP(H_Sept[[#This Row],[Service]],Codes[],4,0),"")</f>
        <v/>
      </c>
      <c r="L33" s="49">
        <f>IF(H_Sept[[#This Row],[PNP Début]]=0,0,IF(H_Sept[[#This Row],[PNP Début]]&lt;H_Sept[[#This Row],[début]],1,0)+H_Sept[[#This Row],[PNP Début]])</f>
        <v>0</v>
      </c>
      <c r="M33" s="50">
        <f>IF(H_Sept[[#This Row],[PNP Fin]]=0,0,IF(H_Sept[[#This Row],[PNP Fin]]&lt;H_Sept[[#This Row],[début]],1,0)+H_Sept[[#This Row],[PNP Fin]])</f>
        <v>0</v>
      </c>
      <c r="N33" s="50">
        <f>IF(H_Sept[[#This Row],[Fin]]&lt;H_Sept[[#This Row],[début]],1,0)+H_Sept[[#This Row],[Fin]]</f>
        <v>0</v>
      </c>
      <c r="O3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0.1*(H_Sept[[#This Row],[Heures de nuit]]+IF(H_Sept[[#This Row],[majoration dim &amp; JF]]="non",0,H_Sept[[#This Row],[heures jour dimanche]]+H_Sept[[#This Row],[heures jour fériés]]))</f>
        <v>0</v>
      </c>
      <c r="J34" s="48">
        <f>(MOD(H_Sept[[#This Row],[Fin]]-H_Sept[[#This Row],[début]],1)-MOD(H_Sept[[#This Row],[PNP Fin]]-H_Sept[[#This Row],[PNP Début]],1))*24</f>
        <v>0</v>
      </c>
      <c r="K34" s="109" t="str">
        <f>IFERROR(VLOOKUP(H_Sept[[#This Row],[Service]],Codes[],4,0),"")</f>
        <v/>
      </c>
      <c r="L34" s="49">
        <f>IF(H_Sept[[#This Row],[PNP Début]]=0,0,IF(H_Sept[[#This Row],[PNP Début]]&lt;H_Sept[[#This Row],[début]],1,0)+H_Sept[[#This Row],[PNP Début]])</f>
        <v>0</v>
      </c>
      <c r="M34" s="50">
        <f>IF(H_Sept[[#This Row],[PNP Fin]]=0,0,IF(H_Sept[[#This Row],[PNP Fin]]&lt;H_Sept[[#This Row],[début]],1,0)+H_Sept[[#This Row],[PNP Fin]])</f>
        <v>0</v>
      </c>
      <c r="N34" s="50">
        <f>IF(H_Sept[[#This Row],[Fin]]&lt;H_Sept[[#This Row],[début]],1,0)+H_Sept[[#This Row],[Fin]]</f>
        <v>0</v>
      </c>
      <c r="O3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0.1*(H_Sept[[#This Row],[Heures de nuit]]+IF(H_Sept[[#This Row],[majoration dim &amp; JF]]="non",0,H_Sept[[#This Row],[heures jour dimanche]]+H_Sept[[#This Row],[heures jour fériés]]))</f>
        <v>0</v>
      </c>
      <c r="J35" s="48">
        <f>(MOD(H_Sept[[#This Row],[Fin]]-H_Sept[[#This Row],[début]],1)-MOD(H_Sept[[#This Row],[PNP Fin]]-H_Sept[[#This Row],[PNP Début]],1))*24</f>
        <v>0</v>
      </c>
      <c r="K35" s="109" t="str">
        <f>IFERROR(VLOOKUP(H_Sept[[#This Row],[Service]],Codes[],4,0),"")</f>
        <v/>
      </c>
      <c r="L35" s="49">
        <f>IF(H_Sept[[#This Row],[PNP Début]]=0,0,IF(H_Sept[[#This Row],[PNP Début]]&lt;H_Sept[[#This Row],[début]],1,0)+H_Sept[[#This Row],[PNP Début]])</f>
        <v>0</v>
      </c>
      <c r="M35" s="50">
        <f>IF(H_Sept[[#This Row],[PNP Fin]]=0,0,IF(H_Sept[[#This Row],[PNP Fin]]&lt;H_Sept[[#This Row],[début]],1,0)+H_Sept[[#This Row],[PNP Fin]])</f>
        <v>0</v>
      </c>
      <c r="N35" s="50">
        <f>IF(H_Sept[[#This Row],[Fin]]&lt;H_Sept[[#This Row],[début]],1,0)+H_Sept[[#This Row],[Fin]]</f>
        <v>0</v>
      </c>
      <c r="O3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0.1*(H_Sept[[#This Row],[Heures de nuit]]+IF(H_Sept[[#This Row],[majoration dim &amp; JF]]="non",0,H_Sept[[#This Row],[heures jour dimanche]]+H_Sept[[#This Row],[heures jour fériés]]))</f>
        <v>0</v>
      </c>
      <c r="J36" s="48">
        <f>(MOD(H_Sept[[#This Row],[Fin]]-H_Sept[[#This Row],[début]],1)-MOD(H_Sept[[#This Row],[PNP Fin]]-H_Sept[[#This Row],[PNP Début]],1))*24</f>
        <v>0</v>
      </c>
      <c r="K36" s="109" t="str">
        <f>IFERROR(VLOOKUP(H_Sept[[#This Row],[Service]],Codes[],4,0),"")</f>
        <v/>
      </c>
      <c r="L36" s="49">
        <f>IF(H_Sept[[#This Row],[PNP Début]]=0,0,IF(H_Sept[[#This Row],[PNP Début]]&lt;H_Sept[[#This Row],[début]],1,0)+H_Sept[[#This Row],[PNP Début]])</f>
        <v>0</v>
      </c>
      <c r="M36" s="50">
        <f>IF(H_Sept[[#This Row],[PNP Fin]]=0,0,IF(H_Sept[[#This Row],[PNP Fin]]&lt;H_Sept[[#This Row],[début]],1,0)+H_Sept[[#This Row],[PNP Fin]])</f>
        <v>0</v>
      </c>
      <c r="N36" s="50">
        <f>IF(H_Sept[[#This Row],[Fin]]&lt;H_Sept[[#This Row],[début]],1,0)+H_Sept[[#This Row],[Fin]]</f>
        <v>0</v>
      </c>
      <c r="O3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0.1*(H_Sept[[#This Row],[Heures de nuit]]+IF(H_Sept[[#This Row],[majoration dim &amp; JF]]="non",0,H_Sept[[#This Row],[heures jour dimanche]]+H_Sept[[#This Row],[heures jour fériés]]))</f>
        <v>0</v>
      </c>
      <c r="J37" s="48">
        <f>(MOD(H_Sept[[#This Row],[Fin]]-H_Sept[[#This Row],[début]],1)-MOD(H_Sept[[#This Row],[PNP Fin]]-H_Sept[[#This Row],[PNP Début]],1))*24</f>
        <v>0</v>
      </c>
      <c r="K37" s="109" t="str">
        <f>IFERROR(VLOOKUP(H_Sept[[#This Row],[Service]],Codes[],4,0),"")</f>
        <v/>
      </c>
      <c r="L37" s="49">
        <f>IF(H_Sept[[#This Row],[PNP Début]]=0,0,IF(H_Sept[[#This Row],[PNP Début]]&lt;H_Sept[[#This Row],[début]],1,0)+H_Sept[[#This Row],[PNP Début]])</f>
        <v>0</v>
      </c>
      <c r="M37" s="50">
        <f>IF(H_Sept[[#This Row],[PNP Fin]]=0,0,IF(H_Sept[[#This Row],[PNP Fin]]&lt;H_Sept[[#This Row],[début]],1,0)+H_Sept[[#This Row],[PNP Fin]])</f>
        <v>0</v>
      </c>
      <c r="N37" s="50">
        <f>IF(H_Sept[[#This Row],[Fin]]&lt;H_Sept[[#This Row],[début]],1,0)+H_Sept[[#This Row],[Fin]]</f>
        <v>0</v>
      </c>
      <c r="O3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0.1*(H_Sept[[#This Row],[Heures de nuit]]+IF(H_Sept[[#This Row],[majoration dim &amp; JF]]="non",0,H_Sept[[#This Row],[heures jour dimanche]]+H_Sept[[#This Row],[heures jour fériés]]))</f>
        <v>0</v>
      </c>
      <c r="J38" s="48">
        <f>(MOD(H_Sept[[#This Row],[Fin]]-H_Sept[[#This Row],[début]],1)-MOD(H_Sept[[#This Row],[PNP Fin]]-H_Sept[[#This Row],[PNP Début]],1))*24</f>
        <v>0</v>
      </c>
      <c r="K38" s="109" t="str">
        <f>IFERROR(VLOOKUP(H_Sept[[#This Row],[Service]],Codes[],4,0),"")</f>
        <v/>
      </c>
      <c r="L38" s="49">
        <f>IF(H_Sept[[#This Row],[PNP Début]]=0,0,IF(H_Sept[[#This Row],[PNP Début]]&lt;H_Sept[[#This Row],[début]],1,0)+H_Sept[[#This Row],[PNP Début]])</f>
        <v>0</v>
      </c>
      <c r="M38" s="50">
        <f>IF(H_Sept[[#This Row],[PNP Fin]]=0,0,IF(H_Sept[[#This Row],[PNP Fin]]&lt;H_Sept[[#This Row],[début]],1,0)+H_Sept[[#This Row],[PNP Fin]])</f>
        <v>0</v>
      </c>
      <c r="N38" s="50">
        <f>IF(H_Sept[[#This Row],[Fin]]&lt;H_Sept[[#This Row],[début]],1,0)+H_Sept[[#This Row],[Fin]]</f>
        <v>0</v>
      </c>
      <c r="O3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0.1*(H_Sept[[#This Row],[Heures de nuit]]+IF(H_Sept[[#This Row],[majoration dim &amp; JF]]="non",0,H_Sept[[#This Row],[heures jour dimanche]]+H_Sept[[#This Row],[heures jour fériés]]))</f>
        <v>0</v>
      </c>
      <c r="J39" s="48">
        <f>(MOD(H_Sept[[#This Row],[Fin]]-H_Sept[[#This Row],[début]],1)-MOD(H_Sept[[#This Row],[PNP Fin]]-H_Sept[[#This Row],[PNP Début]],1))*24</f>
        <v>0</v>
      </c>
      <c r="K39" s="109" t="str">
        <f>IFERROR(VLOOKUP(H_Sept[[#This Row],[Service]],Codes[],4,0),"")</f>
        <v/>
      </c>
      <c r="L39" s="49">
        <f>IF(H_Sept[[#This Row],[PNP Début]]=0,0,IF(H_Sept[[#This Row],[PNP Début]]&lt;H_Sept[[#This Row],[début]],1,0)+H_Sept[[#This Row],[PNP Début]])</f>
        <v>0</v>
      </c>
      <c r="M39" s="50">
        <f>IF(H_Sept[[#This Row],[PNP Fin]]=0,0,IF(H_Sept[[#This Row],[PNP Fin]]&lt;H_Sept[[#This Row],[début]],1,0)+H_Sept[[#This Row],[PNP Fin]])</f>
        <v>0</v>
      </c>
      <c r="N39" s="50">
        <f>IF(H_Sept[[#This Row],[Fin]]&lt;H_Sept[[#This Row],[début]],1,0)+H_Sept[[#This Row],[Fin]]</f>
        <v>0</v>
      </c>
      <c r="O3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0.1*(H_Sept[[#This Row],[Heures de nuit]]+IF(H_Sept[[#This Row],[majoration dim &amp; JF]]="non",0,H_Sept[[#This Row],[heures jour dimanche]]+H_Sept[[#This Row],[heures jour fériés]]))</f>
        <v>0</v>
      </c>
      <c r="J40" s="48">
        <f>(MOD(H_Sept[[#This Row],[Fin]]-H_Sept[[#This Row],[début]],1)-MOD(H_Sept[[#This Row],[PNP Fin]]-H_Sept[[#This Row],[PNP Début]],1))*24</f>
        <v>0</v>
      </c>
      <c r="K40" s="109" t="str">
        <f>IFERROR(VLOOKUP(H_Sept[[#This Row],[Service]],Codes[],4,0),"")</f>
        <v/>
      </c>
      <c r="L40" s="49">
        <f>IF(H_Sept[[#This Row],[PNP Début]]=0,0,IF(H_Sept[[#This Row],[PNP Début]]&lt;H_Sept[[#This Row],[début]],1,0)+H_Sept[[#This Row],[PNP Début]])</f>
        <v>0</v>
      </c>
      <c r="M40" s="50">
        <f>IF(H_Sept[[#This Row],[PNP Fin]]=0,0,IF(H_Sept[[#This Row],[PNP Fin]]&lt;H_Sept[[#This Row],[début]],1,0)+H_Sept[[#This Row],[PNP Fin]])</f>
        <v>0</v>
      </c>
      <c r="N40" s="50">
        <f>IF(H_Sept[[#This Row],[Fin]]&lt;H_Sept[[#This Row],[début]],1,0)+H_Sept[[#This Row],[Fin]]</f>
        <v>0</v>
      </c>
      <c r="O4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0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0.1*(H_Sept[[#This Row],[Heures de nuit]]+IF(H_Sept[[#This Row],[majoration dim &amp; JF]]="non",0,H_Sept[[#This Row],[heures jour dimanche]]+H_Sept[[#This Row],[heures jour fériés]]))</f>
        <v>0</v>
      </c>
      <c r="J41" s="48">
        <f>(MOD(H_Sept[[#This Row],[Fin]]-H_Sept[[#This Row],[début]],1)-MOD(H_Sept[[#This Row],[PNP Fin]]-H_Sept[[#This Row],[PNP Début]],1))*24</f>
        <v>0</v>
      </c>
      <c r="K41" s="109" t="str">
        <f>IFERROR(VLOOKUP(H_Sept[[#This Row],[Service]],Codes[],4,0),"")</f>
        <v/>
      </c>
      <c r="L41" s="49">
        <f>IF(H_Sept[[#This Row],[PNP Début]]=0,0,IF(H_Sept[[#This Row],[PNP Début]]&lt;H_Sept[[#This Row],[début]],1,0)+H_Sept[[#This Row],[PNP Début]])</f>
        <v>0</v>
      </c>
      <c r="M41" s="50">
        <f>IF(H_Sept[[#This Row],[PNP Fin]]=0,0,IF(H_Sept[[#This Row],[PNP Fin]]&lt;H_Sept[[#This Row],[début]],1,0)+H_Sept[[#This Row],[PNP Fin]])</f>
        <v>0</v>
      </c>
      <c r="N41" s="50">
        <f>IF(H_Sept[[#This Row],[Fin]]&lt;H_Sept[[#This Row],[début]],1,0)+H_Sept[[#This Row],[Fin]]</f>
        <v>0</v>
      </c>
      <c r="O4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1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0.1*(H_Sept[[#This Row],[Heures de nuit]]+IF(H_Sept[[#This Row],[majoration dim &amp; JF]]="non",0,H_Sept[[#This Row],[heures jour dimanche]]+H_Sept[[#This Row],[heures jour fériés]]))</f>
        <v>0</v>
      </c>
      <c r="J42" s="48">
        <f>(MOD(H_Sept[[#This Row],[Fin]]-H_Sept[[#This Row],[début]],1)-MOD(H_Sept[[#This Row],[PNP Fin]]-H_Sept[[#This Row],[PNP Début]],1))*24</f>
        <v>0</v>
      </c>
      <c r="K42" s="109" t="str">
        <f>IFERROR(VLOOKUP(H_Sept[[#This Row],[Service]],Codes[],4,0),"")</f>
        <v/>
      </c>
      <c r="L42" s="49">
        <f>IF(H_Sept[[#This Row],[PNP Début]]=0,0,IF(H_Sept[[#This Row],[PNP Début]]&lt;H_Sept[[#This Row],[début]],1,0)+H_Sept[[#This Row],[PNP Début]])</f>
        <v>0</v>
      </c>
      <c r="M42" s="50">
        <f>IF(H_Sept[[#This Row],[PNP Fin]]=0,0,IF(H_Sept[[#This Row],[PNP Fin]]&lt;H_Sept[[#This Row],[début]],1,0)+H_Sept[[#This Row],[PNP Fin]])</f>
        <v>0</v>
      </c>
      <c r="N42" s="50">
        <f>IF(H_Sept[[#This Row],[Fin]]&lt;H_Sept[[#This Row],[début]],1,0)+H_Sept[[#This Row],[Fin]]</f>
        <v>0</v>
      </c>
      <c r="O4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0.1*(H_Sept[[#This Row],[Heures de nuit]]+IF(H_Sept[[#This Row],[majoration dim &amp; JF]]="non",0,H_Sept[[#This Row],[heures jour dimanche]]+H_Sept[[#This Row],[heures jour fériés]]))</f>
        <v>0</v>
      </c>
      <c r="J43" s="48">
        <f>(MOD(H_Sept[[#This Row],[Fin]]-H_Sept[[#This Row],[début]],1)-MOD(H_Sept[[#This Row],[PNP Fin]]-H_Sept[[#This Row],[PNP Début]],1))*24</f>
        <v>0</v>
      </c>
      <c r="K43" s="109" t="str">
        <f>IFERROR(VLOOKUP(H_Sept[[#This Row],[Service]],Codes[],4,0),"")</f>
        <v/>
      </c>
      <c r="L43" s="49">
        <f>IF(H_Sept[[#This Row],[PNP Début]]=0,0,IF(H_Sept[[#This Row],[PNP Début]]&lt;H_Sept[[#This Row],[début]],1,0)+H_Sept[[#This Row],[PNP Début]])</f>
        <v>0</v>
      </c>
      <c r="M43" s="50">
        <f>IF(H_Sept[[#This Row],[PNP Fin]]=0,0,IF(H_Sept[[#This Row],[PNP Fin]]&lt;H_Sept[[#This Row],[début]],1,0)+H_Sept[[#This Row],[PNP Fin]])</f>
        <v>0</v>
      </c>
      <c r="N43" s="50">
        <f>IF(H_Sept[[#This Row],[Fin]]&lt;H_Sept[[#This Row],[début]],1,0)+H_Sept[[#This Row],[Fin]]</f>
        <v>0</v>
      </c>
      <c r="O4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0.1*(H_Sept[[#This Row],[Heures de nuit]]+IF(H_Sept[[#This Row],[majoration dim &amp; JF]]="non",0,H_Sept[[#This Row],[heures jour dimanche]]+H_Sept[[#This Row],[heures jour fériés]]))</f>
        <v>0</v>
      </c>
      <c r="J44" s="48">
        <f>(MOD(H_Sept[[#This Row],[Fin]]-H_Sept[[#This Row],[début]],1)-MOD(H_Sept[[#This Row],[PNP Fin]]-H_Sept[[#This Row],[PNP Début]],1))*24</f>
        <v>0</v>
      </c>
      <c r="K44" s="109" t="str">
        <f>IFERROR(VLOOKUP(H_Sept[[#This Row],[Service]],Codes[],4,0),"")</f>
        <v/>
      </c>
      <c r="L44" s="49">
        <f>IF(H_Sept[[#This Row],[PNP Début]]=0,0,IF(H_Sept[[#This Row],[PNP Début]]&lt;H_Sept[[#This Row],[début]],1,0)+H_Sept[[#This Row],[PNP Début]])</f>
        <v>0</v>
      </c>
      <c r="M44" s="50">
        <f>IF(H_Sept[[#This Row],[PNP Fin]]=0,0,IF(H_Sept[[#This Row],[PNP Fin]]&lt;H_Sept[[#This Row],[début]],1,0)+H_Sept[[#This Row],[PNP Fin]])</f>
        <v>0</v>
      </c>
      <c r="N44" s="50">
        <f>IF(H_Sept[[#This Row],[Fin]]&lt;H_Sept[[#This Row],[début]],1,0)+H_Sept[[#This Row],[Fin]]</f>
        <v>0</v>
      </c>
      <c r="O4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0.1*(H_Sept[[#This Row],[Heures de nuit]]+IF(H_Sept[[#This Row],[majoration dim &amp; JF]]="non",0,H_Sept[[#This Row],[heures jour dimanche]]+H_Sept[[#This Row],[heures jour fériés]]))</f>
        <v>0</v>
      </c>
      <c r="J45" s="48">
        <f>(MOD(H_Sept[[#This Row],[Fin]]-H_Sept[[#This Row],[début]],1)-MOD(H_Sept[[#This Row],[PNP Fin]]-H_Sept[[#This Row],[PNP Début]],1))*24</f>
        <v>0</v>
      </c>
      <c r="K45" s="109" t="str">
        <f>IFERROR(VLOOKUP(H_Sept[[#This Row],[Service]],Codes[],4,0),"")</f>
        <v/>
      </c>
      <c r="L45" s="49">
        <f>IF(H_Sept[[#This Row],[PNP Début]]=0,0,IF(H_Sept[[#This Row],[PNP Début]]&lt;H_Sept[[#This Row],[début]],1,0)+H_Sept[[#This Row],[PNP Début]])</f>
        <v>0</v>
      </c>
      <c r="M45" s="50">
        <f>IF(H_Sept[[#This Row],[PNP Fin]]=0,0,IF(H_Sept[[#This Row],[PNP Fin]]&lt;H_Sept[[#This Row],[début]],1,0)+H_Sept[[#This Row],[PNP Fin]])</f>
        <v>0</v>
      </c>
      <c r="N45" s="50">
        <f>IF(H_Sept[[#This Row],[Fin]]&lt;H_Sept[[#This Row],[début]],1,0)+H_Sept[[#This Row],[Fin]]</f>
        <v>0</v>
      </c>
      <c r="O4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0.1*(H_Sept[[#This Row],[Heures de nuit]]+IF(H_Sept[[#This Row],[majoration dim &amp; JF]]="non",0,H_Sept[[#This Row],[heures jour dimanche]]+H_Sept[[#This Row],[heures jour fériés]]))</f>
        <v>0</v>
      </c>
      <c r="J46" s="48">
        <f>(MOD(H_Sept[[#This Row],[Fin]]-H_Sept[[#This Row],[début]],1)-MOD(H_Sept[[#This Row],[PNP Fin]]-H_Sept[[#This Row],[PNP Début]],1))*24</f>
        <v>0</v>
      </c>
      <c r="K46" s="109" t="str">
        <f>IFERROR(VLOOKUP(H_Sept[[#This Row],[Service]],Codes[],4,0),"")</f>
        <v/>
      </c>
      <c r="L46" s="49">
        <f>IF(H_Sept[[#This Row],[PNP Début]]=0,0,IF(H_Sept[[#This Row],[PNP Début]]&lt;H_Sept[[#This Row],[début]],1,0)+H_Sept[[#This Row],[PNP Début]])</f>
        <v>0</v>
      </c>
      <c r="M46" s="50">
        <f>IF(H_Sept[[#This Row],[PNP Fin]]=0,0,IF(H_Sept[[#This Row],[PNP Fin]]&lt;H_Sept[[#This Row],[début]],1,0)+H_Sept[[#This Row],[PNP Fin]])</f>
        <v>0</v>
      </c>
      <c r="N46" s="50">
        <f>IF(H_Sept[[#This Row],[Fin]]&lt;H_Sept[[#This Row],[début]],1,0)+H_Sept[[#This Row],[Fin]]</f>
        <v>0</v>
      </c>
      <c r="O4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0.1*(H_Sept[[#This Row],[Heures de nuit]]+IF(H_Sept[[#This Row],[majoration dim &amp; JF]]="non",0,H_Sept[[#This Row],[heures jour dimanche]]+H_Sept[[#This Row],[heures jour fériés]]))</f>
        <v>0</v>
      </c>
      <c r="J47" s="48">
        <f>(MOD(H_Sept[[#This Row],[Fin]]-H_Sept[[#This Row],[début]],1)-MOD(H_Sept[[#This Row],[PNP Fin]]-H_Sept[[#This Row],[PNP Début]],1))*24</f>
        <v>0</v>
      </c>
      <c r="K47" s="109" t="str">
        <f>IFERROR(VLOOKUP(H_Sept[[#This Row],[Service]],Codes[],4,0),"")</f>
        <v/>
      </c>
      <c r="L47" s="49">
        <f>IF(H_Sept[[#This Row],[PNP Début]]=0,0,IF(H_Sept[[#This Row],[PNP Début]]&lt;H_Sept[[#This Row],[début]],1,0)+H_Sept[[#This Row],[PNP Début]])</f>
        <v>0</v>
      </c>
      <c r="M47" s="50">
        <f>IF(H_Sept[[#This Row],[PNP Fin]]=0,0,IF(H_Sept[[#This Row],[PNP Fin]]&lt;H_Sept[[#This Row],[début]],1,0)+H_Sept[[#This Row],[PNP Fin]])</f>
        <v>0</v>
      </c>
      <c r="N47" s="50">
        <f>IF(H_Sept[[#This Row],[Fin]]&lt;H_Sept[[#This Row],[début]],1,0)+H_Sept[[#This Row],[Fin]]</f>
        <v>0</v>
      </c>
      <c r="O4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0.1*(H_Sept[[#This Row],[Heures de nuit]]+IF(H_Sept[[#This Row],[majoration dim &amp; JF]]="non",0,H_Sept[[#This Row],[heures jour dimanche]]+H_Sept[[#This Row],[heures jour fériés]]))</f>
        <v>0</v>
      </c>
      <c r="J48" s="48">
        <f>(MOD(H_Sept[[#This Row],[Fin]]-H_Sept[[#This Row],[début]],1)-MOD(H_Sept[[#This Row],[PNP Fin]]-H_Sept[[#This Row],[PNP Début]],1))*24</f>
        <v>0</v>
      </c>
      <c r="K48" s="109" t="str">
        <f>IFERROR(VLOOKUP(H_Sept[[#This Row],[Service]],Codes[],4,0),"")</f>
        <v/>
      </c>
      <c r="L48" s="49">
        <f>IF(H_Sept[[#This Row],[PNP Début]]=0,0,IF(H_Sept[[#This Row],[PNP Début]]&lt;H_Sept[[#This Row],[début]],1,0)+H_Sept[[#This Row],[PNP Début]])</f>
        <v>0</v>
      </c>
      <c r="M48" s="50">
        <f>IF(H_Sept[[#This Row],[PNP Fin]]=0,0,IF(H_Sept[[#This Row],[PNP Fin]]&lt;H_Sept[[#This Row],[début]],1,0)+H_Sept[[#This Row],[PNP Fin]])</f>
        <v>0</v>
      </c>
      <c r="N48" s="50">
        <f>IF(H_Sept[[#This Row],[Fin]]&lt;H_Sept[[#This Row],[début]],1,0)+H_Sept[[#This Row],[Fin]]</f>
        <v>0</v>
      </c>
      <c r="O4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0.1*(H_Sept[[#This Row],[Heures de nuit]]+IF(H_Sept[[#This Row],[majoration dim &amp; JF]]="non",0,H_Sept[[#This Row],[heures jour dimanche]]+H_Sept[[#This Row],[heures jour fériés]]))</f>
        <v>0</v>
      </c>
      <c r="J49" s="48">
        <f>(MOD(H_Sept[[#This Row],[Fin]]-H_Sept[[#This Row],[début]],1)-MOD(H_Sept[[#This Row],[PNP Fin]]-H_Sept[[#This Row],[PNP Début]],1))*24</f>
        <v>0</v>
      </c>
      <c r="K49" s="109" t="str">
        <f>IFERROR(VLOOKUP(H_Sept[[#This Row],[Service]],Codes[],4,0),"")</f>
        <v/>
      </c>
      <c r="L49" s="49">
        <f>IF(H_Sept[[#This Row],[PNP Début]]=0,0,IF(H_Sept[[#This Row],[PNP Début]]&lt;H_Sept[[#This Row],[début]],1,0)+H_Sept[[#This Row],[PNP Début]])</f>
        <v>0</v>
      </c>
      <c r="M49" s="50">
        <f>IF(H_Sept[[#This Row],[PNP Fin]]=0,0,IF(H_Sept[[#This Row],[PNP Fin]]&lt;H_Sept[[#This Row],[début]],1,0)+H_Sept[[#This Row],[PNP Fin]])</f>
        <v>0</v>
      </c>
      <c r="N49" s="50">
        <f>IF(H_Sept[[#This Row],[Fin]]&lt;H_Sept[[#This Row],[début]],1,0)+H_Sept[[#This Row],[Fin]]</f>
        <v>0</v>
      </c>
      <c r="O4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SUM(H_Sept[Majoration])</f>
        <v>0</v>
      </c>
      <c r="J50" s="54">
        <f>SUM(H_Sept[Heures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10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print="0" autoLine="0" r:id="rId5">
            <anchor moveWithCells="1">
              <from>
                <xdr:col>9</xdr:col>
                <xdr:colOff>480060</xdr:colOff>
                <xdr:row>0</xdr:row>
                <xdr:rowOff>83820</xdr:rowOff>
              </from>
              <to>
                <xdr:col>9</xdr:col>
                <xdr:colOff>1264920</xdr:colOff>
                <xdr:row>3</xdr:row>
                <xdr:rowOff>198120</xdr:rowOff>
              </to>
            </anchor>
          </controlPr>
        </control>
      </mc:Choice>
      <mc:Fallback>
        <control shapeId="1228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Z60"/>
  <sheetViews>
    <sheetView zoomScale="80" zoomScaleNormal="80" zoomScalePageLayoutView="55" workbookViewId="0">
      <selection activeCell="V19" activeCellId="2" sqref="V9:W10 V15:Z16 V19:W19"/>
    </sheetView>
  </sheetViews>
  <sheetFormatPr baseColWidth="10" defaultRowHeight="14.4" x14ac:dyDescent="0.3"/>
  <cols>
    <col min="1" max="1" width="20.3320312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2.3320312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102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Octobre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14"/>
      <c r="Y9" s="116"/>
      <c r="Z9" s="114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14"/>
      <c r="Y10" s="114"/>
      <c r="Z10" s="114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14"/>
      <c r="X11" s="114"/>
      <c r="Y11" s="114"/>
      <c r="Z11" s="114"/>
    </row>
    <row r="12" spans="1:26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15"/>
      <c r="X12" s="115"/>
      <c r="Y12" s="115"/>
      <c r="Z12" s="115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0.1*(H_Oct[[#This Row],[Heures de nuit]]+IF(H_Oct[[#This Row],[majoration dim &amp; JF]]="non",0,H_Oct[[#This Row],[heures jour dimanche]]+H_Oct[[#This Row],[heures jour fériés]]))</f>
        <v>0</v>
      </c>
      <c r="J13" s="29">
        <f>(MOD(H_Oct[[#This Row],[Fin]]-H_Oct[[#This Row],[début]],1)-MOD(H_Oct[[#This Row],[PNP Fin]]-H_Oct[[#This Row],[PNP Début]],1))*24</f>
        <v>0</v>
      </c>
      <c r="K13" s="29" t="str">
        <f>IFERROR(VLOOKUP(H_Oct[[#This Row],[Service]],Codes[],4,0),"")</f>
        <v/>
      </c>
      <c r="L13" s="30">
        <f>IF(H_Oct[[#This Row],[PNP Début]]=0,0,IF(H_Oct[[#This Row],[PNP Début]]&lt;H_Oct[[#This Row],[début]],1,0)+H_Oct[[#This Row],[PNP Début]])</f>
        <v>0</v>
      </c>
      <c r="M13" s="30">
        <f>IF(H_Oct[[#This Row],[PNP Fin]]=0,0,IF(H_Oct[[#This Row],[PNP Fin]]&lt;H_Oct[[#This Row],[début]],1,0)+H_Oct[[#This Row],[PNP Fin]])</f>
        <v>0</v>
      </c>
      <c r="N13" s="30">
        <f>IF(H_Oct[[#This Row],[Fin]]&lt;H_Oct[[#This Row],[début]],1,0)+H_Oct[[#This Row],[Fin]]</f>
        <v>0</v>
      </c>
      <c r="O1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3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3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3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3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3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13" s="166"/>
      <c r="W13" s="114"/>
      <c r="X13" s="114"/>
      <c r="Y13" s="114"/>
      <c r="Z13" s="114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0.1*(H_Oct[[#This Row],[Heures de nuit]]+IF(H_Oct[[#This Row],[majoration dim &amp; JF]]="non",0,H_Oct[[#This Row],[heures jour dimanche]]+H_Oct[[#This Row],[heures jour fériés]]))</f>
        <v>0</v>
      </c>
      <c r="J14" s="29">
        <f>(MOD(H_Oct[[#This Row],[Fin]]-H_Oct[[#This Row],[début]],1)-MOD(H_Oct[[#This Row],[PNP Fin]]-H_Oct[[#This Row],[PNP Début]],1))*24</f>
        <v>0</v>
      </c>
      <c r="K14" s="29" t="str">
        <f>IFERROR(VLOOKUP(H_Oct[[#This Row],[Service]],Codes[],4,0),"")</f>
        <v/>
      </c>
      <c r="L14" s="30">
        <f>IF(H_Oct[[#This Row],[PNP Début]]=0,0,IF(H_Oct[[#This Row],[PNP Début]]&lt;H_Oct[[#This Row],[début]],1,0)+H_Oct[[#This Row],[PNP Début]])</f>
        <v>0</v>
      </c>
      <c r="M14" s="30">
        <f>IF(H_Oct[[#This Row],[PNP Fin]]=0,0,IF(H_Oct[[#This Row],[PNP Fin]]&lt;H_Oct[[#This Row],[début]],1,0)+H_Oct[[#This Row],[PNP Fin]])</f>
        <v>0</v>
      </c>
      <c r="N14" s="30">
        <f>IF(H_Oct[[#This Row],[Fin]]&lt;H_Oct[[#This Row],[début]],1,0)+H_Oct[[#This Row],[Fin]]</f>
        <v>0</v>
      </c>
      <c r="O1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4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4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4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4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4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14" s="166"/>
      <c r="W14" s="114"/>
      <c r="X14" s="114"/>
      <c r="Y14" s="114"/>
      <c r="Z14" s="114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0.1*(H_Oct[[#This Row],[Heures de nuit]]+IF(H_Oct[[#This Row],[majoration dim &amp; JF]]="non",0,H_Oct[[#This Row],[heures jour dimanche]]+H_Oct[[#This Row],[heures jour fériés]]))</f>
        <v>0</v>
      </c>
      <c r="J15" s="29">
        <f>(MOD(H_Oct[[#This Row],[Fin]]-H_Oct[[#This Row],[début]],1)-MOD(H_Oct[[#This Row],[PNP Fin]]-H_Oct[[#This Row],[PNP Début]],1))*24</f>
        <v>0</v>
      </c>
      <c r="K15" s="29" t="str">
        <f>IFERROR(VLOOKUP(H_Oct[[#This Row],[Service]],Codes[],4,0),"")</f>
        <v/>
      </c>
      <c r="L15" s="30">
        <f>IF(H_Oct[[#This Row],[PNP Début]]=0,0,IF(H_Oct[[#This Row],[PNP Début]]&lt;H_Oct[[#This Row],[début]],1,0)+H_Oct[[#This Row],[PNP Début]])</f>
        <v>0</v>
      </c>
      <c r="M15" s="30">
        <f>IF(H_Oct[[#This Row],[PNP Fin]]=0,0,IF(H_Oct[[#This Row],[PNP Fin]]&lt;H_Oct[[#This Row],[début]],1,0)+H_Oct[[#This Row],[PNP Fin]])</f>
        <v>0</v>
      </c>
      <c r="N15" s="30">
        <f>IF(H_Oct[[#This Row],[Fin]]&lt;H_Oct[[#This Row],[début]],1,0)+H_Oct[[#This Row],[Fin]]</f>
        <v>0</v>
      </c>
      <c r="O1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5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5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5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5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5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0.1*(H_Oct[[#This Row],[Heures de nuit]]+IF(H_Oct[[#This Row],[majoration dim &amp; JF]]="non",0,H_Oct[[#This Row],[heures jour dimanche]]+H_Oct[[#This Row],[heures jour fériés]]))</f>
        <v>0</v>
      </c>
      <c r="J16" s="33">
        <f>(MOD(H_Oct[[#This Row],[Fin]]-H_Oct[[#This Row],[début]],1)-MOD(H_Oct[[#This Row],[PNP Fin]]-H_Oct[[#This Row],[PNP Début]],1))*24</f>
        <v>0</v>
      </c>
      <c r="K16" s="33" t="str">
        <f>IFERROR(VLOOKUP(H_Oct[[#This Row],[Service]],Codes[],4,0),"")</f>
        <v/>
      </c>
      <c r="L16" s="30">
        <f>IF(H_Oct[[#This Row],[PNP Début]]=0,0,IF(H_Oct[[#This Row],[PNP Début]]&lt;H_Oct[[#This Row],[début]],1,0)+H_Oct[[#This Row],[PNP Début]])</f>
        <v>0</v>
      </c>
      <c r="M16" s="30">
        <f>IF(H_Oct[[#This Row],[PNP Fin]]=0,0,IF(H_Oct[[#This Row],[PNP Fin]]&lt;H_Oct[[#This Row],[début]],1,0)+H_Oct[[#This Row],[PNP Fin]])</f>
        <v>0</v>
      </c>
      <c r="N16" s="34">
        <f>IF(H_Oct[[#This Row],[Fin]]&lt;H_Oct[[#This Row],[début]],1,0)+H_Oct[[#This Row],[Fin]]</f>
        <v>0</v>
      </c>
      <c r="O1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6" s="35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6" s="35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6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6" s="3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6" s="3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16" s="176" t="s">
        <v>128</v>
      </c>
      <c r="W16" s="177">
        <f>'Septembre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3" x14ac:dyDescent="0.3">
      <c r="A17" s="4"/>
      <c r="B17" s="1"/>
      <c r="C17" s="2"/>
      <c r="D17" s="2"/>
      <c r="E17" s="3"/>
      <c r="F17" s="3"/>
      <c r="G17" s="9"/>
      <c r="H17" s="9"/>
      <c r="I17" s="37">
        <f>0.1*(H_Oct[[#This Row],[Heures de nuit]]+IF(H_Oct[[#This Row],[majoration dim &amp; JF]]="non",0,H_Oct[[#This Row],[heures jour dimanche]]+H_Oct[[#This Row],[heures jour fériés]]))</f>
        <v>0</v>
      </c>
      <c r="J17" s="38">
        <f>(MOD(H_Oct[[#This Row],[Fin]]-H_Oct[[#This Row],[début]],1)-MOD(H_Oct[[#This Row],[PNP Fin]]-H_Oct[[#This Row],[PNP Début]],1))*24</f>
        <v>0</v>
      </c>
      <c r="K17" s="112" t="str">
        <f>IFERROR(VLOOKUP(H_Oct[[#This Row],[Service]],Codes[],4,0),"")</f>
        <v/>
      </c>
      <c r="L17" s="39">
        <f>IF(H_Oct[[#This Row],[PNP Début]]=0,0,IF(H_Oct[[#This Row],[PNP Début]]&lt;H_Oct[[#This Row],[début]],1,0)+H_Oct[[#This Row],[PNP Début]])</f>
        <v>0</v>
      </c>
      <c r="M17" s="40">
        <f>IF(H_Oct[[#This Row],[PNP Fin]]=0,0,IF(H_Oct[[#This Row],[PNP Fin]]&lt;H_Oct[[#This Row],[début]],1,0)+H_Oct[[#This Row],[PNP Fin]])</f>
        <v>0</v>
      </c>
      <c r="N17" s="40">
        <f>IF(H_Oct[[#This Row],[Fin]]&lt;H_Oct[[#This Row],[début]],1,0)+H_Oct[[#This Row],[Fin]]</f>
        <v>0</v>
      </c>
      <c r="O1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7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7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7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7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7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17" s="163"/>
    </row>
    <row r="18" spans="1:23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0.1*(H_Oct[[#This Row],[Heures de nuit]]+IF(H_Oct[[#This Row],[majoration dim &amp; JF]]="non",0,H_Oct[[#This Row],[heures jour dimanche]]+H_Oct[[#This Row],[heures jour fériés]]))</f>
        <v>0</v>
      </c>
      <c r="J18" s="38">
        <f>(MOD(H_Oct[[#This Row],[Fin]]-H_Oct[[#This Row],[début]],1)-MOD(H_Oct[[#This Row],[PNP Fin]]-H_Oct[[#This Row],[PNP Début]],1))*24</f>
        <v>0</v>
      </c>
      <c r="K18" s="112" t="str">
        <f>IFERROR(VLOOKUP(H_Oct[[#This Row],[Service]],Codes[],4,0),"")</f>
        <v/>
      </c>
      <c r="L18" s="39">
        <f>IF(H_Oct[[#This Row],[PNP Début]]=0,0,IF(H_Oct[[#This Row],[PNP Début]]&lt;H_Oct[[#This Row],[début]],1,0)+H_Oct[[#This Row],[PNP Début]])</f>
        <v>0</v>
      </c>
      <c r="M18" s="40">
        <f>IF(H_Oct[[#This Row],[PNP Fin]]=0,0,IF(H_Oct[[#This Row],[PNP Fin]]&lt;H_Oct[[#This Row],[début]],1,0)+H_Oct[[#This Row],[PNP Fin]])</f>
        <v>0</v>
      </c>
      <c r="N18" s="40">
        <f>IF(H_Oct[[#This Row],[Fin]]&lt;H_Oct[[#This Row],[début]],1,0)+H_Oct[[#This Row],[Fin]]</f>
        <v>0</v>
      </c>
      <c r="O1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8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8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8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8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8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18" s="163"/>
    </row>
    <row r="19" spans="1:23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0.1*(H_Oct[[#This Row],[Heures de nuit]]+IF(H_Oct[[#This Row],[majoration dim &amp; JF]]="non",0,H_Oct[[#This Row],[heures jour dimanche]]+H_Oct[[#This Row],[heures jour fériés]]))</f>
        <v>0</v>
      </c>
      <c r="J19" s="38">
        <f>(MOD(H_Oct[[#This Row],[Fin]]-H_Oct[[#This Row],[début]],1)-MOD(H_Oct[[#This Row],[PNP Fin]]-H_Oct[[#This Row],[PNP Début]],1))*24</f>
        <v>0</v>
      </c>
      <c r="K19" s="112" t="str">
        <f>IFERROR(VLOOKUP(H_Oct[[#This Row],[Service]],Codes[],4,0),"")</f>
        <v/>
      </c>
      <c r="L19" s="39">
        <f>IF(H_Oct[[#This Row],[PNP Début]]=0,0,IF(H_Oct[[#This Row],[PNP Début]]&lt;H_Oct[[#This Row],[début]],1,0)+H_Oct[[#This Row],[PNP Début]])</f>
        <v>0</v>
      </c>
      <c r="M19" s="40">
        <f>IF(H_Oct[[#This Row],[PNP Fin]]=0,0,IF(H_Oct[[#This Row],[PNP Fin]]&lt;H_Oct[[#This Row],[début]],1,0)+H_Oct[[#This Row],[PNP Fin]])</f>
        <v>0</v>
      </c>
      <c r="N19" s="40">
        <f>IF(H_Oct[[#This Row],[Fin]]&lt;H_Oct[[#This Row],[début]],1,0)+H_Oct[[#This Row],[Fin]]</f>
        <v>0</v>
      </c>
      <c r="O1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9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9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9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9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9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</row>
    <row r="20" spans="1:23" ht="15" thickBot="1" x14ac:dyDescent="0.35">
      <c r="A20" s="4"/>
      <c r="B20" s="1"/>
      <c r="C20" s="2"/>
      <c r="D20" s="2"/>
      <c r="E20" s="9"/>
      <c r="F20" s="9"/>
      <c r="G20" s="9"/>
      <c r="H20" s="9"/>
      <c r="I20" s="37">
        <f>0.1*(H_Oct[[#This Row],[Heures de nuit]]+IF(H_Oct[[#This Row],[majoration dim &amp; JF]]="non",0,H_Oct[[#This Row],[heures jour dimanche]]+H_Oct[[#This Row],[heures jour fériés]]))</f>
        <v>0</v>
      </c>
      <c r="J20" s="38">
        <f>(MOD(H_Oct[[#This Row],[Fin]]-H_Oct[[#This Row],[début]],1)-MOD(H_Oct[[#This Row],[PNP Fin]]-H_Oct[[#This Row],[PNP Début]],1))*24</f>
        <v>0</v>
      </c>
      <c r="K20" s="112" t="str">
        <f>IFERROR(VLOOKUP(H_Oct[[#This Row],[Service]],Codes[],4,0),"")</f>
        <v/>
      </c>
      <c r="L20" s="39">
        <f>IF(H_Oct[[#This Row],[PNP Début]]=0,0,IF(H_Oct[[#This Row],[PNP Début]]&lt;H_Oct[[#This Row],[début]],1,0)+H_Oct[[#This Row],[PNP Début]])</f>
        <v>0</v>
      </c>
      <c r="M20" s="40">
        <f>IF(H_Oct[[#This Row],[PNP Fin]]=0,0,IF(H_Oct[[#This Row],[PNP Fin]]&lt;H_Oct[[#This Row],[début]],1,0)+H_Oct[[#This Row],[PNP Fin]])</f>
        <v>0</v>
      </c>
      <c r="N20" s="40">
        <f>IF(H_Oct[[#This Row],[Fin]]&lt;H_Oct[[#This Row],[début]],1,0)+H_Oct[[#This Row],[Fin]]</f>
        <v>0</v>
      </c>
      <c r="O2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0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0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0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0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0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20" s="163"/>
    </row>
    <row r="21" spans="1:23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0.1*(H_Oct[[#This Row],[Heures de nuit]]+IF(H_Oct[[#This Row],[majoration dim &amp; JF]]="non",0,H_Oct[[#This Row],[heures jour dimanche]]+H_Oct[[#This Row],[heures jour fériés]]))</f>
        <v>0</v>
      </c>
      <c r="J21" s="43">
        <f>(MOD(H_Oct[[#This Row],[Fin]]-H_Oct[[#This Row],[début]],1)-MOD(H_Oct[[#This Row],[PNP Fin]]-H_Oct[[#This Row],[PNP Début]],1))*24</f>
        <v>0</v>
      </c>
      <c r="K21" s="113" t="str">
        <f>IFERROR(VLOOKUP(H_Oct[[#This Row],[Service]],Codes[],4,0),"")</f>
        <v/>
      </c>
      <c r="L21" s="44">
        <f>IF(H_Oct[[#This Row],[PNP Début]]=0,0,IF(H_Oct[[#This Row],[PNP Début]]&lt;H_Oct[[#This Row],[début]],1,0)+H_Oct[[#This Row],[PNP Début]])</f>
        <v>0</v>
      </c>
      <c r="M21" s="45">
        <f>IF(H_Oct[[#This Row],[PNP Fin]]=0,0,IF(H_Oct[[#This Row],[PNP Fin]]&lt;H_Oct[[#This Row],[début]],1,0)+H_Oct[[#This Row],[PNP Fin]])</f>
        <v>0</v>
      </c>
      <c r="N21" s="45">
        <f>IF(H_Oct[[#This Row],[Fin]]&lt;H_Oct[[#This Row],[début]],1,0)+H_Oct[[#This Row],[Fin]]</f>
        <v>0</v>
      </c>
      <c r="O2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1" s="46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1" s="46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1" s="46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1" s="4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1" s="4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21" s="164" t="s">
        <v>167</v>
      </c>
      <c r="W21" s="162">
        <f>COUNTIF(B13:B49,"*récuperations*")</f>
        <v>0</v>
      </c>
    </row>
    <row r="22" spans="1:23" ht="15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0.1*(H_Oct[[#This Row],[Heures de nuit]]+IF(H_Oct[[#This Row],[majoration dim &amp; JF]]="non",0,H_Oct[[#This Row],[heures jour dimanche]]+H_Oct[[#This Row],[heures jour fériés]]))</f>
        <v>0</v>
      </c>
      <c r="J22" s="48">
        <f>(MOD(H_Oct[[#This Row],[Fin]]-H_Oct[[#This Row],[début]],1)-MOD(H_Oct[[#This Row],[PNP Fin]]-H_Oct[[#This Row],[PNP Début]],1))*24</f>
        <v>0</v>
      </c>
      <c r="K22" s="109" t="str">
        <f>IFERROR(VLOOKUP(H_Oct[[#This Row],[Service]],Codes[],4,0),"")</f>
        <v/>
      </c>
      <c r="L22" s="49">
        <f>IF(H_Oct[[#This Row],[PNP Début]]=0,0,IF(H_Oct[[#This Row],[PNP Début]]&lt;H_Oct[[#This Row],[début]],1,0)+H_Oct[[#This Row],[PNP Début]])</f>
        <v>0</v>
      </c>
      <c r="M22" s="50">
        <f>IF(H_Oct[[#This Row],[PNP Fin]]=0,0,IF(H_Oct[[#This Row],[PNP Fin]]&lt;H_Oct[[#This Row],[début]],1,0)+H_Oct[[#This Row],[PNP Fin]])</f>
        <v>0</v>
      </c>
      <c r="N22" s="50">
        <f>IF(H_Oct[[#This Row],[Fin]]&lt;H_Oct[[#This Row],[début]],1,0)+H_Oct[[#This Row],[Fin]]</f>
        <v>0</v>
      </c>
      <c r="O2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22" s="165"/>
    </row>
    <row r="23" spans="1:23" ht="15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0.1*(H_Oct[[#This Row],[Heures de nuit]]+IF(H_Oct[[#This Row],[majoration dim &amp; JF]]="non",0,H_Oct[[#This Row],[heures jour dimanche]]+H_Oct[[#This Row],[heures jour fériés]]))</f>
        <v>0</v>
      </c>
      <c r="J23" s="48">
        <f>(MOD(H_Oct[[#This Row],[Fin]]-H_Oct[[#This Row],[début]],1)-MOD(H_Oct[[#This Row],[PNP Fin]]-H_Oct[[#This Row],[PNP Début]],1))*24</f>
        <v>0</v>
      </c>
      <c r="K23" s="109" t="str">
        <f>IFERROR(VLOOKUP(H_Oct[[#This Row],[Service]],Codes[],4,0),"")</f>
        <v/>
      </c>
      <c r="L23" s="49">
        <f>IF(H_Oct[[#This Row],[PNP Début]]=0,0,IF(H_Oct[[#This Row],[PNP Début]]&lt;H_Oct[[#This Row],[début]],1,0)+H_Oct[[#This Row],[PNP Début]])</f>
        <v>0</v>
      </c>
      <c r="M23" s="50">
        <f>IF(H_Oct[[#This Row],[PNP Fin]]=0,0,IF(H_Oct[[#This Row],[PNP Fin]]&lt;H_Oct[[#This Row],[début]],1,0)+H_Oct[[#This Row],[PNP Fin]])</f>
        <v>0</v>
      </c>
      <c r="N23" s="50">
        <f>IF(H_Oct[[#This Row],[Fin]]&lt;H_Oct[[#This Row],[début]],1,0)+H_Oct[[#This Row],[Fin]]</f>
        <v>0</v>
      </c>
      <c r="O2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  <c r="V23" s="164" t="s">
        <v>168</v>
      </c>
      <c r="W23" s="162">
        <f>COUNTIF(B13:B49,"*CCT*")</f>
        <v>0</v>
      </c>
    </row>
    <row r="24" spans="1:23" x14ac:dyDescent="0.3">
      <c r="A24" s="4"/>
      <c r="B24" s="1"/>
      <c r="C24" s="2"/>
      <c r="D24" s="2"/>
      <c r="E24" s="3"/>
      <c r="F24" s="3"/>
      <c r="G24" s="3"/>
      <c r="H24" s="3"/>
      <c r="I24" s="47">
        <f>0.1*(H_Oct[[#This Row],[Heures de nuit]]+IF(H_Oct[[#This Row],[majoration dim &amp; JF]]="non",0,H_Oct[[#This Row],[heures jour dimanche]]+H_Oct[[#This Row],[heures jour fériés]]))</f>
        <v>0</v>
      </c>
      <c r="J24" s="48">
        <f>(MOD(H_Oct[[#This Row],[Fin]]-H_Oct[[#This Row],[début]],1)-MOD(H_Oct[[#This Row],[PNP Fin]]-H_Oct[[#This Row],[PNP Début]],1))*24</f>
        <v>0</v>
      </c>
      <c r="K24" s="109" t="str">
        <f>IFERROR(VLOOKUP(H_Oct[[#This Row],[Service]],Codes[],4,0),"")</f>
        <v/>
      </c>
      <c r="L24" s="49">
        <f>IF(H_Oct[[#This Row],[PNP Début]]=0,0,IF(H_Oct[[#This Row],[PNP Début]]&lt;H_Oct[[#This Row],[début]],1,0)+H_Oct[[#This Row],[PNP Début]])</f>
        <v>0</v>
      </c>
      <c r="M24" s="50">
        <f>IF(H_Oct[[#This Row],[PNP Fin]]=0,0,IF(H_Oct[[#This Row],[PNP Fin]]&lt;H_Oct[[#This Row],[début]],1,0)+H_Oct[[#This Row],[PNP Fin]])</f>
        <v>0</v>
      </c>
      <c r="N24" s="50">
        <f>IF(H_Oct[[#This Row],[Fin]]&lt;H_Oct[[#This Row],[début]],1,0)+H_Oct[[#This Row],[Fin]]</f>
        <v>0</v>
      </c>
      <c r="O2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5" spans="1:23" x14ac:dyDescent="0.3">
      <c r="A25" s="4"/>
      <c r="B25" s="1"/>
      <c r="C25" s="2"/>
      <c r="D25" s="2"/>
      <c r="E25" s="3"/>
      <c r="F25" s="3"/>
      <c r="G25" s="3"/>
      <c r="H25" s="3"/>
      <c r="I25" s="47">
        <f>0.1*(H_Oct[[#This Row],[Heures de nuit]]+IF(H_Oct[[#This Row],[majoration dim &amp; JF]]="non",0,H_Oct[[#This Row],[heures jour dimanche]]+H_Oct[[#This Row],[heures jour fériés]]))</f>
        <v>0</v>
      </c>
      <c r="J25" s="48">
        <f>(MOD(H_Oct[[#This Row],[Fin]]-H_Oct[[#This Row],[début]],1)-MOD(H_Oct[[#This Row],[PNP Fin]]-H_Oct[[#This Row],[PNP Début]],1))*24</f>
        <v>0</v>
      </c>
      <c r="K25" s="109" t="str">
        <f>IFERROR(VLOOKUP(H_Oct[[#This Row],[Service]],Codes[],4,0),"")</f>
        <v/>
      </c>
      <c r="L25" s="49">
        <f>IF(H_Oct[[#This Row],[PNP Début]]=0,0,IF(H_Oct[[#This Row],[PNP Début]]&lt;H_Oct[[#This Row],[début]],1,0)+H_Oct[[#This Row],[PNP Début]])</f>
        <v>0</v>
      </c>
      <c r="M25" s="50">
        <f>IF(H_Oct[[#This Row],[PNP Fin]]=0,0,IF(H_Oct[[#This Row],[PNP Fin]]&lt;H_Oct[[#This Row],[début]],1,0)+H_Oct[[#This Row],[PNP Fin]])</f>
        <v>0</v>
      </c>
      <c r="N25" s="50">
        <f>IF(H_Oct[[#This Row],[Fin]]&lt;H_Oct[[#This Row],[début]],1,0)+H_Oct[[#This Row],[Fin]]</f>
        <v>0</v>
      </c>
      <c r="O2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6" spans="1:23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0.1*(H_Oct[[#This Row],[Heures de nuit]]+IF(H_Oct[[#This Row],[majoration dim &amp; JF]]="non",0,H_Oct[[#This Row],[heures jour dimanche]]+H_Oct[[#This Row],[heures jour fériés]]))</f>
        <v>0</v>
      </c>
      <c r="J26" s="48">
        <f>(MOD(H_Oct[[#This Row],[Fin]]-H_Oct[[#This Row],[début]],1)-MOD(H_Oct[[#This Row],[PNP Fin]]-H_Oct[[#This Row],[PNP Début]],1))*24</f>
        <v>0</v>
      </c>
      <c r="K26" s="109" t="str">
        <f>IFERROR(VLOOKUP(H_Oct[[#This Row],[Service]],Codes[],4,0),"")</f>
        <v/>
      </c>
      <c r="L26" s="49">
        <f>IF(H_Oct[[#This Row],[PNP Début]]=0,0,IF(H_Oct[[#This Row],[PNP Début]]&lt;H_Oct[[#This Row],[début]],1,0)+H_Oct[[#This Row],[PNP Début]])</f>
        <v>0</v>
      </c>
      <c r="M26" s="50">
        <f>IF(H_Oct[[#This Row],[PNP Fin]]=0,0,IF(H_Oct[[#This Row],[PNP Fin]]&lt;H_Oct[[#This Row],[début]],1,0)+H_Oct[[#This Row],[PNP Fin]])</f>
        <v>0</v>
      </c>
      <c r="N26" s="50">
        <f>IF(H_Oct[[#This Row],[Fin]]&lt;H_Oct[[#This Row],[début]],1,0)+H_Oct[[#This Row],[Fin]]</f>
        <v>0</v>
      </c>
      <c r="O2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7" spans="1:23" x14ac:dyDescent="0.3">
      <c r="A27" s="4"/>
      <c r="B27" s="1"/>
      <c r="C27" s="2"/>
      <c r="D27" s="2"/>
      <c r="E27" s="3"/>
      <c r="F27" s="3"/>
      <c r="G27" s="3"/>
      <c r="H27" s="3"/>
      <c r="I27" s="47">
        <f>0.1*(H_Oct[[#This Row],[Heures de nuit]]+IF(H_Oct[[#This Row],[majoration dim &amp; JF]]="non",0,H_Oct[[#This Row],[heures jour dimanche]]+H_Oct[[#This Row],[heures jour fériés]]))</f>
        <v>0</v>
      </c>
      <c r="J27" s="48">
        <f>(MOD(H_Oct[[#This Row],[Fin]]-H_Oct[[#This Row],[début]],1)-MOD(H_Oct[[#This Row],[PNP Fin]]-H_Oct[[#This Row],[PNP Début]],1))*24</f>
        <v>0</v>
      </c>
      <c r="K27" s="109" t="str">
        <f>IFERROR(VLOOKUP(H_Oct[[#This Row],[Service]],Codes[],4,0),"")</f>
        <v/>
      </c>
      <c r="L27" s="49">
        <f>IF(H_Oct[[#This Row],[PNP Début]]=0,0,IF(H_Oct[[#This Row],[PNP Début]]&lt;H_Oct[[#This Row],[début]],1,0)+H_Oct[[#This Row],[PNP Début]])</f>
        <v>0</v>
      </c>
      <c r="M27" s="50">
        <f>IF(H_Oct[[#This Row],[PNP Fin]]=0,0,IF(H_Oct[[#This Row],[PNP Fin]]&lt;H_Oct[[#This Row],[début]],1,0)+H_Oct[[#This Row],[PNP Fin]])</f>
        <v>0</v>
      </c>
      <c r="N27" s="50">
        <f>IF(H_Oct[[#This Row],[Fin]]&lt;H_Oct[[#This Row],[début]],1,0)+H_Oct[[#This Row],[Fin]]</f>
        <v>0</v>
      </c>
      <c r="O2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8" spans="1:23" x14ac:dyDescent="0.3">
      <c r="A28" s="4"/>
      <c r="B28" s="1"/>
      <c r="C28" s="2"/>
      <c r="D28" s="2"/>
      <c r="E28" s="3"/>
      <c r="F28" s="3"/>
      <c r="G28" s="3"/>
      <c r="H28" s="3"/>
      <c r="I28" s="47">
        <f>0.1*(H_Oct[[#This Row],[Heures de nuit]]+IF(H_Oct[[#This Row],[majoration dim &amp; JF]]="non",0,H_Oct[[#This Row],[heures jour dimanche]]+H_Oct[[#This Row],[heures jour fériés]]))</f>
        <v>0</v>
      </c>
      <c r="J28" s="48">
        <f>(MOD(H_Oct[[#This Row],[Fin]]-H_Oct[[#This Row],[début]],1)-MOD(H_Oct[[#This Row],[PNP Fin]]-H_Oct[[#This Row],[PNP Début]],1))*24</f>
        <v>0</v>
      </c>
      <c r="K28" s="109" t="str">
        <f>IFERROR(VLOOKUP(H_Oct[[#This Row],[Service]],Codes[],4,0),"")</f>
        <v/>
      </c>
      <c r="L28" s="49">
        <f>IF(H_Oct[[#This Row],[PNP Début]]=0,0,IF(H_Oct[[#This Row],[PNP Début]]&lt;H_Oct[[#This Row],[début]],1,0)+H_Oct[[#This Row],[PNP Début]])</f>
        <v>0</v>
      </c>
      <c r="M28" s="50">
        <f>IF(H_Oct[[#This Row],[PNP Fin]]=0,0,IF(H_Oct[[#This Row],[PNP Fin]]&lt;H_Oct[[#This Row],[début]],1,0)+H_Oct[[#This Row],[PNP Fin]])</f>
        <v>0</v>
      </c>
      <c r="N28" s="50">
        <f>IF(H_Oct[[#This Row],[Fin]]&lt;H_Oct[[#This Row],[début]],1,0)+H_Oct[[#This Row],[Fin]]</f>
        <v>0</v>
      </c>
      <c r="O2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9" spans="1:23" x14ac:dyDescent="0.3">
      <c r="A29" s="4"/>
      <c r="B29" s="1"/>
      <c r="C29" s="2"/>
      <c r="D29" s="2"/>
      <c r="E29" s="3"/>
      <c r="F29" s="3"/>
      <c r="G29" s="3"/>
      <c r="H29" s="3"/>
      <c r="I29" s="47">
        <f>0.1*(H_Oct[[#This Row],[Heures de nuit]]+IF(H_Oct[[#This Row],[majoration dim &amp; JF]]="non",0,H_Oct[[#This Row],[heures jour dimanche]]+H_Oct[[#This Row],[heures jour fériés]]))</f>
        <v>0</v>
      </c>
      <c r="J29" s="48">
        <f>(MOD(H_Oct[[#This Row],[Fin]]-H_Oct[[#This Row],[début]],1)-MOD(H_Oct[[#This Row],[PNP Fin]]-H_Oct[[#This Row],[PNP Début]],1))*24</f>
        <v>0</v>
      </c>
      <c r="K29" s="109" t="str">
        <f>IFERROR(VLOOKUP(H_Oct[[#This Row],[Service]],Codes[],4,0),"")</f>
        <v/>
      </c>
      <c r="L29" s="49">
        <f>IF(H_Oct[[#This Row],[PNP Début]]=0,0,IF(H_Oct[[#This Row],[PNP Début]]&lt;H_Oct[[#This Row],[début]],1,0)+H_Oct[[#This Row],[PNP Début]])</f>
        <v>0</v>
      </c>
      <c r="M29" s="50">
        <f>IF(H_Oct[[#This Row],[PNP Fin]]=0,0,IF(H_Oct[[#This Row],[PNP Fin]]&lt;H_Oct[[#This Row],[début]],1,0)+H_Oct[[#This Row],[PNP Fin]])</f>
        <v>0</v>
      </c>
      <c r="N29" s="50">
        <f>IF(H_Oct[[#This Row],[Fin]]&lt;H_Oct[[#This Row],[début]],1,0)+H_Oct[[#This Row],[Fin]]</f>
        <v>0</v>
      </c>
      <c r="O2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0" spans="1:23" x14ac:dyDescent="0.3">
      <c r="A30" s="4"/>
      <c r="B30" s="1"/>
      <c r="C30" s="2"/>
      <c r="D30" s="2"/>
      <c r="E30" s="3"/>
      <c r="F30" s="3"/>
      <c r="G30" s="3"/>
      <c r="H30" s="3"/>
      <c r="I30" s="47">
        <f>0.1*(H_Oct[[#This Row],[Heures de nuit]]+IF(H_Oct[[#This Row],[majoration dim &amp; JF]]="non",0,H_Oct[[#This Row],[heures jour dimanche]]+H_Oct[[#This Row],[heures jour fériés]]))</f>
        <v>0</v>
      </c>
      <c r="J30" s="48">
        <f>(MOD(H_Oct[[#This Row],[Fin]]-H_Oct[[#This Row],[début]],1)-MOD(H_Oct[[#This Row],[PNP Fin]]-H_Oct[[#This Row],[PNP Début]],1))*24</f>
        <v>0</v>
      </c>
      <c r="K30" s="109" t="str">
        <f>IFERROR(VLOOKUP(H_Oct[[#This Row],[Service]],Codes[],4,0),"")</f>
        <v/>
      </c>
      <c r="L30" s="49">
        <f>IF(H_Oct[[#This Row],[PNP Début]]=0,0,IF(H_Oct[[#This Row],[PNP Début]]&lt;H_Oct[[#This Row],[début]],1,0)+H_Oct[[#This Row],[PNP Début]])</f>
        <v>0</v>
      </c>
      <c r="M30" s="50">
        <f>IF(H_Oct[[#This Row],[PNP Fin]]=0,0,IF(H_Oct[[#This Row],[PNP Fin]]&lt;H_Oct[[#This Row],[début]],1,0)+H_Oct[[#This Row],[PNP Fin]])</f>
        <v>0</v>
      </c>
      <c r="N30" s="50">
        <f>IF(H_Oct[[#This Row],[Fin]]&lt;H_Oct[[#This Row],[début]],1,0)+H_Oct[[#This Row],[Fin]]</f>
        <v>0</v>
      </c>
      <c r="O3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0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1" spans="1:23" x14ac:dyDescent="0.3">
      <c r="A31" s="4"/>
      <c r="B31" s="1"/>
      <c r="C31" s="2"/>
      <c r="D31" s="2"/>
      <c r="E31" s="3"/>
      <c r="F31" s="3"/>
      <c r="G31" s="3"/>
      <c r="H31" s="3"/>
      <c r="I31" s="47">
        <f>0.1*(H_Oct[[#This Row],[Heures de nuit]]+IF(H_Oct[[#This Row],[majoration dim &amp; JF]]="non",0,H_Oct[[#This Row],[heures jour dimanche]]+H_Oct[[#This Row],[heures jour fériés]]))</f>
        <v>0</v>
      </c>
      <c r="J31" s="48">
        <f>(MOD(H_Oct[[#This Row],[Fin]]-H_Oct[[#This Row],[début]],1)-MOD(H_Oct[[#This Row],[PNP Fin]]-H_Oct[[#This Row],[PNP Début]],1))*24</f>
        <v>0</v>
      </c>
      <c r="K31" s="109" t="str">
        <f>IFERROR(VLOOKUP(H_Oct[[#This Row],[Service]],Codes[],4,0),"")</f>
        <v/>
      </c>
      <c r="L31" s="49">
        <f>IF(H_Oct[[#This Row],[PNP Début]]=0,0,IF(H_Oct[[#This Row],[PNP Début]]&lt;H_Oct[[#This Row],[début]],1,0)+H_Oct[[#This Row],[PNP Début]])</f>
        <v>0</v>
      </c>
      <c r="M31" s="50">
        <f>IF(H_Oct[[#This Row],[PNP Fin]]=0,0,IF(H_Oct[[#This Row],[PNP Fin]]&lt;H_Oct[[#This Row],[début]],1,0)+H_Oct[[#This Row],[PNP Fin]])</f>
        <v>0</v>
      </c>
      <c r="N31" s="50">
        <f>IF(H_Oct[[#This Row],[Fin]]&lt;H_Oct[[#This Row],[début]],1,0)+H_Oct[[#This Row],[Fin]]</f>
        <v>0</v>
      </c>
      <c r="O3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1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2" spans="1:23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0.1*(H_Oct[[#This Row],[Heures de nuit]]+IF(H_Oct[[#This Row],[majoration dim &amp; JF]]="non",0,H_Oct[[#This Row],[heures jour dimanche]]+H_Oct[[#This Row],[heures jour fériés]]))</f>
        <v>0</v>
      </c>
      <c r="J32" s="48">
        <f>(MOD(H_Oct[[#This Row],[Fin]]-H_Oct[[#This Row],[début]],1)-MOD(H_Oct[[#This Row],[PNP Fin]]-H_Oct[[#This Row],[PNP Début]],1))*24</f>
        <v>0</v>
      </c>
      <c r="K32" s="109" t="str">
        <f>IFERROR(VLOOKUP(H_Oct[[#This Row],[Service]],Codes[],4,0),"")</f>
        <v/>
      </c>
      <c r="L32" s="49">
        <f>IF(H_Oct[[#This Row],[PNP Début]]=0,0,IF(H_Oct[[#This Row],[PNP Début]]&lt;H_Oct[[#This Row],[début]],1,0)+H_Oct[[#This Row],[PNP Début]])</f>
        <v>0</v>
      </c>
      <c r="M32" s="50">
        <f>IF(H_Oct[[#This Row],[PNP Fin]]=0,0,IF(H_Oct[[#This Row],[PNP Fin]]&lt;H_Oct[[#This Row],[début]],1,0)+H_Oct[[#This Row],[PNP Fin]])</f>
        <v>0</v>
      </c>
      <c r="N32" s="50">
        <f>IF(H_Oct[[#This Row],[Fin]]&lt;H_Oct[[#This Row],[début]],1,0)+H_Oct[[#This Row],[Fin]]</f>
        <v>0</v>
      </c>
      <c r="O3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0.1*(H_Oct[[#This Row],[Heures de nuit]]+IF(H_Oct[[#This Row],[majoration dim &amp; JF]]="non",0,H_Oct[[#This Row],[heures jour dimanche]]+H_Oct[[#This Row],[heures jour fériés]]))</f>
        <v>0</v>
      </c>
      <c r="J33" s="48">
        <f>(MOD(H_Oct[[#This Row],[Fin]]-H_Oct[[#This Row],[début]],1)-MOD(H_Oct[[#This Row],[PNP Fin]]-H_Oct[[#This Row],[PNP Début]],1))*24</f>
        <v>0</v>
      </c>
      <c r="K33" s="109" t="str">
        <f>IFERROR(VLOOKUP(H_Oct[[#This Row],[Service]],Codes[],4,0),"")</f>
        <v/>
      </c>
      <c r="L33" s="49">
        <f>IF(H_Oct[[#This Row],[PNP Début]]=0,0,IF(H_Oct[[#This Row],[PNP Début]]&lt;H_Oct[[#This Row],[début]],1,0)+H_Oct[[#This Row],[PNP Début]])</f>
        <v>0</v>
      </c>
      <c r="M33" s="50">
        <f>IF(H_Oct[[#This Row],[PNP Fin]]=0,0,IF(H_Oct[[#This Row],[PNP Fin]]&lt;H_Oct[[#This Row],[début]],1,0)+H_Oct[[#This Row],[PNP Fin]])</f>
        <v>0</v>
      </c>
      <c r="N33" s="50">
        <f>IF(H_Oct[[#This Row],[Fin]]&lt;H_Oct[[#This Row],[début]],1,0)+H_Oct[[#This Row],[Fin]]</f>
        <v>0</v>
      </c>
      <c r="O3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0.1*(H_Oct[[#This Row],[Heures de nuit]]+IF(H_Oct[[#This Row],[majoration dim &amp; JF]]="non",0,H_Oct[[#This Row],[heures jour dimanche]]+H_Oct[[#This Row],[heures jour fériés]]))</f>
        <v>0</v>
      </c>
      <c r="J34" s="48">
        <f>(MOD(H_Oct[[#This Row],[Fin]]-H_Oct[[#This Row],[début]],1)-MOD(H_Oct[[#This Row],[PNP Fin]]-H_Oct[[#This Row],[PNP Début]],1))*24</f>
        <v>0</v>
      </c>
      <c r="K34" s="109" t="str">
        <f>IFERROR(VLOOKUP(H_Oct[[#This Row],[Service]],Codes[],4,0),"")</f>
        <v/>
      </c>
      <c r="L34" s="49">
        <f>IF(H_Oct[[#This Row],[PNP Début]]=0,0,IF(H_Oct[[#This Row],[PNP Début]]&lt;H_Oct[[#This Row],[début]],1,0)+H_Oct[[#This Row],[PNP Début]])</f>
        <v>0</v>
      </c>
      <c r="M34" s="50">
        <f>IF(H_Oct[[#This Row],[PNP Fin]]=0,0,IF(H_Oct[[#This Row],[PNP Fin]]&lt;H_Oct[[#This Row],[début]],1,0)+H_Oct[[#This Row],[PNP Fin]])</f>
        <v>0</v>
      </c>
      <c r="N34" s="50">
        <f>IF(H_Oct[[#This Row],[Fin]]&lt;H_Oct[[#This Row],[début]],1,0)+H_Oct[[#This Row],[Fin]]</f>
        <v>0</v>
      </c>
      <c r="O3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0.1*(H_Oct[[#This Row],[Heures de nuit]]+IF(H_Oct[[#This Row],[majoration dim &amp; JF]]="non",0,H_Oct[[#This Row],[heures jour dimanche]]+H_Oct[[#This Row],[heures jour fériés]]))</f>
        <v>0</v>
      </c>
      <c r="J35" s="48">
        <f>(MOD(H_Oct[[#This Row],[Fin]]-H_Oct[[#This Row],[début]],1)-MOD(H_Oct[[#This Row],[PNP Fin]]-H_Oct[[#This Row],[PNP Début]],1))*24</f>
        <v>0</v>
      </c>
      <c r="K35" s="109" t="str">
        <f>IFERROR(VLOOKUP(H_Oct[[#This Row],[Service]],Codes[],4,0),"")</f>
        <v/>
      </c>
      <c r="L35" s="49">
        <f>IF(H_Oct[[#This Row],[PNP Début]]=0,0,IF(H_Oct[[#This Row],[PNP Début]]&lt;H_Oct[[#This Row],[début]],1,0)+H_Oct[[#This Row],[PNP Début]])</f>
        <v>0</v>
      </c>
      <c r="M35" s="50">
        <f>IF(H_Oct[[#This Row],[PNP Fin]]=0,0,IF(H_Oct[[#This Row],[PNP Fin]]&lt;H_Oct[[#This Row],[début]],1,0)+H_Oct[[#This Row],[PNP Fin]])</f>
        <v>0</v>
      </c>
      <c r="N35" s="50">
        <f>IF(H_Oct[[#This Row],[Fin]]&lt;H_Oct[[#This Row],[début]],1,0)+H_Oct[[#This Row],[Fin]]</f>
        <v>0</v>
      </c>
      <c r="O3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0.1*(H_Oct[[#This Row],[Heures de nuit]]+IF(H_Oct[[#This Row],[majoration dim &amp; JF]]="non",0,H_Oct[[#This Row],[heures jour dimanche]]+H_Oct[[#This Row],[heures jour fériés]]))</f>
        <v>0</v>
      </c>
      <c r="J36" s="48">
        <f>(MOD(H_Oct[[#This Row],[Fin]]-H_Oct[[#This Row],[début]],1)-MOD(H_Oct[[#This Row],[PNP Fin]]-H_Oct[[#This Row],[PNP Début]],1))*24</f>
        <v>0</v>
      </c>
      <c r="K36" s="109" t="str">
        <f>IFERROR(VLOOKUP(H_Oct[[#This Row],[Service]],Codes[],4,0),"")</f>
        <v/>
      </c>
      <c r="L36" s="49">
        <f>IF(H_Oct[[#This Row],[PNP Début]]=0,0,IF(H_Oct[[#This Row],[PNP Début]]&lt;H_Oct[[#This Row],[début]],1,0)+H_Oct[[#This Row],[PNP Début]])</f>
        <v>0</v>
      </c>
      <c r="M36" s="50">
        <f>IF(H_Oct[[#This Row],[PNP Fin]]=0,0,IF(H_Oct[[#This Row],[PNP Fin]]&lt;H_Oct[[#This Row],[début]],1,0)+H_Oct[[#This Row],[PNP Fin]])</f>
        <v>0</v>
      </c>
      <c r="N36" s="50">
        <f>IF(H_Oct[[#This Row],[Fin]]&lt;H_Oct[[#This Row],[début]],1,0)+H_Oct[[#This Row],[Fin]]</f>
        <v>0</v>
      </c>
      <c r="O3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0.1*(H_Oct[[#This Row],[Heures de nuit]]+IF(H_Oct[[#This Row],[majoration dim &amp; JF]]="non",0,H_Oct[[#This Row],[heures jour dimanche]]+H_Oct[[#This Row],[heures jour fériés]]))</f>
        <v>0</v>
      </c>
      <c r="J37" s="48">
        <f>(MOD(H_Oct[[#This Row],[Fin]]-H_Oct[[#This Row],[début]],1)-MOD(H_Oct[[#This Row],[PNP Fin]]-H_Oct[[#This Row],[PNP Début]],1))*24</f>
        <v>0</v>
      </c>
      <c r="K37" s="109" t="str">
        <f>IFERROR(VLOOKUP(H_Oct[[#This Row],[Service]],Codes[],4,0),"")</f>
        <v/>
      </c>
      <c r="L37" s="49">
        <f>IF(H_Oct[[#This Row],[PNP Début]]=0,0,IF(H_Oct[[#This Row],[PNP Début]]&lt;H_Oct[[#This Row],[début]],1,0)+H_Oct[[#This Row],[PNP Début]])</f>
        <v>0</v>
      </c>
      <c r="M37" s="50">
        <f>IF(H_Oct[[#This Row],[PNP Fin]]=0,0,IF(H_Oct[[#This Row],[PNP Fin]]&lt;H_Oct[[#This Row],[début]],1,0)+H_Oct[[#This Row],[PNP Fin]])</f>
        <v>0</v>
      </c>
      <c r="N37" s="50">
        <f>IF(H_Oct[[#This Row],[Fin]]&lt;H_Oct[[#This Row],[début]],1,0)+H_Oct[[#This Row],[Fin]]</f>
        <v>0</v>
      </c>
      <c r="O3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0.1*(H_Oct[[#This Row],[Heures de nuit]]+IF(H_Oct[[#This Row],[majoration dim &amp; JF]]="non",0,H_Oct[[#This Row],[heures jour dimanche]]+H_Oct[[#This Row],[heures jour fériés]]))</f>
        <v>0</v>
      </c>
      <c r="J38" s="48">
        <f>(MOD(H_Oct[[#This Row],[Fin]]-H_Oct[[#This Row],[début]],1)-MOD(H_Oct[[#This Row],[PNP Fin]]-H_Oct[[#This Row],[PNP Début]],1))*24</f>
        <v>0</v>
      </c>
      <c r="K38" s="109" t="str">
        <f>IFERROR(VLOOKUP(H_Oct[[#This Row],[Service]],Codes[],4,0),"")</f>
        <v/>
      </c>
      <c r="L38" s="49">
        <f>IF(H_Oct[[#This Row],[PNP Début]]=0,0,IF(H_Oct[[#This Row],[PNP Début]]&lt;H_Oct[[#This Row],[début]],1,0)+H_Oct[[#This Row],[PNP Début]])</f>
        <v>0</v>
      </c>
      <c r="M38" s="50">
        <f>IF(H_Oct[[#This Row],[PNP Fin]]=0,0,IF(H_Oct[[#This Row],[PNP Fin]]&lt;H_Oct[[#This Row],[début]],1,0)+H_Oct[[#This Row],[PNP Fin]])</f>
        <v>0</v>
      </c>
      <c r="N38" s="50">
        <f>IF(H_Oct[[#This Row],[Fin]]&lt;H_Oct[[#This Row],[début]],1,0)+H_Oct[[#This Row],[Fin]]</f>
        <v>0</v>
      </c>
      <c r="O3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0.1*(H_Oct[[#This Row],[Heures de nuit]]+IF(H_Oct[[#This Row],[majoration dim &amp; JF]]="non",0,H_Oct[[#This Row],[heures jour dimanche]]+H_Oct[[#This Row],[heures jour fériés]]))</f>
        <v>0</v>
      </c>
      <c r="J39" s="48">
        <f>(MOD(H_Oct[[#This Row],[Fin]]-H_Oct[[#This Row],[début]],1)-MOD(H_Oct[[#This Row],[PNP Fin]]-H_Oct[[#This Row],[PNP Début]],1))*24</f>
        <v>0</v>
      </c>
      <c r="K39" s="109" t="str">
        <f>IFERROR(VLOOKUP(H_Oct[[#This Row],[Service]],Codes[],4,0),"")</f>
        <v/>
      </c>
      <c r="L39" s="49">
        <f>IF(H_Oct[[#This Row],[PNP Début]]=0,0,IF(H_Oct[[#This Row],[PNP Début]]&lt;H_Oct[[#This Row],[début]],1,0)+H_Oct[[#This Row],[PNP Début]])</f>
        <v>0</v>
      </c>
      <c r="M39" s="50">
        <f>IF(H_Oct[[#This Row],[PNP Fin]]=0,0,IF(H_Oct[[#This Row],[PNP Fin]]&lt;H_Oct[[#This Row],[début]],1,0)+H_Oct[[#This Row],[PNP Fin]])</f>
        <v>0</v>
      </c>
      <c r="N39" s="50">
        <f>IF(H_Oct[[#This Row],[Fin]]&lt;H_Oct[[#This Row],[début]],1,0)+H_Oct[[#This Row],[Fin]]</f>
        <v>0</v>
      </c>
      <c r="O3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0.1*(H_Oct[[#This Row],[Heures de nuit]]+IF(H_Oct[[#This Row],[majoration dim &amp; JF]]="non",0,H_Oct[[#This Row],[heures jour dimanche]]+H_Oct[[#This Row],[heures jour fériés]]))</f>
        <v>0</v>
      </c>
      <c r="J40" s="48">
        <f>(MOD(H_Oct[[#This Row],[Fin]]-H_Oct[[#This Row],[début]],1)-MOD(H_Oct[[#This Row],[PNP Fin]]-H_Oct[[#This Row],[PNP Début]],1))*24</f>
        <v>0</v>
      </c>
      <c r="K40" s="109" t="str">
        <f>IFERROR(VLOOKUP(H_Oct[[#This Row],[Service]],Codes[],4,0),"")</f>
        <v/>
      </c>
      <c r="L40" s="49">
        <f>IF(H_Oct[[#This Row],[PNP Début]]=0,0,IF(H_Oct[[#This Row],[PNP Début]]&lt;H_Oct[[#This Row],[début]],1,0)+H_Oct[[#This Row],[PNP Début]])</f>
        <v>0</v>
      </c>
      <c r="M40" s="50">
        <f>IF(H_Oct[[#This Row],[PNP Fin]]=0,0,IF(H_Oct[[#This Row],[PNP Fin]]&lt;H_Oct[[#This Row],[début]],1,0)+H_Oct[[#This Row],[PNP Fin]])</f>
        <v>0</v>
      </c>
      <c r="N40" s="50">
        <f>IF(H_Oct[[#This Row],[Fin]]&lt;H_Oct[[#This Row],[début]],1,0)+H_Oct[[#This Row],[Fin]]</f>
        <v>0</v>
      </c>
      <c r="O4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0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0.1*(H_Oct[[#This Row],[Heures de nuit]]+IF(H_Oct[[#This Row],[majoration dim &amp; JF]]="non",0,H_Oct[[#This Row],[heures jour dimanche]]+H_Oct[[#This Row],[heures jour fériés]]))</f>
        <v>0</v>
      </c>
      <c r="J41" s="48">
        <f>(MOD(H_Oct[[#This Row],[Fin]]-H_Oct[[#This Row],[début]],1)-MOD(H_Oct[[#This Row],[PNP Fin]]-H_Oct[[#This Row],[PNP Début]],1))*24</f>
        <v>0</v>
      </c>
      <c r="K41" s="109" t="str">
        <f>IFERROR(VLOOKUP(H_Oct[[#This Row],[Service]],Codes[],4,0),"")</f>
        <v/>
      </c>
      <c r="L41" s="49">
        <f>IF(H_Oct[[#This Row],[PNP Début]]=0,0,IF(H_Oct[[#This Row],[PNP Début]]&lt;H_Oct[[#This Row],[début]],1,0)+H_Oct[[#This Row],[PNP Début]])</f>
        <v>0</v>
      </c>
      <c r="M41" s="50">
        <f>IF(H_Oct[[#This Row],[PNP Fin]]=0,0,IF(H_Oct[[#This Row],[PNP Fin]]&lt;H_Oct[[#This Row],[début]],1,0)+H_Oct[[#This Row],[PNP Fin]])</f>
        <v>0</v>
      </c>
      <c r="N41" s="50">
        <f>IF(H_Oct[[#This Row],[Fin]]&lt;H_Oct[[#This Row],[début]],1,0)+H_Oct[[#This Row],[Fin]]</f>
        <v>0</v>
      </c>
      <c r="O4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1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0.1*(H_Oct[[#This Row],[Heures de nuit]]+IF(H_Oct[[#This Row],[majoration dim &amp; JF]]="non",0,H_Oct[[#This Row],[heures jour dimanche]]+H_Oct[[#This Row],[heures jour fériés]]))</f>
        <v>0</v>
      </c>
      <c r="J42" s="48">
        <f>(MOD(H_Oct[[#This Row],[Fin]]-H_Oct[[#This Row],[début]],1)-MOD(H_Oct[[#This Row],[PNP Fin]]-H_Oct[[#This Row],[PNP Début]],1))*24</f>
        <v>0</v>
      </c>
      <c r="K42" s="109" t="str">
        <f>IFERROR(VLOOKUP(H_Oct[[#This Row],[Service]],Codes[],4,0),"")</f>
        <v/>
      </c>
      <c r="L42" s="49">
        <f>IF(H_Oct[[#This Row],[PNP Début]]=0,0,IF(H_Oct[[#This Row],[PNP Début]]&lt;H_Oct[[#This Row],[début]],1,0)+H_Oct[[#This Row],[PNP Début]])</f>
        <v>0</v>
      </c>
      <c r="M42" s="50">
        <f>IF(H_Oct[[#This Row],[PNP Fin]]=0,0,IF(H_Oct[[#This Row],[PNP Fin]]&lt;H_Oct[[#This Row],[début]],1,0)+H_Oct[[#This Row],[PNP Fin]])</f>
        <v>0</v>
      </c>
      <c r="N42" s="50">
        <f>IF(H_Oct[[#This Row],[Fin]]&lt;H_Oct[[#This Row],[début]],1,0)+H_Oct[[#This Row],[Fin]]</f>
        <v>0</v>
      </c>
      <c r="O4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0.1*(H_Oct[[#This Row],[Heures de nuit]]+IF(H_Oct[[#This Row],[majoration dim &amp; JF]]="non",0,H_Oct[[#This Row],[heures jour dimanche]]+H_Oct[[#This Row],[heures jour fériés]]))</f>
        <v>0</v>
      </c>
      <c r="J43" s="48">
        <f>(MOD(H_Oct[[#This Row],[Fin]]-H_Oct[[#This Row],[début]],1)-MOD(H_Oct[[#This Row],[PNP Fin]]-H_Oct[[#This Row],[PNP Début]],1))*24</f>
        <v>0</v>
      </c>
      <c r="K43" s="109" t="str">
        <f>IFERROR(VLOOKUP(H_Oct[[#This Row],[Service]],Codes[],4,0),"")</f>
        <v/>
      </c>
      <c r="L43" s="49">
        <f>IF(H_Oct[[#This Row],[PNP Début]]=0,0,IF(H_Oct[[#This Row],[PNP Début]]&lt;H_Oct[[#This Row],[début]],1,0)+H_Oct[[#This Row],[PNP Début]])</f>
        <v>0</v>
      </c>
      <c r="M43" s="50">
        <f>IF(H_Oct[[#This Row],[PNP Fin]]=0,0,IF(H_Oct[[#This Row],[PNP Fin]]&lt;H_Oct[[#This Row],[début]],1,0)+H_Oct[[#This Row],[PNP Fin]])</f>
        <v>0</v>
      </c>
      <c r="N43" s="50">
        <f>IF(H_Oct[[#This Row],[Fin]]&lt;H_Oct[[#This Row],[début]],1,0)+H_Oct[[#This Row],[Fin]]</f>
        <v>0</v>
      </c>
      <c r="O4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0.1*(H_Oct[[#This Row],[Heures de nuit]]+IF(H_Oct[[#This Row],[majoration dim &amp; JF]]="non",0,H_Oct[[#This Row],[heures jour dimanche]]+H_Oct[[#This Row],[heures jour fériés]]))</f>
        <v>0</v>
      </c>
      <c r="J44" s="48">
        <f>(MOD(H_Oct[[#This Row],[Fin]]-H_Oct[[#This Row],[début]],1)-MOD(H_Oct[[#This Row],[PNP Fin]]-H_Oct[[#This Row],[PNP Début]],1))*24</f>
        <v>0</v>
      </c>
      <c r="K44" s="109" t="str">
        <f>IFERROR(VLOOKUP(H_Oct[[#This Row],[Service]],Codes[],4,0),"")</f>
        <v/>
      </c>
      <c r="L44" s="49">
        <f>IF(H_Oct[[#This Row],[PNP Début]]=0,0,IF(H_Oct[[#This Row],[PNP Début]]&lt;H_Oct[[#This Row],[début]],1,0)+H_Oct[[#This Row],[PNP Début]])</f>
        <v>0</v>
      </c>
      <c r="M44" s="50">
        <f>IF(H_Oct[[#This Row],[PNP Fin]]=0,0,IF(H_Oct[[#This Row],[PNP Fin]]&lt;H_Oct[[#This Row],[début]],1,0)+H_Oct[[#This Row],[PNP Fin]])</f>
        <v>0</v>
      </c>
      <c r="N44" s="50">
        <f>IF(H_Oct[[#This Row],[Fin]]&lt;H_Oct[[#This Row],[début]],1,0)+H_Oct[[#This Row],[Fin]]</f>
        <v>0</v>
      </c>
      <c r="O4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0.1*(H_Oct[[#This Row],[Heures de nuit]]+IF(H_Oct[[#This Row],[majoration dim &amp; JF]]="non",0,H_Oct[[#This Row],[heures jour dimanche]]+H_Oct[[#This Row],[heures jour fériés]]))</f>
        <v>0</v>
      </c>
      <c r="J45" s="48">
        <f>(MOD(H_Oct[[#This Row],[Fin]]-H_Oct[[#This Row],[début]],1)-MOD(H_Oct[[#This Row],[PNP Fin]]-H_Oct[[#This Row],[PNP Début]],1))*24</f>
        <v>0</v>
      </c>
      <c r="K45" s="109" t="str">
        <f>IFERROR(VLOOKUP(H_Oct[[#This Row],[Service]],Codes[],4,0),"")</f>
        <v/>
      </c>
      <c r="L45" s="49">
        <f>IF(H_Oct[[#This Row],[PNP Début]]=0,0,IF(H_Oct[[#This Row],[PNP Début]]&lt;H_Oct[[#This Row],[début]],1,0)+H_Oct[[#This Row],[PNP Début]])</f>
        <v>0</v>
      </c>
      <c r="M45" s="50">
        <f>IF(H_Oct[[#This Row],[PNP Fin]]=0,0,IF(H_Oct[[#This Row],[PNP Fin]]&lt;H_Oct[[#This Row],[début]],1,0)+H_Oct[[#This Row],[PNP Fin]])</f>
        <v>0</v>
      </c>
      <c r="N45" s="50">
        <f>IF(H_Oct[[#This Row],[Fin]]&lt;H_Oct[[#This Row],[début]],1,0)+H_Oct[[#This Row],[Fin]]</f>
        <v>0</v>
      </c>
      <c r="O4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0.1*(H_Oct[[#This Row],[Heures de nuit]]+IF(H_Oct[[#This Row],[majoration dim &amp; JF]]="non",0,H_Oct[[#This Row],[heures jour dimanche]]+H_Oct[[#This Row],[heures jour fériés]]))</f>
        <v>0</v>
      </c>
      <c r="J46" s="48">
        <f>(MOD(H_Oct[[#This Row],[Fin]]-H_Oct[[#This Row],[début]],1)-MOD(H_Oct[[#This Row],[PNP Fin]]-H_Oct[[#This Row],[PNP Début]],1))*24</f>
        <v>0</v>
      </c>
      <c r="K46" s="109" t="str">
        <f>IFERROR(VLOOKUP(H_Oct[[#This Row],[Service]],Codes[],4,0),"")</f>
        <v/>
      </c>
      <c r="L46" s="49">
        <f>IF(H_Oct[[#This Row],[PNP Début]]=0,0,IF(H_Oct[[#This Row],[PNP Début]]&lt;H_Oct[[#This Row],[début]],1,0)+H_Oct[[#This Row],[PNP Début]])</f>
        <v>0</v>
      </c>
      <c r="M46" s="50">
        <f>IF(H_Oct[[#This Row],[PNP Fin]]=0,0,IF(H_Oct[[#This Row],[PNP Fin]]&lt;H_Oct[[#This Row],[début]],1,0)+H_Oct[[#This Row],[PNP Fin]])</f>
        <v>0</v>
      </c>
      <c r="N46" s="50">
        <f>IF(H_Oct[[#This Row],[Fin]]&lt;H_Oct[[#This Row],[début]],1,0)+H_Oct[[#This Row],[Fin]]</f>
        <v>0</v>
      </c>
      <c r="O4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0.1*(H_Oct[[#This Row],[Heures de nuit]]+IF(H_Oct[[#This Row],[majoration dim &amp; JF]]="non",0,H_Oct[[#This Row],[heures jour dimanche]]+H_Oct[[#This Row],[heures jour fériés]]))</f>
        <v>0</v>
      </c>
      <c r="J47" s="48">
        <f>(MOD(H_Oct[[#This Row],[Fin]]-H_Oct[[#This Row],[début]],1)-MOD(H_Oct[[#This Row],[PNP Fin]]-H_Oct[[#This Row],[PNP Début]],1))*24</f>
        <v>0</v>
      </c>
      <c r="K47" s="109" t="str">
        <f>IFERROR(VLOOKUP(H_Oct[[#This Row],[Service]],Codes[],4,0),"")</f>
        <v/>
      </c>
      <c r="L47" s="49">
        <f>IF(H_Oct[[#This Row],[PNP Début]]=0,0,IF(H_Oct[[#This Row],[PNP Début]]&lt;H_Oct[[#This Row],[début]],1,0)+H_Oct[[#This Row],[PNP Début]])</f>
        <v>0</v>
      </c>
      <c r="M47" s="50">
        <f>IF(H_Oct[[#This Row],[PNP Fin]]=0,0,IF(H_Oct[[#This Row],[PNP Fin]]&lt;H_Oct[[#This Row],[début]],1,0)+H_Oct[[#This Row],[PNP Fin]])</f>
        <v>0</v>
      </c>
      <c r="N47" s="50">
        <f>IF(H_Oct[[#This Row],[Fin]]&lt;H_Oct[[#This Row],[début]],1,0)+H_Oct[[#This Row],[Fin]]</f>
        <v>0</v>
      </c>
      <c r="O4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0.1*(H_Oct[[#This Row],[Heures de nuit]]+IF(H_Oct[[#This Row],[majoration dim &amp; JF]]="non",0,H_Oct[[#This Row],[heures jour dimanche]]+H_Oct[[#This Row],[heures jour fériés]]))</f>
        <v>0</v>
      </c>
      <c r="J48" s="48">
        <f>(MOD(H_Oct[[#This Row],[Fin]]-H_Oct[[#This Row],[début]],1)-MOD(H_Oct[[#This Row],[PNP Fin]]-H_Oct[[#This Row],[PNP Début]],1))*24</f>
        <v>0</v>
      </c>
      <c r="K48" s="109" t="str">
        <f>IFERROR(VLOOKUP(H_Oct[[#This Row],[Service]],Codes[],4,0),"")</f>
        <v/>
      </c>
      <c r="L48" s="49">
        <f>IF(H_Oct[[#This Row],[PNP Début]]=0,0,IF(H_Oct[[#This Row],[PNP Début]]&lt;H_Oct[[#This Row],[début]],1,0)+H_Oct[[#This Row],[PNP Début]])</f>
        <v>0</v>
      </c>
      <c r="M48" s="50">
        <f>IF(H_Oct[[#This Row],[PNP Fin]]=0,0,IF(H_Oct[[#This Row],[PNP Fin]]&lt;H_Oct[[#This Row],[début]],1,0)+H_Oct[[#This Row],[PNP Fin]])</f>
        <v>0</v>
      </c>
      <c r="N48" s="50">
        <f>IF(H_Oct[[#This Row],[Fin]]&lt;H_Oct[[#This Row],[début]],1,0)+H_Oct[[#This Row],[Fin]]</f>
        <v>0</v>
      </c>
      <c r="O4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0.1*(H_Oct[[#This Row],[Heures de nuit]]+IF(H_Oct[[#This Row],[majoration dim &amp; JF]]="non",0,H_Oct[[#This Row],[heures jour dimanche]]+H_Oct[[#This Row],[heures jour fériés]]))</f>
        <v>0</v>
      </c>
      <c r="J49" s="48">
        <f>(MOD(H_Oct[[#This Row],[Fin]]-H_Oct[[#This Row],[début]],1)-MOD(H_Oct[[#This Row],[PNP Fin]]-H_Oct[[#This Row],[PNP Début]],1))*24</f>
        <v>0</v>
      </c>
      <c r="K49" s="109" t="str">
        <f>IFERROR(VLOOKUP(H_Oct[[#This Row],[Service]],Codes[],4,0),"")</f>
        <v/>
      </c>
      <c r="L49" s="49">
        <f>IF(H_Oct[[#This Row],[PNP Début]]=0,0,IF(H_Oct[[#This Row],[PNP Début]]&lt;H_Oct[[#This Row],[début]],1,0)+H_Oct[[#This Row],[PNP Début]])</f>
        <v>0</v>
      </c>
      <c r="M49" s="50">
        <f>IF(H_Oct[[#This Row],[PNP Fin]]=0,0,IF(H_Oct[[#This Row],[PNP Fin]]&lt;H_Oct[[#This Row],[début]],1,0)+H_Oct[[#This Row],[PNP Fin]])</f>
        <v>0</v>
      </c>
      <c r="N49" s="50">
        <f>IF(H_Oct[[#This Row],[Fin]]&lt;H_Oct[[#This Row],[début]],1,0)+H_Oct[[#This Row],[Fin]]</f>
        <v>0</v>
      </c>
      <c r="O4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SUM(H_Oct[Majoration])</f>
        <v>0</v>
      </c>
      <c r="J50" s="54">
        <f>SUM(H_Oct[Heures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84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print="0" autoLine="0" r:id="rId5">
            <anchor moveWithCells="1">
              <from>
                <xdr:col>9</xdr:col>
                <xdr:colOff>495300</xdr:colOff>
                <xdr:row>0</xdr:row>
                <xdr:rowOff>99060</xdr:rowOff>
              </from>
              <to>
                <xdr:col>9</xdr:col>
                <xdr:colOff>1280160</xdr:colOff>
                <xdr:row>3</xdr:row>
                <xdr:rowOff>213360</xdr:rowOff>
              </to>
            </anchor>
          </controlPr>
        </control>
      </mc:Choice>
      <mc:Fallback>
        <control shapeId="13313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Z60"/>
  <sheetViews>
    <sheetView topLeftCell="B1" zoomScale="80" zoomScaleNormal="80" zoomScalePageLayoutView="55" workbookViewId="0">
      <selection activeCell="V19" activeCellId="2" sqref="V9:W10 V15:Z16 V19:W19"/>
    </sheetView>
  </sheetViews>
  <sheetFormatPr baseColWidth="10" defaultRowHeight="14.4" x14ac:dyDescent="0.3"/>
  <cols>
    <col min="1" max="1" width="20.664062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2.7773437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102</v>
      </c>
      <c r="B5" s="77">
        <f>'Janvier 18'!B5</f>
        <v>0</v>
      </c>
      <c r="C5" s="17" t="s">
        <v>36</v>
      </c>
      <c r="D5" s="224">
        <f>'Janvier 18'!D5:F5</f>
        <v>0</v>
      </c>
      <c r="E5" s="225"/>
      <c r="F5" s="225"/>
      <c r="G5" s="219" t="s">
        <v>22</v>
      </c>
      <c r="H5" s="219"/>
      <c r="I5" s="59" t="str">
        <f ca="1">MID(CELL("filename",A1),FIND("]",CELL("filename",A1))+1,99)</f>
        <v>Novembre 18</v>
      </c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>
        <f>'Janvier 18'!B7</f>
        <v>0</v>
      </c>
      <c r="C7" s="21" t="s">
        <v>24</v>
      </c>
      <c r="D7" s="21"/>
      <c r="E7" s="79">
        <f>'Janvier 18'!E7</f>
        <v>0</v>
      </c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14"/>
      <c r="Y9" s="116"/>
      <c r="Z9" s="114"/>
    </row>
    <row r="10" spans="1:26" ht="14.4" customHeight="1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14"/>
      <c r="Y10" s="114"/>
      <c r="Z10" s="114"/>
    </row>
    <row r="11" spans="1:26" ht="14.4" customHeight="1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14"/>
      <c r="X11" s="114"/>
      <c r="Y11" s="114"/>
      <c r="Z11" s="114"/>
    </row>
    <row r="12" spans="1:26" s="6" customFormat="1" ht="28.8" hidden="1" customHeight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15"/>
      <c r="X12" s="115"/>
      <c r="Y12" s="115"/>
      <c r="Z12" s="115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0.1*(H_Nov[[#This Row],[Heures de nuit]]+IF(H_Nov[[#This Row],[majoration dim &amp; JF]]="non",0,H_Nov[[#This Row],[heures jour dimanche]]+H_Nov[[#This Row],[heures jour fériés]]))</f>
        <v>0</v>
      </c>
      <c r="J13" s="29">
        <f>(MOD(H_Nov[[#This Row],[Fin]]-H_Nov[[#This Row],[début]],1)-MOD(H_Nov[[#This Row],[PNP Fin]]-H_Nov[[#This Row],[PNP Début]],1))*24</f>
        <v>0</v>
      </c>
      <c r="K13" s="29" t="str">
        <f>IFERROR(VLOOKUP(H_Nov[[#This Row],[Service]],Codes[],4,0),"")</f>
        <v/>
      </c>
      <c r="L13" s="30">
        <f>IF(H_Nov[[#This Row],[PNP Début]]=0,0,IF(H_Nov[[#This Row],[PNP Début]]&lt;H_Nov[[#This Row],[début]],1,0)+H_Nov[[#This Row],[PNP Début]])</f>
        <v>0</v>
      </c>
      <c r="M13" s="30">
        <f>IF(H_Nov[[#This Row],[PNP Fin]]=0,0,IF(H_Nov[[#This Row],[PNP Fin]]&lt;H_Nov[[#This Row],[début]],1,0)+H_Nov[[#This Row],[PNP Fin]])</f>
        <v>0</v>
      </c>
      <c r="N13" s="30">
        <f>IF(H_Nov[[#This Row],[Fin]]&lt;H_Nov[[#This Row],[début]],1,0)+H_Nov[[#This Row],[Fin]]</f>
        <v>0</v>
      </c>
      <c r="O1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3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3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3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3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3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13" s="166"/>
      <c r="W13" s="114"/>
      <c r="X13" s="114"/>
      <c r="Y13" s="114"/>
      <c r="Z13" s="114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0.1*(H_Nov[[#This Row],[Heures de nuit]]+IF(H_Nov[[#This Row],[majoration dim &amp; JF]]="non",0,H_Nov[[#This Row],[heures jour dimanche]]+H_Nov[[#This Row],[heures jour fériés]]))</f>
        <v>0</v>
      </c>
      <c r="J14" s="29">
        <f>(MOD(H_Nov[[#This Row],[Fin]]-H_Nov[[#This Row],[début]],1)-MOD(H_Nov[[#This Row],[PNP Fin]]-H_Nov[[#This Row],[PNP Début]],1))*24</f>
        <v>0</v>
      </c>
      <c r="K14" s="29" t="str">
        <f>IFERROR(VLOOKUP(H_Nov[[#This Row],[Service]],Codes[],4,0),"")</f>
        <v/>
      </c>
      <c r="L14" s="30">
        <f>IF(H_Nov[[#This Row],[PNP Début]]=0,0,IF(H_Nov[[#This Row],[PNP Début]]&lt;H_Nov[[#This Row],[début]],1,0)+H_Nov[[#This Row],[PNP Début]])</f>
        <v>0</v>
      </c>
      <c r="M14" s="30">
        <f>IF(H_Nov[[#This Row],[PNP Fin]]=0,0,IF(H_Nov[[#This Row],[PNP Fin]]&lt;H_Nov[[#This Row],[début]],1,0)+H_Nov[[#This Row],[PNP Fin]])</f>
        <v>0</v>
      </c>
      <c r="N14" s="30">
        <f>IF(H_Nov[[#This Row],[Fin]]&lt;H_Nov[[#This Row],[début]],1,0)+H_Nov[[#This Row],[Fin]]</f>
        <v>0</v>
      </c>
      <c r="O1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4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4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4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4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4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14" s="166"/>
      <c r="W14" s="114"/>
      <c r="X14" s="114"/>
      <c r="Y14" s="114"/>
      <c r="Z14" s="114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0.1*(H_Nov[[#This Row],[Heures de nuit]]+IF(H_Nov[[#This Row],[majoration dim &amp; JF]]="non",0,H_Nov[[#This Row],[heures jour dimanche]]+H_Nov[[#This Row],[heures jour fériés]]))</f>
        <v>0</v>
      </c>
      <c r="J15" s="29">
        <f>(MOD(H_Nov[[#This Row],[Fin]]-H_Nov[[#This Row],[début]],1)-MOD(H_Nov[[#This Row],[PNP Fin]]-H_Nov[[#This Row],[PNP Début]],1))*24</f>
        <v>0</v>
      </c>
      <c r="K15" s="29" t="str">
        <f>IFERROR(VLOOKUP(H_Nov[[#This Row],[Service]],Codes[],4,0),"")</f>
        <v/>
      </c>
      <c r="L15" s="30">
        <f>IF(H_Nov[[#This Row],[PNP Début]]=0,0,IF(H_Nov[[#This Row],[PNP Début]]&lt;H_Nov[[#This Row],[début]],1,0)+H_Nov[[#This Row],[PNP Début]])</f>
        <v>0</v>
      </c>
      <c r="M15" s="30">
        <f>IF(H_Nov[[#This Row],[PNP Fin]]=0,0,IF(H_Nov[[#This Row],[PNP Fin]]&lt;H_Nov[[#This Row],[début]],1,0)+H_Nov[[#This Row],[PNP Fin]])</f>
        <v>0</v>
      </c>
      <c r="N15" s="30">
        <f>IF(H_Nov[[#This Row],[Fin]]&lt;H_Nov[[#This Row],[début]],1,0)+H_Nov[[#This Row],[Fin]]</f>
        <v>0</v>
      </c>
      <c r="O1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5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5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5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5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5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0.1*(H_Nov[[#This Row],[Heures de nuit]]+IF(H_Nov[[#This Row],[majoration dim &amp; JF]]="non",0,H_Nov[[#This Row],[heures jour dimanche]]+H_Nov[[#This Row],[heures jour fériés]]))</f>
        <v>0</v>
      </c>
      <c r="J16" s="33">
        <f>(MOD(H_Nov[[#This Row],[Fin]]-H_Nov[[#This Row],[début]],1)-MOD(H_Nov[[#This Row],[PNP Fin]]-H_Nov[[#This Row],[PNP Début]],1))*24</f>
        <v>0</v>
      </c>
      <c r="K16" s="33" t="str">
        <f>IFERROR(VLOOKUP(H_Nov[[#This Row],[Service]],Codes[],4,0),"")</f>
        <v/>
      </c>
      <c r="L16" s="30">
        <f>IF(H_Nov[[#This Row],[PNP Début]]=0,0,IF(H_Nov[[#This Row],[PNP Début]]&lt;H_Nov[[#This Row],[début]],1,0)+H_Nov[[#This Row],[PNP Début]])</f>
        <v>0</v>
      </c>
      <c r="M16" s="30">
        <f>IF(H_Nov[[#This Row],[PNP Fin]]=0,0,IF(H_Nov[[#This Row],[PNP Fin]]&lt;H_Nov[[#This Row],[début]],1,0)+H_Nov[[#This Row],[PNP Fin]])</f>
        <v>0</v>
      </c>
      <c r="N16" s="34">
        <f>IF(H_Nov[[#This Row],[Fin]]&lt;H_Nov[[#This Row],[début]],1,0)+H_Nov[[#This Row],[Fin]]</f>
        <v>0</v>
      </c>
      <c r="O1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6" s="35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6" s="35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6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6" s="3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6" s="3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16" s="176" t="s">
        <v>128</v>
      </c>
      <c r="W16" s="177">
        <f>'Octobre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3" x14ac:dyDescent="0.3">
      <c r="A17" s="4"/>
      <c r="B17" s="1"/>
      <c r="C17" s="2"/>
      <c r="D17" s="2"/>
      <c r="E17" s="3"/>
      <c r="F17" s="3"/>
      <c r="G17" s="9"/>
      <c r="H17" s="9"/>
      <c r="I17" s="37">
        <f>0.1*(H_Nov[[#This Row],[Heures de nuit]]+IF(H_Nov[[#This Row],[majoration dim &amp; JF]]="non",0,H_Nov[[#This Row],[heures jour dimanche]]+H_Nov[[#This Row],[heures jour fériés]]))</f>
        <v>0</v>
      </c>
      <c r="J17" s="38">
        <f>(MOD(H_Nov[[#This Row],[Fin]]-H_Nov[[#This Row],[début]],1)-MOD(H_Nov[[#This Row],[PNP Fin]]-H_Nov[[#This Row],[PNP Début]],1))*24</f>
        <v>0</v>
      </c>
      <c r="K17" s="112" t="str">
        <f>IFERROR(VLOOKUP(H_Nov[[#This Row],[Service]],Codes[],4,0),"")</f>
        <v/>
      </c>
      <c r="L17" s="39">
        <f>IF(H_Nov[[#This Row],[PNP Début]]=0,0,IF(H_Nov[[#This Row],[PNP Début]]&lt;H_Nov[[#This Row],[début]],1,0)+H_Nov[[#This Row],[PNP Début]])</f>
        <v>0</v>
      </c>
      <c r="M17" s="40">
        <f>IF(H_Nov[[#This Row],[PNP Fin]]=0,0,IF(H_Nov[[#This Row],[PNP Fin]]&lt;H_Nov[[#This Row],[début]],1,0)+H_Nov[[#This Row],[PNP Fin]])</f>
        <v>0</v>
      </c>
      <c r="N17" s="40">
        <f>IF(H_Nov[[#This Row],[Fin]]&lt;H_Nov[[#This Row],[début]],1,0)+H_Nov[[#This Row],[Fin]]</f>
        <v>0</v>
      </c>
      <c r="O1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7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7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7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7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7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17" s="163"/>
    </row>
    <row r="18" spans="1:23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0.1*(H_Nov[[#This Row],[Heures de nuit]]+IF(H_Nov[[#This Row],[majoration dim &amp; JF]]="non",0,H_Nov[[#This Row],[heures jour dimanche]]+H_Nov[[#This Row],[heures jour fériés]]))</f>
        <v>0</v>
      </c>
      <c r="J18" s="38">
        <f>(MOD(H_Nov[[#This Row],[Fin]]-H_Nov[[#This Row],[début]],1)-MOD(H_Nov[[#This Row],[PNP Fin]]-H_Nov[[#This Row],[PNP Début]],1))*24</f>
        <v>0</v>
      </c>
      <c r="K18" s="112" t="str">
        <f>IFERROR(VLOOKUP(H_Nov[[#This Row],[Service]],Codes[],4,0),"")</f>
        <v/>
      </c>
      <c r="L18" s="39">
        <f>IF(H_Nov[[#This Row],[PNP Début]]=0,0,IF(H_Nov[[#This Row],[PNP Début]]&lt;H_Nov[[#This Row],[début]],1,0)+H_Nov[[#This Row],[PNP Début]])</f>
        <v>0</v>
      </c>
      <c r="M18" s="40">
        <f>IF(H_Nov[[#This Row],[PNP Fin]]=0,0,IF(H_Nov[[#This Row],[PNP Fin]]&lt;H_Nov[[#This Row],[début]],1,0)+H_Nov[[#This Row],[PNP Fin]])</f>
        <v>0</v>
      </c>
      <c r="N18" s="40">
        <f>IF(H_Nov[[#This Row],[Fin]]&lt;H_Nov[[#This Row],[début]],1,0)+H_Nov[[#This Row],[Fin]]</f>
        <v>0</v>
      </c>
      <c r="O1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8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8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8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8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8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18" s="163"/>
    </row>
    <row r="19" spans="1:23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0.1*(H_Nov[[#This Row],[Heures de nuit]]+IF(H_Nov[[#This Row],[majoration dim &amp; JF]]="non",0,H_Nov[[#This Row],[heures jour dimanche]]+H_Nov[[#This Row],[heures jour fériés]]))</f>
        <v>0</v>
      </c>
      <c r="J19" s="38">
        <f>(MOD(H_Nov[[#This Row],[Fin]]-H_Nov[[#This Row],[début]],1)-MOD(H_Nov[[#This Row],[PNP Fin]]-H_Nov[[#This Row],[PNP Début]],1))*24</f>
        <v>0</v>
      </c>
      <c r="K19" s="112" t="str">
        <f>IFERROR(VLOOKUP(H_Nov[[#This Row],[Service]],Codes[],4,0),"")</f>
        <v/>
      </c>
      <c r="L19" s="39">
        <f>IF(H_Nov[[#This Row],[PNP Début]]=0,0,IF(H_Nov[[#This Row],[PNP Début]]&lt;H_Nov[[#This Row],[début]],1,0)+H_Nov[[#This Row],[PNP Début]])</f>
        <v>0</v>
      </c>
      <c r="M19" s="40">
        <f>IF(H_Nov[[#This Row],[PNP Fin]]=0,0,IF(H_Nov[[#This Row],[PNP Fin]]&lt;H_Nov[[#This Row],[début]],1,0)+H_Nov[[#This Row],[PNP Fin]])</f>
        <v>0</v>
      </c>
      <c r="N19" s="40">
        <f>IF(H_Nov[[#This Row],[Fin]]&lt;H_Nov[[#This Row],[début]],1,0)+H_Nov[[#This Row],[Fin]]</f>
        <v>0</v>
      </c>
      <c r="O1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9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9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9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9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9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</row>
    <row r="20" spans="1:23" ht="15" thickBot="1" x14ac:dyDescent="0.35">
      <c r="A20" s="4"/>
      <c r="B20" s="1"/>
      <c r="C20" s="2"/>
      <c r="D20" s="2"/>
      <c r="E20" s="9"/>
      <c r="F20" s="9"/>
      <c r="G20" s="9"/>
      <c r="H20" s="9"/>
      <c r="I20" s="37">
        <f>0.1*(H_Nov[[#This Row],[Heures de nuit]]+IF(H_Nov[[#This Row],[majoration dim &amp; JF]]="non",0,H_Nov[[#This Row],[heures jour dimanche]]+H_Nov[[#This Row],[heures jour fériés]]))</f>
        <v>0</v>
      </c>
      <c r="J20" s="38">
        <f>(MOD(H_Nov[[#This Row],[Fin]]-H_Nov[[#This Row],[début]],1)-MOD(H_Nov[[#This Row],[PNP Fin]]-H_Nov[[#This Row],[PNP Début]],1))*24</f>
        <v>0</v>
      </c>
      <c r="K20" s="112" t="str">
        <f>IFERROR(VLOOKUP(H_Nov[[#This Row],[Service]],Codes[],4,0),"")</f>
        <v/>
      </c>
      <c r="L20" s="39">
        <f>IF(H_Nov[[#This Row],[PNP Début]]=0,0,IF(H_Nov[[#This Row],[PNP Début]]&lt;H_Nov[[#This Row],[début]],1,0)+H_Nov[[#This Row],[PNP Début]])</f>
        <v>0</v>
      </c>
      <c r="M20" s="40">
        <f>IF(H_Nov[[#This Row],[PNP Fin]]=0,0,IF(H_Nov[[#This Row],[PNP Fin]]&lt;H_Nov[[#This Row],[début]],1,0)+H_Nov[[#This Row],[PNP Fin]])</f>
        <v>0</v>
      </c>
      <c r="N20" s="40">
        <f>IF(H_Nov[[#This Row],[Fin]]&lt;H_Nov[[#This Row],[début]],1,0)+H_Nov[[#This Row],[Fin]]</f>
        <v>0</v>
      </c>
      <c r="O2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0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0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0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0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0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20" s="163"/>
    </row>
    <row r="21" spans="1:23" ht="15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0.1*(H_Nov[[#This Row],[Heures de nuit]]+IF(H_Nov[[#This Row],[majoration dim &amp; JF]]="non",0,H_Nov[[#This Row],[heures jour dimanche]]+H_Nov[[#This Row],[heures jour fériés]]))</f>
        <v>0</v>
      </c>
      <c r="J21" s="43">
        <f>(MOD(H_Nov[[#This Row],[Fin]]-H_Nov[[#This Row],[début]],1)-MOD(H_Nov[[#This Row],[PNP Fin]]-H_Nov[[#This Row],[PNP Début]],1))*24</f>
        <v>0</v>
      </c>
      <c r="K21" s="113" t="str">
        <f>IFERROR(VLOOKUP(H_Nov[[#This Row],[Service]],Codes[],4,0),"")</f>
        <v/>
      </c>
      <c r="L21" s="44">
        <f>IF(H_Nov[[#This Row],[PNP Début]]=0,0,IF(H_Nov[[#This Row],[PNP Début]]&lt;H_Nov[[#This Row],[début]],1,0)+H_Nov[[#This Row],[PNP Début]])</f>
        <v>0</v>
      </c>
      <c r="M21" s="45">
        <f>IF(H_Nov[[#This Row],[PNP Fin]]=0,0,IF(H_Nov[[#This Row],[PNP Fin]]&lt;H_Nov[[#This Row],[début]],1,0)+H_Nov[[#This Row],[PNP Fin]])</f>
        <v>0</v>
      </c>
      <c r="N21" s="45">
        <f>IF(H_Nov[[#This Row],[Fin]]&lt;H_Nov[[#This Row],[début]],1,0)+H_Nov[[#This Row],[Fin]]</f>
        <v>0</v>
      </c>
      <c r="O2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1" s="46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1" s="46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1" s="46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1" s="4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1" s="4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21" s="164" t="s">
        <v>167</v>
      </c>
      <c r="W21" s="162">
        <f>COUNTIF(B13:B49,"*récuperations*")</f>
        <v>0</v>
      </c>
    </row>
    <row r="22" spans="1:23" ht="15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0.1*(H_Nov[[#This Row],[Heures de nuit]]+IF(H_Nov[[#This Row],[majoration dim &amp; JF]]="non",0,H_Nov[[#This Row],[heures jour dimanche]]+H_Nov[[#This Row],[heures jour fériés]]))</f>
        <v>0</v>
      </c>
      <c r="J22" s="48">
        <f>(MOD(H_Nov[[#This Row],[Fin]]-H_Nov[[#This Row],[début]],1)-MOD(H_Nov[[#This Row],[PNP Fin]]-H_Nov[[#This Row],[PNP Début]],1))*24</f>
        <v>0</v>
      </c>
      <c r="K22" s="109" t="str">
        <f>IFERROR(VLOOKUP(H_Nov[[#This Row],[Service]],Codes[],4,0),"")</f>
        <v/>
      </c>
      <c r="L22" s="49">
        <f>IF(H_Nov[[#This Row],[PNP Début]]=0,0,IF(H_Nov[[#This Row],[PNP Début]]&lt;H_Nov[[#This Row],[début]],1,0)+H_Nov[[#This Row],[PNP Début]])</f>
        <v>0</v>
      </c>
      <c r="M22" s="50">
        <f>IF(H_Nov[[#This Row],[PNP Fin]]=0,0,IF(H_Nov[[#This Row],[PNP Fin]]&lt;H_Nov[[#This Row],[début]],1,0)+H_Nov[[#This Row],[PNP Fin]])</f>
        <v>0</v>
      </c>
      <c r="N22" s="50">
        <f>IF(H_Nov[[#This Row],[Fin]]&lt;H_Nov[[#This Row],[début]],1,0)+H_Nov[[#This Row],[Fin]]</f>
        <v>0</v>
      </c>
      <c r="O2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22" s="165"/>
    </row>
    <row r="23" spans="1:23" ht="15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0.1*(H_Nov[[#This Row],[Heures de nuit]]+IF(H_Nov[[#This Row],[majoration dim &amp; JF]]="non",0,H_Nov[[#This Row],[heures jour dimanche]]+H_Nov[[#This Row],[heures jour fériés]]))</f>
        <v>0</v>
      </c>
      <c r="J23" s="48">
        <f>(MOD(H_Nov[[#This Row],[Fin]]-H_Nov[[#This Row],[début]],1)-MOD(H_Nov[[#This Row],[PNP Fin]]-H_Nov[[#This Row],[PNP Début]],1))*24</f>
        <v>0</v>
      </c>
      <c r="K23" s="109" t="str">
        <f>IFERROR(VLOOKUP(H_Nov[[#This Row],[Service]],Codes[],4,0),"")</f>
        <v/>
      </c>
      <c r="L23" s="49">
        <f>IF(H_Nov[[#This Row],[PNP Début]]=0,0,IF(H_Nov[[#This Row],[PNP Début]]&lt;H_Nov[[#This Row],[début]],1,0)+H_Nov[[#This Row],[PNP Début]])</f>
        <v>0</v>
      </c>
      <c r="M23" s="50">
        <f>IF(H_Nov[[#This Row],[PNP Fin]]=0,0,IF(H_Nov[[#This Row],[PNP Fin]]&lt;H_Nov[[#This Row],[début]],1,0)+H_Nov[[#This Row],[PNP Fin]])</f>
        <v>0</v>
      </c>
      <c r="N23" s="50">
        <f>IF(H_Nov[[#This Row],[Fin]]&lt;H_Nov[[#This Row],[début]],1,0)+H_Nov[[#This Row],[Fin]]</f>
        <v>0</v>
      </c>
      <c r="O2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  <c r="V23" s="164" t="s">
        <v>168</v>
      </c>
      <c r="W23" s="162">
        <f>COUNTIF(B13:B49,"*CCT*")</f>
        <v>0</v>
      </c>
    </row>
    <row r="24" spans="1:23" x14ac:dyDescent="0.3">
      <c r="A24" s="4"/>
      <c r="B24" s="1"/>
      <c r="C24" s="2"/>
      <c r="D24" s="2"/>
      <c r="E24" s="3"/>
      <c r="F24" s="3"/>
      <c r="G24" s="3"/>
      <c r="H24" s="3"/>
      <c r="I24" s="47">
        <f>0.1*(H_Nov[[#This Row],[Heures de nuit]]+IF(H_Nov[[#This Row],[majoration dim &amp; JF]]="non",0,H_Nov[[#This Row],[heures jour dimanche]]+H_Nov[[#This Row],[heures jour fériés]]))</f>
        <v>0</v>
      </c>
      <c r="J24" s="48">
        <f>(MOD(H_Nov[[#This Row],[Fin]]-H_Nov[[#This Row],[début]],1)-MOD(H_Nov[[#This Row],[PNP Fin]]-H_Nov[[#This Row],[PNP Début]],1))*24</f>
        <v>0</v>
      </c>
      <c r="K24" s="109" t="str">
        <f>IFERROR(VLOOKUP(H_Nov[[#This Row],[Service]],Codes[],4,0),"")</f>
        <v/>
      </c>
      <c r="L24" s="49">
        <f>IF(H_Nov[[#This Row],[PNP Début]]=0,0,IF(H_Nov[[#This Row],[PNP Début]]&lt;H_Nov[[#This Row],[début]],1,0)+H_Nov[[#This Row],[PNP Début]])</f>
        <v>0</v>
      </c>
      <c r="M24" s="50">
        <f>IF(H_Nov[[#This Row],[PNP Fin]]=0,0,IF(H_Nov[[#This Row],[PNP Fin]]&lt;H_Nov[[#This Row],[début]],1,0)+H_Nov[[#This Row],[PNP Fin]])</f>
        <v>0</v>
      </c>
      <c r="N24" s="50">
        <f>IF(H_Nov[[#This Row],[Fin]]&lt;H_Nov[[#This Row],[début]],1,0)+H_Nov[[#This Row],[Fin]]</f>
        <v>0</v>
      </c>
      <c r="O2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5" spans="1:23" x14ac:dyDescent="0.3">
      <c r="A25" s="4"/>
      <c r="B25" s="1"/>
      <c r="C25" s="2"/>
      <c r="D25" s="2"/>
      <c r="E25" s="3"/>
      <c r="F25" s="3"/>
      <c r="G25" s="3"/>
      <c r="H25" s="3"/>
      <c r="I25" s="47">
        <f>0.1*(H_Nov[[#This Row],[Heures de nuit]]+IF(H_Nov[[#This Row],[majoration dim &amp; JF]]="non",0,H_Nov[[#This Row],[heures jour dimanche]]+H_Nov[[#This Row],[heures jour fériés]]))</f>
        <v>0</v>
      </c>
      <c r="J25" s="48">
        <f>(MOD(H_Nov[[#This Row],[Fin]]-H_Nov[[#This Row],[début]],1)-MOD(H_Nov[[#This Row],[PNP Fin]]-H_Nov[[#This Row],[PNP Début]],1))*24</f>
        <v>0</v>
      </c>
      <c r="K25" s="109" t="str">
        <f>IFERROR(VLOOKUP(H_Nov[[#This Row],[Service]],Codes[],4,0),"")</f>
        <v/>
      </c>
      <c r="L25" s="49">
        <f>IF(H_Nov[[#This Row],[PNP Début]]=0,0,IF(H_Nov[[#This Row],[PNP Début]]&lt;H_Nov[[#This Row],[début]],1,0)+H_Nov[[#This Row],[PNP Début]])</f>
        <v>0</v>
      </c>
      <c r="M25" s="50">
        <f>IF(H_Nov[[#This Row],[PNP Fin]]=0,0,IF(H_Nov[[#This Row],[PNP Fin]]&lt;H_Nov[[#This Row],[début]],1,0)+H_Nov[[#This Row],[PNP Fin]])</f>
        <v>0</v>
      </c>
      <c r="N25" s="50">
        <f>IF(H_Nov[[#This Row],[Fin]]&lt;H_Nov[[#This Row],[début]],1,0)+H_Nov[[#This Row],[Fin]]</f>
        <v>0</v>
      </c>
      <c r="O2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6" spans="1:23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0.1*(H_Nov[[#This Row],[Heures de nuit]]+IF(H_Nov[[#This Row],[majoration dim &amp; JF]]="non",0,H_Nov[[#This Row],[heures jour dimanche]]+H_Nov[[#This Row],[heures jour fériés]]))</f>
        <v>0</v>
      </c>
      <c r="J26" s="48">
        <f>(MOD(H_Nov[[#This Row],[Fin]]-H_Nov[[#This Row],[début]],1)-MOD(H_Nov[[#This Row],[PNP Fin]]-H_Nov[[#This Row],[PNP Début]],1))*24</f>
        <v>0</v>
      </c>
      <c r="K26" s="109" t="str">
        <f>IFERROR(VLOOKUP(H_Nov[[#This Row],[Service]],Codes[],4,0),"")</f>
        <v/>
      </c>
      <c r="L26" s="49">
        <f>IF(H_Nov[[#This Row],[PNP Début]]=0,0,IF(H_Nov[[#This Row],[PNP Début]]&lt;H_Nov[[#This Row],[début]],1,0)+H_Nov[[#This Row],[PNP Début]])</f>
        <v>0</v>
      </c>
      <c r="M26" s="50">
        <f>IF(H_Nov[[#This Row],[PNP Fin]]=0,0,IF(H_Nov[[#This Row],[PNP Fin]]&lt;H_Nov[[#This Row],[début]],1,0)+H_Nov[[#This Row],[PNP Fin]])</f>
        <v>0</v>
      </c>
      <c r="N26" s="50">
        <f>IF(H_Nov[[#This Row],[Fin]]&lt;H_Nov[[#This Row],[début]],1,0)+H_Nov[[#This Row],[Fin]]</f>
        <v>0</v>
      </c>
      <c r="O2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7" spans="1:23" x14ac:dyDescent="0.3">
      <c r="A27" s="4"/>
      <c r="B27" s="1"/>
      <c r="C27" s="2"/>
      <c r="D27" s="2"/>
      <c r="E27" s="3"/>
      <c r="F27" s="3"/>
      <c r="G27" s="3"/>
      <c r="H27" s="3"/>
      <c r="I27" s="47">
        <f>0.1*(H_Nov[[#This Row],[Heures de nuit]]+IF(H_Nov[[#This Row],[majoration dim &amp; JF]]="non",0,H_Nov[[#This Row],[heures jour dimanche]]+H_Nov[[#This Row],[heures jour fériés]]))</f>
        <v>0</v>
      </c>
      <c r="J27" s="48">
        <f>(MOD(H_Nov[[#This Row],[Fin]]-H_Nov[[#This Row],[début]],1)-MOD(H_Nov[[#This Row],[PNP Fin]]-H_Nov[[#This Row],[PNP Début]],1))*24</f>
        <v>0</v>
      </c>
      <c r="K27" s="109" t="str">
        <f>IFERROR(VLOOKUP(H_Nov[[#This Row],[Service]],Codes[],4,0),"")</f>
        <v/>
      </c>
      <c r="L27" s="49">
        <f>IF(H_Nov[[#This Row],[PNP Début]]=0,0,IF(H_Nov[[#This Row],[PNP Début]]&lt;H_Nov[[#This Row],[début]],1,0)+H_Nov[[#This Row],[PNP Début]])</f>
        <v>0</v>
      </c>
      <c r="M27" s="50">
        <f>IF(H_Nov[[#This Row],[PNP Fin]]=0,0,IF(H_Nov[[#This Row],[PNP Fin]]&lt;H_Nov[[#This Row],[début]],1,0)+H_Nov[[#This Row],[PNP Fin]])</f>
        <v>0</v>
      </c>
      <c r="N27" s="50">
        <f>IF(H_Nov[[#This Row],[Fin]]&lt;H_Nov[[#This Row],[début]],1,0)+H_Nov[[#This Row],[Fin]]</f>
        <v>0</v>
      </c>
      <c r="O2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8" spans="1:23" x14ac:dyDescent="0.3">
      <c r="A28" s="4"/>
      <c r="B28" s="1"/>
      <c r="C28" s="2"/>
      <c r="D28" s="2"/>
      <c r="E28" s="3"/>
      <c r="F28" s="3"/>
      <c r="G28" s="3"/>
      <c r="H28" s="3"/>
      <c r="I28" s="47">
        <f>0.1*(H_Nov[[#This Row],[Heures de nuit]]+IF(H_Nov[[#This Row],[majoration dim &amp; JF]]="non",0,H_Nov[[#This Row],[heures jour dimanche]]+H_Nov[[#This Row],[heures jour fériés]]))</f>
        <v>0</v>
      </c>
      <c r="J28" s="48">
        <f>(MOD(H_Nov[[#This Row],[Fin]]-H_Nov[[#This Row],[début]],1)-MOD(H_Nov[[#This Row],[PNP Fin]]-H_Nov[[#This Row],[PNP Début]],1))*24</f>
        <v>0</v>
      </c>
      <c r="K28" s="109" t="str">
        <f>IFERROR(VLOOKUP(H_Nov[[#This Row],[Service]],Codes[],4,0),"")</f>
        <v/>
      </c>
      <c r="L28" s="49">
        <f>IF(H_Nov[[#This Row],[PNP Début]]=0,0,IF(H_Nov[[#This Row],[PNP Début]]&lt;H_Nov[[#This Row],[début]],1,0)+H_Nov[[#This Row],[PNP Début]])</f>
        <v>0</v>
      </c>
      <c r="M28" s="50">
        <f>IF(H_Nov[[#This Row],[PNP Fin]]=0,0,IF(H_Nov[[#This Row],[PNP Fin]]&lt;H_Nov[[#This Row],[début]],1,0)+H_Nov[[#This Row],[PNP Fin]])</f>
        <v>0</v>
      </c>
      <c r="N28" s="50">
        <f>IF(H_Nov[[#This Row],[Fin]]&lt;H_Nov[[#This Row],[début]],1,0)+H_Nov[[#This Row],[Fin]]</f>
        <v>0</v>
      </c>
      <c r="O2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9" spans="1:23" x14ac:dyDescent="0.3">
      <c r="A29" s="4"/>
      <c r="B29" s="1"/>
      <c r="C29" s="2"/>
      <c r="D29" s="2"/>
      <c r="E29" s="3"/>
      <c r="F29" s="3"/>
      <c r="G29" s="3"/>
      <c r="H29" s="3"/>
      <c r="I29" s="47">
        <f>0.1*(H_Nov[[#This Row],[Heures de nuit]]+IF(H_Nov[[#This Row],[majoration dim &amp; JF]]="non",0,H_Nov[[#This Row],[heures jour dimanche]]+H_Nov[[#This Row],[heures jour fériés]]))</f>
        <v>0</v>
      </c>
      <c r="J29" s="48">
        <f>(MOD(H_Nov[[#This Row],[Fin]]-H_Nov[[#This Row],[début]],1)-MOD(H_Nov[[#This Row],[PNP Fin]]-H_Nov[[#This Row],[PNP Début]],1))*24</f>
        <v>0</v>
      </c>
      <c r="K29" s="109" t="str">
        <f>IFERROR(VLOOKUP(H_Nov[[#This Row],[Service]],Codes[],4,0),"")</f>
        <v/>
      </c>
      <c r="L29" s="49">
        <f>IF(H_Nov[[#This Row],[PNP Début]]=0,0,IF(H_Nov[[#This Row],[PNP Début]]&lt;H_Nov[[#This Row],[début]],1,0)+H_Nov[[#This Row],[PNP Début]])</f>
        <v>0</v>
      </c>
      <c r="M29" s="50">
        <f>IF(H_Nov[[#This Row],[PNP Fin]]=0,0,IF(H_Nov[[#This Row],[PNP Fin]]&lt;H_Nov[[#This Row],[début]],1,0)+H_Nov[[#This Row],[PNP Fin]])</f>
        <v>0</v>
      </c>
      <c r="N29" s="50">
        <f>IF(H_Nov[[#This Row],[Fin]]&lt;H_Nov[[#This Row],[début]],1,0)+H_Nov[[#This Row],[Fin]]</f>
        <v>0</v>
      </c>
      <c r="O2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0" spans="1:23" x14ac:dyDescent="0.3">
      <c r="A30" s="4"/>
      <c r="B30" s="1"/>
      <c r="C30" s="2"/>
      <c r="D30" s="2"/>
      <c r="E30" s="3"/>
      <c r="F30" s="3"/>
      <c r="G30" s="3"/>
      <c r="H30" s="3"/>
      <c r="I30" s="47">
        <f>0.1*(H_Nov[[#This Row],[Heures de nuit]]+IF(H_Nov[[#This Row],[majoration dim &amp; JF]]="non",0,H_Nov[[#This Row],[heures jour dimanche]]+H_Nov[[#This Row],[heures jour fériés]]))</f>
        <v>0</v>
      </c>
      <c r="J30" s="48">
        <f>(MOD(H_Nov[[#This Row],[Fin]]-H_Nov[[#This Row],[début]],1)-MOD(H_Nov[[#This Row],[PNP Fin]]-H_Nov[[#This Row],[PNP Début]],1))*24</f>
        <v>0</v>
      </c>
      <c r="K30" s="109" t="str">
        <f>IFERROR(VLOOKUP(H_Nov[[#This Row],[Service]],Codes[],4,0),"")</f>
        <v/>
      </c>
      <c r="L30" s="49">
        <f>IF(H_Nov[[#This Row],[PNP Début]]=0,0,IF(H_Nov[[#This Row],[PNP Début]]&lt;H_Nov[[#This Row],[début]],1,0)+H_Nov[[#This Row],[PNP Début]])</f>
        <v>0</v>
      </c>
      <c r="M30" s="50">
        <f>IF(H_Nov[[#This Row],[PNP Fin]]=0,0,IF(H_Nov[[#This Row],[PNP Fin]]&lt;H_Nov[[#This Row],[début]],1,0)+H_Nov[[#This Row],[PNP Fin]])</f>
        <v>0</v>
      </c>
      <c r="N30" s="50">
        <f>IF(H_Nov[[#This Row],[Fin]]&lt;H_Nov[[#This Row],[début]],1,0)+H_Nov[[#This Row],[Fin]]</f>
        <v>0</v>
      </c>
      <c r="O3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0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1" spans="1:23" x14ac:dyDescent="0.3">
      <c r="A31" s="4"/>
      <c r="B31" s="1"/>
      <c r="C31" s="2"/>
      <c r="D31" s="2"/>
      <c r="E31" s="3"/>
      <c r="F31" s="3"/>
      <c r="G31" s="3"/>
      <c r="H31" s="3"/>
      <c r="I31" s="47">
        <f>0.1*(H_Nov[[#This Row],[Heures de nuit]]+IF(H_Nov[[#This Row],[majoration dim &amp; JF]]="non",0,H_Nov[[#This Row],[heures jour dimanche]]+H_Nov[[#This Row],[heures jour fériés]]))</f>
        <v>0</v>
      </c>
      <c r="J31" s="48">
        <f>(MOD(H_Nov[[#This Row],[Fin]]-H_Nov[[#This Row],[début]],1)-MOD(H_Nov[[#This Row],[PNP Fin]]-H_Nov[[#This Row],[PNP Début]],1))*24</f>
        <v>0</v>
      </c>
      <c r="K31" s="109" t="str">
        <f>IFERROR(VLOOKUP(H_Nov[[#This Row],[Service]],Codes[],4,0),"")</f>
        <v/>
      </c>
      <c r="L31" s="49">
        <f>IF(H_Nov[[#This Row],[PNP Début]]=0,0,IF(H_Nov[[#This Row],[PNP Début]]&lt;H_Nov[[#This Row],[début]],1,0)+H_Nov[[#This Row],[PNP Début]])</f>
        <v>0</v>
      </c>
      <c r="M31" s="50">
        <f>IF(H_Nov[[#This Row],[PNP Fin]]=0,0,IF(H_Nov[[#This Row],[PNP Fin]]&lt;H_Nov[[#This Row],[début]],1,0)+H_Nov[[#This Row],[PNP Fin]])</f>
        <v>0</v>
      </c>
      <c r="N31" s="50">
        <f>IF(H_Nov[[#This Row],[Fin]]&lt;H_Nov[[#This Row],[début]],1,0)+H_Nov[[#This Row],[Fin]]</f>
        <v>0</v>
      </c>
      <c r="O3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1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2" spans="1:23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0.1*(H_Nov[[#This Row],[Heures de nuit]]+IF(H_Nov[[#This Row],[majoration dim &amp; JF]]="non",0,H_Nov[[#This Row],[heures jour dimanche]]+H_Nov[[#This Row],[heures jour fériés]]))</f>
        <v>0</v>
      </c>
      <c r="J32" s="48">
        <f>(MOD(H_Nov[[#This Row],[Fin]]-H_Nov[[#This Row],[début]],1)-MOD(H_Nov[[#This Row],[PNP Fin]]-H_Nov[[#This Row],[PNP Début]],1))*24</f>
        <v>0</v>
      </c>
      <c r="K32" s="109" t="str">
        <f>IFERROR(VLOOKUP(H_Nov[[#This Row],[Service]],Codes[],4,0),"")</f>
        <v/>
      </c>
      <c r="L32" s="49">
        <f>IF(H_Nov[[#This Row],[PNP Début]]=0,0,IF(H_Nov[[#This Row],[PNP Début]]&lt;H_Nov[[#This Row],[début]],1,0)+H_Nov[[#This Row],[PNP Début]])</f>
        <v>0</v>
      </c>
      <c r="M32" s="50">
        <f>IF(H_Nov[[#This Row],[PNP Fin]]=0,0,IF(H_Nov[[#This Row],[PNP Fin]]&lt;H_Nov[[#This Row],[début]],1,0)+H_Nov[[#This Row],[PNP Fin]])</f>
        <v>0</v>
      </c>
      <c r="N32" s="50">
        <f>IF(H_Nov[[#This Row],[Fin]]&lt;H_Nov[[#This Row],[début]],1,0)+H_Nov[[#This Row],[Fin]]</f>
        <v>0</v>
      </c>
      <c r="O3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0.1*(H_Nov[[#This Row],[Heures de nuit]]+IF(H_Nov[[#This Row],[majoration dim &amp; JF]]="non",0,H_Nov[[#This Row],[heures jour dimanche]]+H_Nov[[#This Row],[heures jour fériés]]))</f>
        <v>0</v>
      </c>
      <c r="J33" s="48">
        <f>(MOD(H_Nov[[#This Row],[Fin]]-H_Nov[[#This Row],[début]],1)-MOD(H_Nov[[#This Row],[PNP Fin]]-H_Nov[[#This Row],[PNP Début]],1))*24</f>
        <v>0</v>
      </c>
      <c r="K33" s="109" t="str">
        <f>IFERROR(VLOOKUP(H_Nov[[#This Row],[Service]],Codes[],4,0),"")</f>
        <v/>
      </c>
      <c r="L33" s="49">
        <f>IF(H_Nov[[#This Row],[PNP Début]]=0,0,IF(H_Nov[[#This Row],[PNP Début]]&lt;H_Nov[[#This Row],[début]],1,0)+H_Nov[[#This Row],[PNP Début]])</f>
        <v>0</v>
      </c>
      <c r="M33" s="50">
        <f>IF(H_Nov[[#This Row],[PNP Fin]]=0,0,IF(H_Nov[[#This Row],[PNP Fin]]&lt;H_Nov[[#This Row],[début]],1,0)+H_Nov[[#This Row],[PNP Fin]])</f>
        <v>0</v>
      </c>
      <c r="N33" s="50">
        <f>IF(H_Nov[[#This Row],[Fin]]&lt;H_Nov[[#This Row],[début]],1,0)+H_Nov[[#This Row],[Fin]]</f>
        <v>0</v>
      </c>
      <c r="O3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0.1*(H_Nov[[#This Row],[Heures de nuit]]+IF(H_Nov[[#This Row],[majoration dim &amp; JF]]="non",0,H_Nov[[#This Row],[heures jour dimanche]]+H_Nov[[#This Row],[heures jour fériés]]))</f>
        <v>0</v>
      </c>
      <c r="J34" s="48">
        <f>(MOD(H_Nov[[#This Row],[Fin]]-H_Nov[[#This Row],[début]],1)-MOD(H_Nov[[#This Row],[PNP Fin]]-H_Nov[[#This Row],[PNP Début]],1))*24</f>
        <v>0</v>
      </c>
      <c r="K34" s="109" t="str">
        <f>IFERROR(VLOOKUP(H_Nov[[#This Row],[Service]],Codes[],4,0),"")</f>
        <v/>
      </c>
      <c r="L34" s="49">
        <f>IF(H_Nov[[#This Row],[PNP Début]]=0,0,IF(H_Nov[[#This Row],[PNP Début]]&lt;H_Nov[[#This Row],[début]],1,0)+H_Nov[[#This Row],[PNP Début]])</f>
        <v>0</v>
      </c>
      <c r="M34" s="50">
        <f>IF(H_Nov[[#This Row],[PNP Fin]]=0,0,IF(H_Nov[[#This Row],[PNP Fin]]&lt;H_Nov[[#This Row],[début]],1,0)+H_Nov[[#This Row],[PNP Fin]])</f>
        <v>0</v>
      </c>
      <c r="N34" s="50">
        <f>IF(H_Nov[[#This Row],[Fin]]&lt;H_Nov[[#This Row],[début]],1,0)+H_Nov[[#This Row],[Fin]]</f>
        <v>0</v>
      </c>
      <c r="O3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0.1*(H_Nov[[#This Row],[Heures de nuit]]+IF(H_Nov[[#This Row],[majoration dim &amp; JF]]="non",0,H_Nov[[#This Row],[heures jour dimanche]]+H_Nov[[#This Row],[heures jour fériés]]))</f>
        <v>0</v>
      </c>
      <c r="J35" s="48">
        <f>(MOD(H_Nov[[#This Row],[Fin]]-H_Nov[[#This Row],[début]],1)-MOD(H_Nov[[#This Row],[PNP Fin]]-H_Nov[[#This Row],[PNP Début]],1))*24</f>
        <v>0</v>
      </c>
      <c r="K35" s="109" t="str">
        <f>IFERROR(VLOOKUP(H_Nov[[#This Row],[Service]],Codes[],4,0),"")</f>
        <v/>
      </c>
      <c r="L35" s="49">
        <f>IF(H_Nov[[#This Row],[PNP Début]]=0,0,IF(H_Nov[[#This Row],[PNP Début]]&lt;H_Nov[[#This Row],[début]],1,0)+H_Nov[[#This Row],[PNP Début]])</f>
        <v>0</v>
      </c>
      <c r="M35" s="50">
        <f>IF(H_Nov[[#This Row],[PNP Fin]]=0,0,IF(H_Nov[[#This Row],[PNP Fin]]&lt;H_Nov[[#This Row],[début]],1,0)+H_Nov[[#This Row],[PNP Fin]])</f>
        <v>0</v>
      </c>
      <c r="N35" s="50">
        <f>IF(H_Nov[[#This Row],[Fin]]&lt;H_Nov[[#This Row],[début]],1,0)+H_Nov[[#This Row],[Fin]]</f>
        <v>0</v>
      </c>
      <c r="O3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0.1*(H_Nov[[#This Row],[Heures de nuit]]+IF(H_Nov[[#This Row],[majoration dim &amp; JF]]="non",0,H_Nov[[#This Row],[heures jour dimanche]]+H_Nov[[#This Row],[heures jour fériés]]))</f>
        <v>0</v>
      </c>
      <c r="J36" s="48">
        <f>(MOD(H_Nov[[#This Row],[Fin]]-H_Nov[[#This Row],[début]],1)-MOD(H_Nov[[#This Row],[PNP Fin]]-H_Nov[[#This Row],[PNP Début]],1))*24</f>
        <v>0</v>
      </c>
      <c r="K36" s="109" t="str">
        <f>IFERROR(VLOOKUP(H_Nov[[#This Row],[Service]],Codes[],4,0),"")</f>
        <v/>
      </c>
      <c r="L36" s="49">
        <f>IF(H_Nov[[#This Row],[PNP Début]]=0,0,IF(H_Nov[[#This Row],[PNP Début]]&lt;H_Nov[[#This Row],[début]],1,0)+H_Nov[[#This Row],[PNP Début]])</f>
        <v>0</v>
      </c>
      <c r="M36" s="50">
        <f>IF(H_Nov[[#This Row],[PNP Fin]]=0,0,IF(H_Nov[[#This Row],[PNP Fin]]&lt;H_Nov[[#This Row],[début]],1,0)+H_Nov[[#This Row],[PNP Fin]])</f>
        <v>0</v>
      </c>
      <c r="N36" s="50">
        <f>IF(H_Nov[[#This Row],[Fin]]&lt;H_Nov[[#This Row],[début]],1,0)+H_Nov[[#This Row],[Fin]]</f>
        <v>0</v>
      </c>
      <c r="O3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0.1*(H_Nov[[#This Row],[Heures de nuit]]+IF(H_Nov[[#This Row],[majoration dim &amp; JF]]="non",0,H_Nov[[#This Row],[heures jour dimanche]]+H_Nov[[#This Row],[heures jour fériés]]))</f>
        <v>0</v>
      </c>
      <c r="J37" s="48">
        <f>(MOD(H_Nov[[#This Row],[Fin]]-H_Nov[[#This Row],[début]],1)-MOD(H_Nov[[#This Row],[PNP Fin]]-H_Nov[[#This Row],[PNP Début]],1))*24</f>
        <v>0</v>
      </c>
      <c r="K37" s="109" t="str">
        <f>IFERROR(VLOOKUP(H_Nov[[#This Row],[Service]],Codes[],4,0),"")</f>
        <v/>
      </c>
      <c r="L37" s="49">
        <f>IF(H_Nov[[#This Row],[PNP Début]]=0,0,IF(H_Nov[[#This Row],[PNP Début]]&lt;H_Nov[[#This Row],[début]],1,0)+H_Nov[[#This Row],[PNP Début]])</f>
        <v>0</v>
      </c>
      <c r="M37" s="50">
        <f>IF(H_Nov[[#This Row],[PNP Fin]]=0,0,IF(H_Nov[[#This Row],[PNP Fin]]&lt;H_Nov[[#This Row],[début]],1,0)+H_Nov[[#This Row],[PNP Fin]])</f>
        <v>0</v>
      </c>
      <c r="N37" s="50">
        <f>IF(H_Nov[[#This Row],[Fin]]&lt;H_Nov[[#This Row],[début]],1,0)+H_Nov[[#This Row],[Fin]]</f>
        <v>0</v>
      </c>
      <c r="O3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0.1*(H_Nov[[#This Row],[Heures de nuit]]+IF(H_Nov[[#This Row],[majoration dim &amp; JF]]="non",0,H_Nov[[#This Row],[heures jour dimanche]]+H_Nov[[#This Row],[heures jour fériés]]))</f>
        <v>0</v>
      </c>
      <c r="J38" s="48">
        <f>(MOD(H_Nov[[#This Row],[Fin]]-H_Nov[[#This Row],[début]],1)-MOD(H_Nov[[#This Row],[PNP Fin]]-H_Nov[[#This Row],[PNP Début]],1))*24</f>
        <v>0</v>
      </c>
      <c r="K38" s="109" t="str">
        <f>IFERROR(VLOOKUP(H_Nov[[#This Row],[Service]],Codes[],4,0),"")</f>
        <v/>
      </c>
      <c r="L38" s="49">
        <f>IF(H_Nov[[#This Row],[PNP Début]]=0,0,IF(H_Nov[[#This Row],[PNP Début]]&lt;H_Nov[[#This Row],[début]],1,0)+H_Nov[[#This Row],[PNP Début]])</f>
        <v>0</v>
      </c>
      <c r="M38" s="50">
        <f>IF(H_Nov[[#This Row],[PNP Fin]]=0,0,IF(H_Nov[[#This Row],[PNP Fin]]&lt;H_Nov[[#This Row],[début]],1,0)+H_Nov[[#This Row],[PNP Fin]])</f>
        <v>0</v>
      </c>
      <c r="N38" s="50">
        <f>IF(H_Nov[[#This Row],[Fin]]&lt;H_Nov[[#This Row],[début]],1,0)+H_Nov[[#This Row],[Fin]]</f>
        <v>0</v>
      </c>
      <c r="O3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0.1*(H_Nov[[#This Row],[Heures de nuit]]+IF(H_Nov[[#This Row],[majoration dim &amp; JF]]="non",0,H_Nov[[#This Row],[heures jour dimanche]]+H_Nov[[#This Row],[heures jour fériés]]))</f>
        <v>0</v>
      </c>
      <c r="J39" s="48">
        <f>(MOD(H_Nov[[#This Row],[Fin]]-H_Nov[[#This Row],[début]],1)-MOD(H_Nov[[#This Row],[PNP Fin]]-H_Nov[[#This Row],[PNP Début]],1))*24</f>
        <v>0</v>
      </c>
      <c r="K39" s="109" t="str">
        <f>IFERROR(VLOOKUP(H_Nov[[#This Row],[Service]],Codes[],4,0),"")</f>
        <v/>
      </c>
      <c r="L39" s="49">
        <f>IF(H_Nov[[#This Row],[PNP Début]]=0,0,IF(H_Nov[[#This Row],[PNP Début]]&lt;H_Nov[[#This Row],[début]],1,0)+H_Nov[[#This Row],[PNP Début]])</f>
        <v>0</v>
      </c>
      <c r="M39" s="50">
        <f>IF(H_Nov[[#This Row],[PNP Fin]]=0,0,IF(H_Nov[[#This Row],[PNP Fin]]&lt;H_Nov[[#This Row],[début]],1,0)+H_Nov[[#This Row],[PNP Fin]])</f>
        <v>0</v>
      </c>
      <c r="N39" s="50">
        <f>IF(H_Nov[[#This Row],[Fin]]&lt;H_Nov[[#This Row],[début]],1,0)+H_Nov[[#This Row],[Fin]]</f>
        <v>0</v>
      </c>
      <c r="O3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0.1*(H_Nov[[#This Row],[Heures de nuit]]+IF(H_Nov[[#This Row],[majoration dim &amp; JF]]="non",0,H_Nov[[#This Row],[heures jour dimanche]]+H_Nov[[#This Row],[heures jour fériés]]))</f>
        <v>0</v>
      </c>
      <c r="J40" s="48">
        <f>(MOD(H_Nov[[#This Row],[Fin]]-H_Nov[[#This Row],[début]],1)-MOD(H_Nov[[#This Row],[PNP Fin]]-H_Nov[[#This Row],[PNP Début]],1))*24</f>
        <v>0</v>
      </c>
      <c r="K40" s="109" t="str">
        <f>IFERROR(VLOOKUP(H_Nov[[#This Row],[Service]],Codes[],4,0),"")</f>
        <v/>
      </c>
      <c r="L40" s="49">
        <f>IF(H_Nov[[#This Row],[PNP Début]]=0,0,IF(H_Nov[[#This Row],[PNP Début]]&lt;H_Nov[[#This Row],[début]],1,0)+H_Nov[[#This Row],[PNP Début]])</f>
        <v>0</v>
      </c>
      <c r="M40" s="50">
        <f>IF(H_Nov[[#This Row],[PNP Fin]]=0,0,IF(H_Nov[[#This Row],[PNP Fin]]&lt;H_Nov[[#This Row],[début]],1,0)+H_Nov[[#This Row],[PNP Fin]])</f>
        <v>0</v>
      </c>
      <c r="N40" s="50">
        <f>IF(H_Nov[[#This Row],[Fin]]&lt;H_Nov[[#This Row],[début]],1,0)+H_Nov[[#This Row],[Fin]]</f>
        <v>0</v>
      </c>
      <c r="O4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0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0.1*(H_Nov[[#This Row],[Heures de nuit]]+IF(H_Nov[[#This Row],[majoration dim &amp; JF]]="non",0,H_Nov[[#This Row],[heures jour dimanche]]+H_Nov[[#This Row],[heures jour fériés]]))</f>
        <v>0</v>
      </c>
      <c r="J41" s="48">
        <f>(MOD(H_Nov[[#This Row],[Fin]]-H_Nov[[#This Row],[début]],1)-MOD(H_Nov[[#This Row],[PNP Fin]]-H_Nov[[#This Row],[PNP Début]],1))*24</f>
        <v>0</v>
      </c>
      <c r="K41" s="109" t="str">
        <f>IFERROR(VLOOKUP(H_Nov[[#This Row],[Service]],Codes[],4,0),"")</f>
        <v/>
      </c>
      <c r="L41" s="49">
        <f>IF(H_Nov[[#This Row],[PNP Début]]=0,0,IF(H_Nov[[#This Row],[PNP Début]]&lt;H_Nov[[#This Row],[début]],1,0)+H_Nov[[#This Row],[PNP Début]])</f>
        <v>0</v>
      </c>
      <c r="M41" s="50">
        <f>IF(H_Nov[[#This Row],[PNP Fin]]=0,0,IF(H_Nov[[#This Row],[PNP Fin]]&lt;H_Nov[[#This Row],[début]],1,0)+H_Nov[[#This Row],[PNP Fin]])</f>
        <v>0</v>
      </c>
      <c r="N41" s="50">
        <f>IF(H_Nov[[#This Row],[Fin]]&lt;H_Nov[[#This Row],[début]],1,0)+H_Nov[[#This Row],[Fin]]</f>
        <v>0</v>
      </c>
      <c r="O4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1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0.1*(H_Nov[[#This Row],[Heures de nuit]]+IF(H_Nov[[#This Row],[majoration dim &amp; JF]]="non",0,H_Nov[[#This Row],[heures jour dimanche]]+H_Nov[[#This Row],[heures jour fériés]]))</f>
        <v>0</v>
      </c>
      <c r="J42" s="48">
        <f>(MOD(H_Nov[[#This Row],[Fin]]-H_Nov[[#This Row],[début]],1)-MOD(H_Nov[[#This Row],[PNP Fin]]-H_Nov[[#This Row],[PNP Début]],1))*24</f>
        <v>0</v>
      </c>
      <c r="K42" s="109" t="str">
        <f>IFERROR(VLOOKUP(H_Nov[[#This Row],[Service]],Codes[],4,0),"")</f>
        <v/>
      </c>
      <c r="L42" s="49">
        <f>IF(H_Nov[[#This Row],[PNP Début]]=0,0,IF(H_Nov[[#This Row],[PNP Début]]&lt;H_Nov[[#This Row],[début]],1,0)+H_Nov[[#This Row],[PNP Début]])</f>
        <v>0</v>
      </c>
      <c r="M42" s="50">
        <f>IF(H_Nov[[#This Row],[PNP Fin]]=0,0,IF(H_Nov[[#This Row],[PNP Fin]]&lt;H_Nov[[#This Row],[début]],1,0)+H_Nov[[#This Row],[PNP Fin]])</f>
        <v>0</v>
      </c>
      <c r="N42" s="50">
        <f>IF(H_Nov[[#This Row],[Fin]]&lt;H_Nov[[#This Row],[début]],1,0)+H_Nov[[#This Row],[Fin]]</f>
        <v>0</v>
      </c>
      <c r="O4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0.1*(H_Nov[[#This Row],[Heures de nuit]]+IF(H_Nov[[#This Row],[majoration dim &amp; JF]]="non",0,H_Nov[[#This Row],[heures jour dimanche]]+H_Nov[[#This Row],[heures jour fériés]]))</f>
        <v>0</v>
      </c>
      <c r="J43" s="48">
        <f>(MOD(H_Nov[[#This Row],[Fin]]-H_Nov[[#This Row],[début]],1)-MOD(H_Nov[[#This Row],[PNP Fin]]-H_Nov[[#This Row],[PNP Début]],1))*24</f>
        <v>0</v>
      </c>
      <c r="K43" s="109" t="str">
        <f>IFERROR(VLOOKUP(H_Nov[[#This Row],[Service]],Codes[],4,0),"")</f>
        <v/>
      </c>
      <c r="L43" s="49">
        <f>IF(H_Nov[[#This Row],[PNP Début]]=0,0,IF(H_Nov[[#This Row],[PNP Début]]&lt;H_Nov[[#This Row],[début]],1,0)+H_Nov[[#This Row],[PNP Début]])</f>
        <v>0</v>
      </c>
      <c r="M43" s="50">
        <f>IF(H_Nov[[#This Row],[PNP Fin]]=0,0,IF(H_Nov[[#This Row],[PNP Fin]]&lt;H_Nov[[#This Row],[début]],1,0)+H_Nov[[#This Row],[PNP Fin]])</f>
        <v>0</v>
      </c>
      <c r="N43" s="50">
        <f>IF(H_Nov[[#This Row],[Fin]]&lt;H_Nov[[#This Row],[début]],1,0)+H_Nov[[#This Row],[Fin]]</f>
        <v>0</v>
      </c>
      <c r="O4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0.1*(H_Nov[[#This Row],[Heures de nuit]]+IF(H_Nov[[#This Row],[majoration dim &amp; JF]]="non",0,H_Nov[[#This Row],[heures jour dimanche]]+H_Nov[[#This Row],[heures jour fériés]]))</f>
        <v>0</v>
      </c>
      <c r="J44" s="48">
        <f>(MOD(H_Nov[[#This Row],[Fin]]-H_Nov[[#This Row],[début]],1)-MOD(H_Nov[[#This Row],[PNP Fin]]-H_Nov[[#This Row],[PNP Début]],1))*24</f>
        <v>0</v>
      </c>
      <c r="K44" s="109" t="str">
        <f>IFERROR(VLOOKUP(H_Nov[[#This Row],[Service]],Codes[],4,0),"")</f>
        <v/>
      </c>
      <c r="L44" s="49">
        <f>IF(H_Nov[[#This Row],[PNP Début]]=0,0,IF(H_Nov[[#This Row],[PNP Début]]&lt;H_Nov[[#This Row],[début]],1,0)+H_Nov[[#This Row],[PNP Début]])</f>
        <v>0</v>
      </c>
      <c r="M44" s="50">
        <f>IF(H_Nov[[#This Row],[PNP Fin]]=0,0,IF(H_Nov[[#This Row],[PNP Fin]]&lt;H_Nov[[#This Row],[début]],1,0)+H_Nov[[#This Row],[PNP Fin]])</f>
        <v>0</v>
      </c>
      <c r="N44" s="50">
        <f>IF(H_Nov[[#This Row],[Fin]]&lt;H_Nov[[#This Row],[début]],1,0)+H_Nov[[#This Row],[Fin]]</f>
        <v>0</v>
      </c>
      <c r="O4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0.1*(H_Nov[[#This Row],[Heures de nuit]]+IF(H_Nov[[#This Row],[majoration dim &amp; JF]]="non",0,H_Nov[[#This Row],[heures jour dimanche]]+H_Nov[[#This Row],[heures jour fériés]]))</f>
        <v>0</v>
      </c>
      <c r="J45" s="48">
        <f>(MOD(H_Nov[[#This Row],[Fin]]-H_Nov[[#This Row],[début]],1)-MOD(H_Nov[[#This Row],[PNP Fin]]-H_Nov[[#This Row],[PNP Début]],1))*24</f>
        <v>0</v>
      </c>
      <c r="K45" s="109" t="str">
        <f>IFERROR(VLOOKUP(H_Nov[[#This Row],[Service]],Codes[],4,0),"")</f>
        <v/>
      </c>
      <c r="L45" s="49">
        <f>IF(H_Nov[[#This Row],[PNP Début]]=0,0,IF(H_Nov[[#This Row],[PNP Début]]&lt;H_Nov[[#This Row],[début]],1,0)+H_Nov[[#This Row],[PNP Début]])</f>
        <v>0</v>
      </c>
      <c r="M45" s="50">
        <f>IF(H_Nov[[#This Row],[PNP Fin]]=0,0,IF(H_Nov[[#This Row],[PNP Fin]]&lt;H_Nov[[#This Row],[début]],1,0)+H_Nov[[#This Row],[PNP Fin]])</f>
        <v>0</v>
      </c>
      <c r="N45" s="50">
        <f>IF(H_Nov[[#This Row],[Fin]]&lt;H_Nov[[#This Row],[début]],1,0)+H_Nov[[#This Row],[Fin]]</f>
        <v>0</v>
      </c>
      <c r="O4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0.1*(H_Nov[[#This Row],[Heures de nuit]]+IF(H_Nov[[#This Row],[majoration dim &amp; JF]]="non",0,H_Nov[[#This Row],[heures jour dimanche]]+H_Nov[[#This Row],[heures jour fériés]]))</f>
        <v>0</v>
      </c>
      <c r="J46" s="48">
        <f>(MOD(H_Nov[[#This Row],[Fin]]-H_Nov[[#This Row],[début]],1)-MOD(H_Nov[[#This Row],[PNP Fin]]-H_Nov[[#This Row],[PNP Début]],1))*24</f>
        <v>0</v>
      </c>
      <c r="K46" s="109" t="str">
        <f>IFERROR(VLOOKUP(H_Nov[[#This Row],[Service]],Codes[],4,0),"")</f>
        <v/>
      </c>
      <c r="L46" s="49">
        <f>IF(H_Nov[[#This Row],[PNP Début]]=0,0,IF(H_Nov[[#This Row],[PNP Début]]&lt;H_Nov[[#This Row],[début]],1,0)+H_Nov[[#This Row],[PNP Début]])</f>
        <v>0</v>
      </c>
      <c r="M46" s="50">
        <f>IF(H_Nov[[#This Row],[PNP Fin]]=0,0,IF(H_Nov[[#This Row],[PNP Fin]]&lt;H_Nov[[#This Row],[début]],1,0)+H_Nov[[#This Row],[PNP Fin]])</f>
        <v>0</v>
      </c>
      <c r="N46" s="50">
        <f>IF(H_Nov[[#This Row],[Fin]]&lt;H_Nov[[#This Row],[début]],1,0)+H_Nov[[#This Row],[Fin]]</f>
        <v>0</v>
      </c>
      <c r="O4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0.1*(H_Nov[[#This Row],[Heures de nuit]]+IF(H_Nov[[#This Row],[majoration dim &amp; JF]]="non",0,H_Nov[[#This Row],[heures jour dimanche]]+H_Nov[[#This Row],[heures jour fériés]]))</f>
        <v>0</v>
      </c>
      <c r="J47" s="48">
        <f>(MOD(H_Nov[[#This Row],[Fin]]-H_Nov[[#This Row],[début]],1)-MOD(H_Nov[[#This Row],[PNP Fin]]-H_Nov[[#This Row],[PNP Début]],1))*24</f>
        <v>0</v>
      </c>
      <c r="K47" s="109" t="str">
        <f>IFERROR(VLOOKUP(H_Nov[[#This Row],[Service]],Codes[],4,0),"")</f>
        <v/>
      </c>
      <c r="L47" s="49">
        <f>IF(H_Nov[[#This Row],[PNP Début]]=0,0,IF(H_Nov[[#This Row],[PNP Début]]&lt;H_Nov[[#This Row],[début]],1,0)+H_Nov[[#This Row],[PNP Début]])</f>
        <v>0</v>
      </c>
      <c r="M47" s="50">
        <f>IF(H_Nov[[#This Row],[PNP Fin]]=0,0,IF(H_Nov[[#This Row],[PNP Fin]]&lt;H_Nov[[#This Row],[début]],1,0)+H_Nov[[#This Row],[PNP Fin]])</f>
        <v>0</v>
      </c>
      <c r="N47" s="50">
        <f>IF(H_Nov[[#This Row],[Fin]]&lt;H_Nov[[#This Row],[début]],1,0)+H_Nov[[#This Row],[Fin]]</f>
        <v>0</v>
      </c>
      <c r="O4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0.1*(H_Nov[[#This Row],[Heures de nuit]]+IF(H_Nov[[#This Row],[majoration dim &amp; JF]]="non",0,H_Nov[[#This Row],[heures jour dimanche]]+H_Nov[[#This Row],[heures jour fériés]]))</f>
        <v>0</v>
      </c>
      <c r="J48" s="48">
        <f>(MOD(H_Nov[[#This Row],[Fin]]-H_Nov[[#This Row],[début]],1)-MOD(H_Nov[[#This Row],[PNP Fin]]-H_Nov[[#This Row],[PNP Début]],1))*24</f>
        <v>0</v>
      </c>
      <c r="K48" s="109" t="str">
        <f>IFERROR(VLOOKUP(H_Nov[[#This Row],[Service]],Codes[],4,0),"")</f>
        <v/>
      </c>
      <c r="L48" s="49">
        <f>IF(H_Nov[[#This Row],[PNP Début]]=0,0,IF(H_Nov[[#This Row],[PNP Début]]&lt;H_Nov[[#This Row],[début]],1,0)+H_Nov[[#This Row],[PNP Début]])</f>
        <v>0</v>
      </c>
      <c r="M48" s="50">
        <f>IF(H_Nov[[#This Row],[PNP Fin]]=0,0,IF(H_Nov[[#This Row],[PNP Fin]]&lt;H_Nov[[#This Row],[début]],1,0)+H_Nov[[#This Row],[PNP Fin]])</f>
        <v>0</v>
      </c>
      <c r="N48" s="50">
        <f>IF(H_Nov[[#This Row],[Fin]]&lt;H_Nov[[#This Row],[début]],1,0)+H_Nov[[#This Row],[Fin]]</f>
        <v>0</v>
      </c>
      <c r="O4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0.1*(H_Nov[[#This Row],[Heures de nuit]]+IF(H_Nov[[#This Row],[majoration dim &amp; JF]]="non",0,H_Nov[[#This Row],[heures jour dimanche]]+H_Nov[[#This Row],[heures jour fériés]]))</f>
        <v>0</v>
      </c>
      <c r="J49" s="48">
        <f>(MOD(H_Nov[[#This Row],[Fin]]-H_Nov[[#This Row],[début]],1)-MOD(H_Nov[[#This Row],[PNP Fin]]-H_Nov[[#This Row],[PNP Début]],1))*24</f>
        <v>0</v>
      </c>
      <c r="K49" s="109" t="str">
        <f>IFERROR(VLOOKUP(H_Nov[[#This Row],[Service]],Codes[],4,0),"")</f>
        <v/>
      </c>
      <c r="L49" s="49">
        <f>IF(H_Nov[[#This Row],[PNP Début]]=0,0,IF(H_Nov[[#This Row],[PNP Début]]&lt;H_Nov[[#This Row],[début]],1,0)+H_Nov[[#This Row],[PNP Début]])</f>
        <v>0</v>
      </c>
      <c r="M49" s="50">
        <f>IF(H_Nov[[#This Row],[PNP Fin]]=0,0,IF(H_Nov[[#This Row],[PNP Fin]]&lt;H_Nov[[#This Row],[début]],1,0)+H_Nov[[#This Row],[PNP Fin]])</f>
        <v>0</v>
      </c>
      <c r="N49" s="50">
        <f>IF(H_Nov[[#This Row],[Fin]]&lt;H_Nov[[#This Row],[début]],1,0)+H_Nov[[#This Row],[Fin]]</f>
        <v>0</v>
      </c>
      <c r="O4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SUM(H_Nov[Majoration])</f>
        <v>0</v>
      </c>
      <c r="J50" s="54">
        <f>SUM(H_Nov[Heures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58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I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print="0" autoLine="0" r:id="rId5">
            <anchor moveWithCells="1">
              <from>
                <xdr:col>9</xdr:col>
                <xdr:colOff>480060</xdr:colOff>
                <xdr:row>0</xdr:row>
                <xdr:rowOff>68580</xdr:rowOff>
              </from>
              <to>
                <xdr:col>9</xdr:col>
                <xdr:colOff>1272540</xdr:colOff>
                <xdr:row>3</xdr:row>
                <xdr:rowOff>190500</xdr:rowOff>
              </to>
            </anchor>
          </controlPr>
        </control>
      </mc:Choice>
      <mc:Fallback>
        <control shapeId="1433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Z60"/>
  <sheetViews>
    <sheetView showWhiteSpace="0" topLeftCell="B1" zoomScale="80" zoomScaleNormal="80" zoomScalePageLayoutView="85" workbookViewId="0">
      <selection activeCell="AE37" sqref="AE37"/>
    </sheetView>
  </sheetViews>
  <sheetFormatPr baseColWidth="10" defaultRowHeight="14.4" x14ac:dyDescent="0.3"/>
  <cols>
    <col min="1" max="1" width="20.5546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hidden="1" customWidth="1"/>
    <col min="22" max="22" width="22.109375" customWidth="1"/>
  </cols>
  <sheetData>
    <row r="1" spans="1:26" ht="15.6" customHeight="1" x14ac:dyDescent="0.3">
      <c r="A1" s="214"/>
      <c r="B1" s="21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6" ht="14.4" customHeight="1" x14ac:dyDescent="0.3">
      <c r="A2" s="214"/>
      <c r="B2" s="21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6" ht="14.4" customHeight="1" x14ac:dyDescent="0.3">
      <c r="A3" s="215" t="s">
        <v>37</v>
      </c>
      <c r="B3" s="215"/>
      <c r="C3" s="215"/>
      <c r="D3" s="215"/>
      <c r="E3" s="215"/>
      <c r="F3" s="215"/>
      <c r="G3" s="215"/>
      <c r="H3" s="215"/>
      <c r="I3" s="215"/>
      <c r="J3" s="215"/>
      <c r="K3" s="95"/>
      <c r="L3" s="12"/>
      <c r="M3" s="12"/>
      <c r="N3" s="12"/>
      <c r="O3" s="12"/>
      <c r="P3" s="15"/>
      <c r="Q3" s="15"/>
      <c r="R3" s="15"/>
      <c r="S3" s="15"/>
      <c r="T3" s="15"/>
    </row>
    <row r="4" spans="1:26" ht="19.2" customHeight="1" thickBot="1" x14ac:dyDescent="0.3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104"/>
      <c r="L4" s="15"/>
      <c r="M4" s="15"/>
      <c r="N4" s="15"/>
      <c r="O4" s="15"/>
      <c r="P4" s="15"/>
      <c r="Q4" s="15"/>
      <c r="R4" s="15"/>
      <c r="S4" s="15"/>
      <c r="T4" s="15"/>
    </row>
    <row r="5" spans="1:26" ht="19.8" customHeight="1" x14ac:dyDescent="0.3">
      <c r="A5" s="76" t="s">
        <v>102</v>
      </c>
      <c r="B5" s="77"/>
      <c r="C5" s="17" t="s">
        <v>36</v>
      </c>
      <c r="D5" s="224"/>
      <c r="E5" s="225"/>
      <c r="F5" s="225"/>
      <c r="G5" s="219" t="s">
        <v>22</v>
      </c>
      <c r="H5" s="219"/>
      <c r="I5" s="59"/>
      <c r="J5" s="78"/>
      <c r="K5" s="105"/>
      <c r="L5" s="15"/>
      <c r="M5" s="15"/>
      <c r="N5" s="15"/>
      <c r="O5" s="15"/>
      <c r="P5" s="15"/>
      <c r="Q5" s="15"/>
      <c r="R5" s="15"/>
      <c r="S5" s="15"/>
      <c r="T5" s="15"/>
    </row>
    <row r="6" spans="1:26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06"/>
      <c r="L6" s="15"/>
      <c r="M6" s="15"/>
      <c r="N6" s="15"/>
      <c r="O6" s="15"/>
      <c r="P6" s="15"/>
      <c r="Q6" s="15"/>
      <c r="R6" s="15"/>
      <c r="S6" s="15"/>
      <c r="T6" s="15"/>
    </row>
    <row r="7" spans="1:26" ht="15" thickBot="1" x14ac:dyDescent="0.35">
      <c r="A7" s="55" t="s">
        <v>23</v>
      </c>
      <c r="B7" s="79"/>
      <c r="C7" s="21" t="s">
        <v>24</v>
      </c>
      <c r="D7" s="21"/>
      <c r="E7" s="79"/>
      <c r="F7" s="21"/>
      <c r="G7" s="21"/>
      <c r="H7" s="21"/>
      <c r="I7" s="21"/>
      <c r="J7" s="22"/>
      <c r="K7" s="107"/>
      <c r="L7" s="15"/>
      <c r="M7" s="15"/>
      <c r="N7" s="15"/>
      <c r="O7" s="15"/>
      <c r="P7" s="15"/>
      <c r="Q7" s="15"/>
      <c r="R7" s="15"/>
      <c r="S7" s="15"/>
      <c r="T7" s="15"/>
    </row>
    <row r="8" spans="1:26" ht="9.6" customHeight="1" thickBo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6" ht="16.8" customHeight="1" x14ac:dyDescent="0.3">
      <c r="A9" s="209" t="s">
        <v>0</v>
      </c>
      <c r="B9" s="209" t="s">
        <v>1</v>
      </c>
      <c r="C9" s="209" t="s">
        <v>2</v>
      </c>
      <c r="D9" s="209"/>
      <c r="E9" s="210" t="s">
        <v>25</v>
      </c>
      <c r="F9" s="210"/>
      <c r="G9" s="210"/>
      <c r="H9" s="210"/>
      <c r="I9" s="211" t="s">
        <v>21</v>
      </c>
      <c r="J9" s="212" t="s">
        <v>62</v>
      </c>
      <c r="K9" s="108"/>
      <c r="L9" s="15"/>
      <c r="M9" s="15"/>
      <c r="N9" s="15"/>
      <c r="O9" s="15"/>
      <c r="P9" s="15"/>
      <c r="Q9" s="15"/>
      <c r="R9" s="15"/>
      <c r="S9" s="15"/>
      <c r="T9" s="15"/>
      <c r="V9" s="173" t="s">
        <v>125</v>
      </c>
      <c r="W9" s="180">
        <v>173</v>
      </c>
      <c r="X9" s="114"/>
      <c r="Y9" s="116"/>
      <c r="Z9" s="114"/>
    </row>
    <row r="10" spans="1:26" ht="15" thickBot="1" x14ac:dyDescent="0.35">
      <c r="A10" s="209"/>
      <c r="B10" s="209"/>
      <c r="C10" s="213" t="s">
        <v>3</v>
      </c>
      <c r="D10" s="213" t="s">
        <v>4</v>
      </c>
      <c r="E10" s="210" t="s">
        <v>26</v>
      </c>
      <c r="F10" s="210"/>
      <c r="G10" s="210" t="s">
        <v>27</v>
      </c>
      <c r="H10" s="210"/>
      <c r="I10" s="211"/>
      <c r="J10" s="212"/>
      <c r="K10" s="108"/>
      <c r="L10" s="15"/>
      <c r="M10" s="15"/>
      <c r="N10" s="15"/>
      <c r="O10" s="15"/>
      <c r="P10" s="15"/>
      <c r="Q10" s="15"/>
      <c r="R10" s="15"/>
      <c r="S10" s="15"/>
      <c r="T10" s="15"/>
      <c r="V10" s="176" t="s">
        <v>126</v>
      </c>
      <c r="W10" s="179">
        <f>J50</f>
        <v>0</v>
      </c>
      <c r="X10" s="114"/>
      <c r="Y10" s="114"/>
      <c r="Z10" s="114"/>
    </row>
    <row r="11" spans="1:26" x14ac:dyDescent="0.3">
      <c r="A11" s="209"/>
      <c r="B11" s="209"/>
      <c r="C11" s="213"/>
      <c r="D11" s="213"/>
      <c r="E11" s="60" t="s">
        <v>28</v>
      </c>
      <c r="F11" s="60" t="s">
        <v>4</v>
      </c>
      <c r="G11" s="60" t="s">
        <v>28</v>
      </c>
      <c r="H11" s="60" t="s">
        <v>4</v>
      </c>
      <c r="I11" s="211"/>
      <c r="J11" s="212"/>
      <c r="K11" s="108"/>
      <c r="L11" s="23"/>
      <c r="M11" s="15"/>
      <c r="N11" s="15"/>
      <c r="O11" s="15"/>
      <c r="P11" s="15"/>
      <c r="Q11" s="15"/>
      <c r="R11" s="15"/>
      <c r="S11" s="15"/>
      <c r="T11" s="15"/>
      <c r="V11" s="166"/>
      <c r="W11" s="114"/>
      <c r="X11" s="114"/>
      <c r="Y11" s="114"/>
      <c r="Z11" s="114"/>
    </row>
    <row r="12" spans="1:26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124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  <c r="V12" s="167"/>
      <c r="W12" s="115"/>
      <c r="X12" s="115"/>
      <c r="Y12" s="115"/>
      <c r="Z12" s="115"/>
    </row>
    <row r="13" spans="1:26" x14ac:dyDescent="0.3">
      <c r="A13" s="4"/>
      <c r="B13" s="1"/>
      <c r="C13" s="103"/>
      <c r="D13" s="103"/>
      <c r="E13" s="3"/>
      <c r="F13" s="3"/>
      <c r="G13" s="3"/>
      <c r="H13" s="3"/>
      <c r="I13" s="28">
        <f>0.1*(H_Dec[[#This Row],[Heures de nuit]]+IF(H_Dec[[#This Row],[majoration dim &amp; JF]]="non",0,H_Dec[[#This Row],[heures jour dimanche]]+H_Dec[[#This Row],[heures jour fériés]]))</f>
        <v>0</v>
      </c>
      <c r="J13" s="29">
        <f>(MOD(H_Dec[[#This Row],[Fin]]-H_Dec[[#This Row],[début]],1)-MOD(H_Dec[[#This Row],[PNP Fin]]-H_Dec[[#This Row],[PNP Début]],1))*24</f>
        <v>0</v>
      </c>
      <c r="K13" s="29" t="str">
        <f>IFERROR(VLOOKUP(H_Dec[[#This Row],[Service]],Codes[],4,0),"")</f>
        <v/>
      </c>
      <c r="L13" s="30">
        <f>IF(H_Dec[[#This Row],[PNP Début]]=0,0,IF(H_Dec[[#This Row],[PNP Début]]&lt;H_Dec[[#This Row],[début]],1,0)+H_Dec[[#This Row],[PNP Début]])</f>
        <v>0</v>
      </c>
      <c r="M13" s="30">
        <f>IF(H_Dec[[#This Row],[PNP Fin]]=0,0,IF(H_Dec[[#This Row],[PNP Fin]]&lt;H_Dec[[#This Row],[début]],1,0)+H_Dec[[#This Row],[PNP Fin]])</f>
        <v>0</v>
      </c>
      <c r="N13" s="30">
        <f>IF(H_Dec[[#This Row],[Fin]]&lt;H_Dec[[#This Row],[début]],1,0)+H_Dec[[#This Row],[Fin]]</f>
        <v>0</v>
      </c>
      <c r="O1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3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3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3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3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3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13" s="166"/>
      <c r="W13" s="114"/>
      <c r="X13" s="114"/>
      <c r="Y13" s="114"/>
      <c r="Z13" s="114"/>
    </row>
    <row r="14" spans="1:26" ht="15" thickBot="1" x14ac:dyDescent="0.35">
      <c r="A14" s="4"/>
      <c r="B14" s="1"/>
      <c r="C14" s="103"/>
      <c r="D14" s="103"/>
      <c r="E14" s="3"/>
      <c r="F14" s="3"/>
      <c r="G14" s="3"/>
      <c r="H14" s="3"/>
      <c r="I14" s="28">
        <f>0.1*(H_Dec[[#This Row],[Heures de nuit]]+IF(H_Dec[[#This Row],[majoration dim &amp; JF]]="non",0,H_Dec[[#This Row],[heures jour dimanche]]+H_Dec[[#This Row],[heures jour fériés]]))</f>
        <v>0</v>
      </c>
      <c r="J14" s="29">
        <f>(MOD(H_Dec[[#This Row],[Fin]]-H_Dec[[#This Row],[début]],1)-MOD(H_Dec[[#This Row],[PNP Fin]]-H_Dec[[#This Row],[PNP Début]],1))*24</f>
        <v>0</v>
      </c>
      <c r="K14" s="29" t="str">
        <f>IFERROR(VLOOKUP(H_Dec[[#This Row],[Service]],Codes[],4,0),"")</f>
        <v/>
      </c>
      <c r="L14" s="30">
        <f>IF(H_Dec[[#This Row],[PNP Début]]=0,0,IF(H_Dec[[#This Row],[PNP Début]]&lt;H_Dec[[#This Row],[début]],1,0)+H_Dec[[#This Row],[PNP Début]])</f>
        <v>0</v>
      </c>
      <c r="M14" s="30">
        <f>IF(H_Dec[[#This Row],[PNP Fin]]=0,0,IF(H_Dec[[#This Row],[PNP Fin]]&lt;H_Dec[[#This Row],[début]],1,0)+H_Dec[[#This Row],[PNP Fin]])</f>
        <v>0</v>
      </c>
      <c r="N14" s="30">
        <f>IF(H_Dec[[#This Row],[Fin]]&lt;H_Dec[[#This Row],[début]],1,0)+H_Dec[[#This Row],[Fin]]</f>
        <v>0</v>
      </c>
      <c r="O1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4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4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4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4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4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14" s="166"/>
      <c r="W14" s="114"/>
      <c r="X14" s="114"/>
      <c r="Y14" s="114"/>
      <c r="Z14" s="114"/>
    </row>
    <row r="15" spans="1:26" x14ac:dyDescent="0.3">
      <c r="A15" s="4"/>
      <c r="B15" s="1"/>
      <c r="C15" s="2"/>
      <c r="D15" s="2"/>
      <c r="E15" s="3"/>
      <c r="F15" s="3"/>
      <c r="G15" s="3"/>
      <c r="H15" s="3"/>
      <c r="I15" s="28">
        <f>0.1*(H_Dec[[#This Row],[Heures de nuit]]+IF(H_Dec[[#This Row],[majoration dim &amp; JF]]="non",0,H_Dec[[#This Row],[heures jour dimanche]]+H_Dec[[#This Row],[heures jour fériés]]))</f>
        <v>0</v>
      </c>
      <c r="J15" s="29">
        <f>(MOD(H_Dec[[#This Row],[Fin]]-H_Dec[[#This Row],[début]],1)-MOD(H_Dec[[#This Row],[PNP Fin]]-H_Dec[[#This Row],[PNP Début]],1))*24</f>
        <v>0</v>
      </c>
      <c r="K15" s="29" t="str">
        <f>IFERROR(VLOOKUP(H_Dec[[#This Row],[Service]],Codes[],4,0),"")</f>
        <v/>
      </c>
      <c r="L15" s="30">
        <f>IF(H_Dec[[#This Row],[PNP Début]]=0,0,IF(H_Dec[[#This Row],[PNP Début]]&lt;H_Dec[[#This Row],[début]],1,0)+H_Dec[[#This Row],[PNP Début]])</f>
        <v>0</v>
      </c>
      <c r="M15" s="30">
        <f>IF(H_Dec[[#This Row],[PNP Fin]]=0,0,IF(H_Dec[[#This Row],[PNP Fin]]&lt;H_Dec[[#This Row],[début]],1,0)+H_Dec[[#This Row],[PNP Fin]])</f>
        <v>0</v>
      </c>
      <c r="N15" s="30">
        <f>IF(H_Dec[[#This Row],[Fin]]&lt;H_Dec[[#This Row],[début]],1,0)+H_Dec[[#This Row],[Fin]]</f>
        <v>0</v>
      </c>
      <c r="O1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5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5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5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5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5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15" s="173" t="s">
        <v>127</v>
      </c>
      <c r="W15" s="182" t="s">
        <v>129</v>
      </c>
      <c r="X15" s="182" t="s">
        <v>132</v>
      </c>
      <c r="Y15" s="182" t="s">
        <v>131</v>
      </c>
      <c r="Z15" s="183" t="s">
        <v>130</v>
      </c>
    </row>
    <row r="16" spans="1:26" ht="15" thickBot="1" x14ac:dyDescent="0.35">
      <c r="A16" s="4"/>
      <c r="B16" s="1"/>
      <c r="C16" s="2"/>
      <c r="D16" s="2"/>
      <c r="E16" s="3"/>
      <c r="F16" s="3"/>
      <c r="G16" s="5"/>
      <c r="H16" s="5"/>
      <c r="I16" s="28">
        <f>0.1*(H_Dec[[#This Row],[Heures de nuit]]+IF(H_Dec[[#This Row],[majoration dim &amp; JF]]="non",0,H_Dec[[#This Row],[heures jour dimanche]]+H_Dec[[#This Row],[heures jour fériés]]))</f>
        <v>0</v>
      </c>
      <c r="J16" s="33">
        <f>(MOD(H_Dec[[#This Row],[Fin]]-H_Dec[[#This Row],[début]],1)-MOD(H_Dec[[#This Row],[PNP Fin]]-H_Dec[[#This Row],[PNP Début]],1))*24</f>
        <v>0</v>
      </c>
      <c r="K16" s="33" t="str">
        <f>IFERROR(VLOOKUP(H_Dec[[#This Row],[Service]],Codes[],4,0),"")</f>
        <v/>
      </c>
      <c r="L16" s="30">
        <f>IF(H_Dec[[#This Row],[PNP Début]]=0,0,IF(H_Dec[[#This Row],[PNP Début]]&lt;H_Dec[[#This Row],[début]],1,0)+H_Dec[[#This Row],[PNP Début]])</f>
        <v>0</v>
      </c>
      <c r="M16" s="30">
        <f>IF(H_Dec[[#This Row],[PNP Fin]]=0,0,IF(H_Dec[[#This Row],[PNP Fin]]&lt;H_Dec[[#This Row],[début]],1,0)+H_Dec[[#This Row],[PNP Fin]])</f>
        <v>0</v>
      </c>
      <c r="N16" s="34">
        <f>IF(H_Dec[[#This Row],[Fin]]&lt;H_Dec[[#This Row],[début]],1,0)+H_Dec[[#This Row],[Fin]]</f>
        <v>0</v>
      </c>
      <c r="O1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6" s="35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6" s="35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6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6" s="3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6" s="3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16" s="176" t="s">
        <v>128</v>
      </c>
      <c r="W16" s="177">
        <f>'Novembre 18'!Z16</f>
        <v>20.100000000000001</v>
      </c>
      <c r="X16" s="177">
        <f>I50</f>
        <v>0</v>
      </c>
      <c r="Y16" s="177"/>
      <c r="Z16" s="179">
        <f>W16+X16-Y16</f>
        <v>20.100000000000001</v>
      </c>
    </row>
    <row r="17" spans="1:23" x14ac:dyDescent="0.3">
      <c r="A17" s="4"/>
      <c r="B17" s="1"/>
      <c r="C17" s="2"/>
      <c r="D17" s="2"/>
      <c r="E17" s="3"/>
      <c r="F17" s="3"/>
      <c r="G17" s="9"/>
      <c r="H17" s="9"/>
      <c r="I17" s="37">
        <f>0.1*(H_Dec[[#This Row],[Heures de nuit]]+IF(H_Dec[[#This Row],[majoration dim &amp; JF]]="non",0,H_Dec[[#This Row],[heures jour dimanche]]+H_Dec[[#This Row],[heures jour fériés]]))</f>
        <v>0</v>
      </c>
      <c r="J17" s="38">
        <f>(MOD(H_Dec[[#This Row],[Fin]]-H_Dec[[#This Row],[début]],1)-MOD(H_Dec[[#This Row],[PNP Fin]]-H_Dec[[#This Row],[PNP Début]],1))*24</f>
        <v>0</v>
      </c>
      <c r="K17" s="112" t="str">
        <f>IFERROR(VLOOKUP(H_Dec[[#This Row],[Service]],Codes[],4,0),"")</f>
        <v/>
      </c>
      <c r="L17" s="39">
        <f>IF(H_Dec[[#This Row],[PNP Début]]=0,0,IF(H_Dec[[#This Row],[PNP Début]]&lt;H_Dec[[#This Row],[début]],1,0)+H_Dec[[#This Row],[PNP Début]])</f>
        <v>0</v>
      </c>
      <c r="M17" s="40">
        <f>IF(H_Dec[[#This Row],[PNP Fin]]=0,0,IF(H_Dec[[#This Row],[PNP Fin]]&lt;H_Dec[[#This Row],[début]],1,0)+H_Dec[[#This Row],[PNP Fin]])</f>
        <v>0</v>
      </c>
      <c r="N17" s="40">
        <f>IF(H_Dec[[#This Row],[Fin]]&lt;H_Dec[[#This Row],[début]],1,0)+H_Dec[[#This Row],[Fin]]</f>
        <v>0</v>
      </c>
      <c r="O1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7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7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7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7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7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17" s="163"/>
    </row>
    <row r="18" spans="1:23" ht="15" thickBot="1" x14ac:dyDescent="0.35">
      <c r="A18" s="4"/>
      <c r="B18" s="1"/>
      <c r="C18" s="2"/>
      <c r="D18" s="2"/>
      <c r="E18" s="9"/>
      <c r="F18" s="9"/>
      <c r="G18" s="9"/>
      <c r="H18" s="9"/>
      <c r="I18" s="37">
        <f>0.1*(H_Dec[[#This Row],[Heures de nuit]]+IF(H_Dec[[#This Row],[majoration dim &amp; JF]]="non",0,H_Dec[[#This Row],[heures jour dimanche]]+H_Dec[[#This Row],[heures jour fériés]]))</f>
        <v>0</v>
      </c>
      <c r="J18" s="38">
        <f>(MOD(H_Dec[[#This Row],[Fin]]-H_Dec[[#This Row],[début]],1)-MOD(H_Dec[[#This Row],[PNP Fin]]-H_Dec[[#This Row],[PNP Début]],1))*24</f>
        <v>0</v>
      </c>
      <c r="K18" s="112" t="str">
        <f>IFERROR(VLOOKUP(H_Dec[[#This Row],[Service]],Codes[],4,0),"")</f>
        <v/>
      </c>
      <c r="L18" s="39">
        <f>IF(H_Dec[[#This Row],[PNP Début]]=0,0,IF(H_Dec[[#This Row],[PNP Début]]&lt;H_Dec[[#This Row],[début]],1,0)+H_Dec[[#This Row],[PNP Début]])</f>
        <v>0</v>
      </c>
      <c r="M18" s="40">
        <f>IF(H_Dec[[#This Row],[PNP Fin]]=0,0,IF(H_Dec[[#This Row],[PNP Fin]]&lt;H_Dec[[#This Row],[début]],1,0)+H_Dec[[#This Row],[PNP Fin]])</f>
        <v>0</v>
      </c>
      <c r="N18" s="40">
        <f>IF(H_Dec[[#This Row],[Fin]]&lt;H_Dec[[#This Row],[début]],1,0)+H_Dec[[#This Row],[Fin]]</f>
        <v>0</v>
      </c>
      <c r="O1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8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8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8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8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8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18" s="163"/>
    </row>
    <row r="19" spans="1:23" ht="15" thickBot="1" x14ac:dyDescent="0.35">
      <c r="A19" s="4"/>
      <c r="B19" s="1"/>
      <c r="C19" s="2"/>
      <c r="D19" s="2"/>
      <c r="E19" s="3"/>
      <c r="F19" s="3"/>
      <c r="G19" s="9"/>
      <c r="H19" s="9"/>
      <c r="I19" s="37">
        <f>0.1*(H_Dec[[#This Row],[Heures de nuit]]+IF(H_Dec[[#This Row],[majoration dim &amp; JF]]="non",0,H_Dec[[#This Row],[heures jour dimanche]]+H_Dec[[#This Row],[heures jour fériés]]))</f>
        <v>0</v>
      </c>
      <c r="J19" s="38">
        <f>(MOD(H_Dec[[#This Row],[Fin]]-H_Dec[[#This Row],[début]],1)-MOD(H_Dec[[#This Row],[PNP Fin]]-H_Dec[[#This Row],[PNP Début]],1))*24</f>
        <v>0</v>
      </c>
      <c r="K19" s="112" t="str">
        <f>IFERROR(VLOOKUP(H_Dec[[#This Row],[Service]],Codes[],4,0),"")</f>
        <v/>
      </c>
      <c r="L19" s="39">
        <f>IF(H_Dec[[#This Row],[PNP Début]]=0,0,IF(H_Dec[[#This Row],[PNP Début]]&lt;H_Dec[[#This Row],[début]],1,0)+H_Dec[[#This Row],[PNP Début]])</f>
        <v>0</v>
      </c>
      <c r="M19" s="40">
        <f>IF(H_Dec[[#This Row],[PNP Fin]]=0,0,IF(H_Dec[[#This Row],[PNP Fin]]&lt;H_Dec[[#This Row],[début]],1,0)+H_Dec[[#This Row],[PNP Fin]])</f>
        <v>0</v>
      </c>
      <c r="N19" s="40">
        <f>IF(H_Dec[[#This Row],[Fin]]&lt;H_Dec[[#This Row],[début]],1,0)+H_Dec[[#This Row],[Fin]]</f>
        <v>0</v>
      </c>
      <c r="O1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9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9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9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9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9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19" s="164" t="s">
        <v>166</v>
      </c>
      <c r="W19" s="184">
        <f>COUNTIF(B13:B49,"Vacances 173")+COUNTIF(B13:B49,"Vacances 150")</f>
        <v>0</v>
      </c>
    </row>
    <row r="20" spans="1:23" ht="15" thickBot="1" x14ac:dyDescent="0.35">
      <c r="A20" s="4"/>
      <c r="B20" s="1"/>
      <c r="C20" s="2"/>
      <c r="D20" s="2"/>
      <c r="E20" s="9"/>
      <c r="F20" s="9"/>
      <c r="G20" s="9"/>
      <c r="H20" s="9"/>
      <c r="I20" s="37">
        <f>0.1*(H_Dec[[#This Row],[Heures de nuit]]+IF(H_Dec[[#This Row],[majoration dim &amp; JF]]="non",0,H_Dec[[#This Row],[heures jour dimanche]]+H_Dec[[#This Row],[heures jour fériés]]))</f>
        <v>0</v>
      </c>
      <c r="J20" s="38">
        <f>(MOD(H_Dec[[#This Row],[Fin]]-H_Dec[[#This Row],[début]],1)-MOD(H_Dec[[#This Row],[PNP Fin]]-H_Dec[[#This Row],[PNP Début]],1))*24</f>
        <v>0</v>
      </c>
      <c r="K20" s="112" t="str">
        <f>IFERROR(VLOOKUP(H_Dec[[#This Row],[Service]],Codes[],4,0),"")</f>
        <v/>
      </c>
      <c r="L20" s="39">
        <f>IF(H_Dec[[#This Row],[PNP Début]]=0,0,IF(H_Dec[[#This Row],[PNP Début]]&lt;H_Dec[[#This Row],[début]],1,0)+H_Dec[[#This Row],[PNP Début]])</f>
        <v>0</v>
      </c>
      <c r="M20" s="40">
        <f>IF(H_Dec[[#This Row],[PNP Fin]]=0,0,IF(H_Dec[[#This Row],[PNP Fin]]&lt;H_Dec[[#This Row],[début]],1,0)+H_Dec[[#This Row],[PNP Fin]])</f>
        <v>0</v>
      </c>
      <c r="N20" s="40">
        <f>IF(H_Dec[[#This Row],[Fin]]&lt;H_Dec[[#This Row],[début]],1,0)+H_Dec[[#This Row],[Fin]]</f>
        <v>0</v>
      </c>
      <c r="O2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0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0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0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0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0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20" s="163"/>
    </row>
    <row r="21" spans="1:23" ht="14.4" customHeight="1" thickBot="1" x14ac:dyDescent="0.35">
      <c r="A21" s="4"/>
      <c r="B21" s="1"/>
      <c r="C21" s="2"/>
      <c r="D21" s="2"/>
      <c r="E21" s="3"/>
      <c r="F21" s="3"/>
      <c r="G21" s="10"/>
      <c r="H21" s="10"/>
      <c r="I21" s="42">
        <f>0.1*(H_Dec[[#This Row],[Heures de nuit]]+IF(H_Dec[[#This Row],[majoration dim &amp; JF]]="non",0,H_Dec[[#This Row],[heures jour dimanche]]+H_Dec[[#This Row],[heures jour fériés]]))</f>
        <v>0</v>
      </c>
      <c r="J21" s="43">
        <f>(MOD(H_Dec[[#This Row],[Fin]]-H_Dec[[#This Row],[début]],1)-MOD(H_Dec[[#This Row],[PNP Fin]]-H_Dec[[#This Row],[PNP Début]],1))*24</f>
        <v>0</v>
      </c>
      <c r="K21" s="113" t="str">
        <f>IFERROR(VLOOKUP(H_Dec[[#This Row],[Service]],Codes[],4,0),"")</f>
        <v/>
      </c>
      <c r="L21" s="44">
        <f>IF(H_Dec[[#This Row],[PNP Début]]=0,0,IF(H_Dec[[#This Row],[PNP Début]]&lt;H_Dec[[#This Row],[début]],1,0)+H_Dec[[#This Row],[PNP Début]])</f>
        <v>0</v>
      </c>
      <c r="M21" s="45">
        <f>IF(H_Dec[[#This Row],[PNP Fin]]=0,0,IF(H_Dec[[#This Row],[PNP Fin]]&lt;H_Dec[[#This Row],[début]],1,0)+H_Dec[[#This Row],[PNP Fin]])</f>
        <v>0</v>
      </c>
      <c r="N21" s="45">
        <f>IF(H_Dec[[#This Row],[Fin]]&lt;H_Dec[[#This Row],[début]],1,0)+H_Dec[[#This Row],[Fin]]</f>
        <v>0</v>
      </c>
      <c r="O2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1" s="46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1" s="46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1" s="46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1" s="4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1" s="4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21" s="164" t="s">
        <v>167</v>
      </c>
      <c r="W21" s="162">
        <f>COUNTIF(B13:B49,"*récuperations*")</f>
        <v>0</v>
      </c>
    </row>
    <row r="22" spans="1:23" ht="14.4" customHeight="1" thickBot="1" x14ac:dyDescent="0.35">
      <c r="A22" s="4"/>
      <c r="B22" s="1"/>
      <c r="C22" s="2"/>
      <c r="D22" s="2"/>
      <c r="E22" s="3"/>
      <c r="F22" s="3"/>
      <c r="G22" s="3"/>
      <c r="H22" s="3"/>
      <c r="I22" s="47">
        <f>0.1*(H_Dec[[#This Row],[Heures de nuit]]+IF(H_Dec[[#This Row],[majoration dim &amp; JF]]="non",0,H_Dec[[#This Row],[heures jour dimanche]]+H_Dec[[#This Row],[heures jour fériés]]))</f>
        <v>0</v>
      </c>
      <c r="J22" s="48">
        <f>(MOD(H_Dec[[#This Row],[Fin]]-H_Dec[[#This Row],[début]],1)-MOD(H_Dec[[#This Row],[PNP Fin]]-H_Dec[[#This Row],[PNP Début]],1))*24</f>
        <v>0</v>
      </c>
      <c r="K22" s="109" t="str">
        <f>IFERROR(VLOOKUP(H_Dec[[#This Row],[Service]],Codes[],4,0),"")</f>
        <v/>
      </c>
      <c r="L22" s="49">
        <f>IF(H_Dec[[#This Row],[PNP Début]]=0,0,IF(H_Dec[[#This Row],[PNP Début]]&lt;H_Dec[[#This Row],[début]],1,0)+H_Dec[[#This Row],[PNP Début]])</f>
        <v>0</v>
      </c>
      <c r="M22" s="50">
        <f>IF(H_Dec[[#This Row],[PNP Fin]]=0,0,IF(H_Dec[[#This Row],[PNP Fin]]&lt;H_Dec[[#This Row],[début]],1,0)+H_Dec[[#This Row],[PNP Fin]])</f>
        <v>0</v>
      </c>
      <c r="N22" s="50">
        <f>IF(H_Dec[[#This Row],[Fin]]&lt;H_Dec[[#This Row],[début]],1,0)+H_Dec[[#This Row],[Fin]]</f>
        <v>0</v>
      </c>
      <c r="O2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22" s="165"/>
    </row>
    <row r="23" spans="1:23" ht="14.4" customHeight="1" thickBot="1" x14ac:dyDescent="0.35">
      <c r="A23" s="4"/>
      <c r="B23" s="1"/>
      <c r="C23" s="2"/>
      <c r="D23" s="2"/>
      <c r="E23" s="3"/>
      <c r="F23" s="3"/>
      <c r="G23" s="3"/>
      <c r="H23" s="3"/>
      <c r="I23" s="47">
        <f>0.1*(H_Dec[[#This Row],[Heures de nuit]]+IF(H_Dec[[#This Row],[majoration dim &amp; JF]]="non",0,H_Dec[[#This Row],[heures jour dimanche]]+H_Dec[[#This Row],[heures jour fériés]]))</f>
        <v>0</v>
      </c>
      <c r="J23" s="48">
        <f>(MOD(H_Dec[[#This Row],[Fin]]-H_Dec[[#This Row],[début]],1)-MOD(H_Dec[[#This Row],[PNP Fin]]-H_Dec[[#This Row],[PNP Début]],1))*24</f>
        <v>0</v>
      </c>
      <c r="K23" s="109" t="str">
        <f>IFERROR(VLOOKUP(H_Dec[[#This Row],[Service]],Codes[],4,0),"")</f>
        <v/>
      </c>
      <c r="L23" s="49">
        <f>IF(H_Dec[[#This Row],[PNP Début]]=0,0,IF(H_Dec[[#This Row],[PNP Début]]&lt;H_Dec[[#This Row],[début]],1,0)+H_Dec[[#This Row],[PNP Début]])</f>
        <v>0</v>
      </c>
      <c r="M23" s="50">
        <f>IF(H_Dec[[#This Row],[PNP Fin]]=0,0,IF(H_Dec[[#This Row],[PNP Fin]]&lt;H_Dec[[#This Row],[début]],1,0)+H_Dec[[#This Row],[PNP Fin]])</f>
        <v>0</v>
      </c>
      <c r="N23" s="50">
        <f>IF(H_Dec[[#This Row],[Fin]]&lt;H_Dec[[#This Row],[début]],1,0)+H_Dec[[#This Row],[Fin]]</f>
        <v>0</v>
      </c>
      <c r="O2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  <c r="V23" s="164" t="s">
        <v>168</v>
      </c>
      <c r="W23" s="162">
        <f>COUNTIF(B13:B49,"*CCT*")</f>
        <v>0</v>
      </c>
    </row>
    <row r="24" spans="1:23" ht="14.4" customHeight="1" x14ac:dyDescent="0.3">
      <c r="A24" s="4"/>
      <c r="B24" s="1"/>
      <c r="C24" s="2"/>
      <c r="D24" s="2"/>
      <c r="E24" s="3"/>
      <c r="F24" s="3"/>
      <c r="G24" s="3"/>
      <c r="H24" s="3"/>
      <c r="I24" s="47">
        <f>0.1*(H_Dec[[#This Row],[Heures de nuit]]+IF(H_Dec[[#This Row],[majoration dim &amp; JF]]="non",0,H_Dec[[#This Row],[heures jour dimanche]]+H_Dec[[#This Row],[heures jour fériés]]))</f>
        <v>0</v>
      </c>
      <c r="J24" s="48">
        <f>(MOD(H_Dec[[#This Row],[Fin]]-H_Dec[[#This Row],[début]],1)-MOD(H_Dec[[#This Row],[PNP Fin]]-H_Dec[[#This Row],[PNP Début]],1))*24</f>
        <v>0</v>
      </c>
      <c r="K24" s="109" t="str">
        <f>IFERROR(VLOOKUP(H_Dec[[#This Row],[Service]],Codes[],4,0),"")</f>
        <v/>
      </c>
      <c r="L24" s="49">
        <f>IF(H_Dec[[#This Row],[PNP Début]]=0,0,IF(H_Dec[[#This Row],[PNP Début]]&lt;H_Dec[[#This Row],[début]],1,0)+H_Dec[[#This Row],[PNP Début]])</f>
        <v>0</v>
      </c>
      <c r="M24" s="50">
        <f>IF(H_Dec[[#This Row],[PNP Fin]]=0,0,IF(H_Dec[[#This Row],[PNP Fin]]&lt;H_Dec[[#This Row],[début]],1,0)+H_Dec[[#This Row],[PNP Fin]])</f>
        <v>0</v>
      </c>
      <c r="N24" s="50">
        <f>IF(H_Dec[[#This Row],[Fin]]&lt;H_Dec[[#This Row],[début]],1,0)+H_Dec[[#This Row],[Fin]]</f>
        <v>0</v>
      </c>
      <c r="O2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5" spans="1:23" ht="14.4" customHeight="1" x14ac:dyDescent="0.3">
      <c r="A25" s="4"/>
      <c r="B25" s="1"/>
      <c r="C25" s="2"/>
      <c r="D25" s="2"/>
      <c r="E25" s="3"/>
      <c r="F25" s="3"/>
      <c r="G25" s="3"/>
      <c r="H25" s="3"/>
      <c r="I25" s="47">
        <f>0.1*(H_Dec[[#This Row],[Heures de nuit]]+IF(H_Dec[[#This Row],[majoration dim &amp; JF]]="non",0,H_Dec[[#This Row],[heures jour dimanche]]+H_Dec[[#This Row],[heures jour fériés]]))</f>
        <v>0</v>
      </c>
      <c r="J25" s="48">
        <f>(MOD(H_Dec[[#This Row],[Fin]]-H_Dec[[#This Row],[début]],1)-MOD(H_Dec[[#This Row],[PNP Fin]]-H_Dec[[#This Row],[PNP Début]],1))*24</f>
        <v>0</v>
      </c>
      <c r="K25" s="109" t="str">
        <f>IFERROR(VLOOKUP(H_Dec[[#This Row],[Service]],Codes[],4,0),"")</f>
        <v/>
      </c>
      <c r="L25" s="49">
        <f>IF(H_Dec[[#This Row],[PNP Début]]=0,0,IF(H_Dec[[#This Row],[PNP Début]]&lt;H_Dec[[#This Row],[début]],1,0)+H_Dec[[#This Row],[PNP Début]])</f>
        <v>0</v>
      </c>
      <c r="M25" s="50">
        <f>IF(H_Dec[[#This Row],[PNP Fin]]=0,0,IF(H_Dec[[#This Row],[PNP Fin]]&lt;H_Dec[[#This Row],[début]],1,0)+H_Dec[[#This Row],[PNP Fin]])</f>
        <v>0</v>
      </c>
      <c r="N25" s="50">
        <f>IF(H_Dec[[#This Row],[Fin]]&lt;H_Dec[[#This Row],[début]],1,0)+H_Dec[[#This Row],[Fin]]</f>
        <v>0</v>
      </c>
      <c r="O2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6" spans="1:23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0.1*(H_Dec[[#This Row],[Heures de nuit]]+IF(H_Dec[[#This Row],[majoration dim &amp; JF]]="non",0,H_Dec[[#This Row],[heures jour dimanche]]+H_Dec[[#This Row],[heures jour fériés]]))</f>
        <v>0</v>
      </c>
      <c r="J26" s="48">
        <f>(MOD(H_Dec[[#This Row],[Fin]]-H_Dec[[#This Row],[début]],1)-MOD(H_Dec[[#This Row],[PNP Fin]]-H_Dec[[#This Row],[PNP Début]],1))*24</f>
        <v>0</v>
      </c>
      <c r="K26" s="109" t="str">
        <f>IFERROR(VLOOKUP(H_Dec[[#This Row],[Service]],Codes[],4,0),"")</f>
        <v/>
      </c>
      <c r="L26" s="49">
        <f>IF(H_Dec[[#This Row],[PNP Début]]=0,0,IF(H_Dec[[#This Row],[PNP Début]]&lt;H_Dec[[#This Row],[début]],1,0)+H_Dec[[#This Row],[PNP Début]])</f>
        <v>0</v>
      </c>
      <c r="M26" s="50">
        <f>IF(H_Dec[[#This Row],[PNP Fin]]=0,0,IF(H_Dec[[#This Row],[PNP Fin]]&lt;H_Dec[[#This Row],[début]],1,0)+H_Dec[[#This Row],[PNP Fin]])</f>
        <v>0</v>
      </c>
      <c r="N26" s="50">
        <f>IF(H_Dec[[#This Row],[Fin]]&lt;H_Dec[[#This Row],[début]],1,0)+H_Dec[[#This Row],[Fin]]</f>
        <v>0</v>
      </c>
      <c r="O2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7" spans="1:23" ht="14.4" customHeight="1" x14ac:dyDescent="0.3">
      <c r="A27" s="4"/>
      <c r="B27" s="1"/>
      <c r="C27" s="2"/>
      <c r="D27" s="2"/>
      <c r="E27" s="3"/>
      <c r="F27" s="3"/>
      <c r="G27" s="3"/>
      <c r="H27" s="3"/>
      <c r="I27" s="47">
        <f>0.1*(H_Dec[[#This Row],[Heures de nuit]]+IF(H_Dec[[#This Row],[majoration dim &amp; JF]]="non",0,H_Dec[[#This Row],[heures jour dimanche]]+H_Dec[[#This Row],[heures jour fériés]]))</f>
        <v>0</v>
      </c>
      <c r="J27" s="48">
        <f>(MOD(H_Dec[[#This Row],[Fin]]-H_Dec[[#This Row],[début]],1)-MOD(H_Dec[[#This Row],[PNP Fin]]-H_Dec[[#This Row],[PNP Début]],1))*24</f>
        <v>0</v>
      </c>
      <c r="K27" s="109" t="str">
        <f>IFERROR(VLOOKUP(H_Dec[[#This Row],[Service]],Codes[],4,0),"")</f>
        <v/>
      </c>
      <c r="L27" s="49">
        <f>IF(H_Dec[[#This Row],[PNP Début]]=0,0,IF(H_Dec[[#This Row],[PNP Début]]&lt;H_Dec[[#This Row],[début]],1,0)+H_Dec[[#This Row],[PNP Début]])</f>
        <v>0</v>
      </c>
      <c r="M27" s="50">
        <f>IF(H_Dec[[#This Row],[PNP Fin]]=0,0,IF(H_Dec[[#This Row],[PNP Fin]]&lt;H_Dec[[#This Row],[début]],1,0)+H_Dec[[#This Row],[PNP Fin]])</f>
        <v>0</v>
      </c>
      <c r="N27" s="50">
        <f>IF(H_Dec[[#This Row],[Fin]]&lt;H_Dec[[#This Row],[début]],1,0)+H_Dec[[#This Row],[Fin]]</f>
        <v>0</v>
      </c>
      <c r="O2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8" spans="1:23" ht="14.4" customHeight="1" x14ac:dyDescent="0.3">
      <c r="A28" s="4"/>
      <c r="B28" s="1"/>
      <c r="C28" s="2"/>
      <c r="D28" s="2"/>
      <c r="E28" s="3"/>
      <c r="F28" s="3"/>
      <c r="G28" s="3"/>
      <c r="H28" s="3"/>
      <c r="I28" s="47">
        <f>0.1*(H_Dec[[#This Row],[Heures de nuit]]+IF(H_Dec[[#This Row],[majoration dim &amp; JF]]="non",0,H_Dec[[#This Row],[heures jour dimanche]]+H_Dec[[#This Row],[heures jour fériés]]))</f>
        <v>0</v>
      </c>
      <c r="J28" s="48">
        <f>(MOD(H_Dec[[#This Row],[Fin]]-H_Dec[[#This Row],[début]],1)-MOD(H_Dec[[#This Row],[PNP Fin]]-H_Dec[[#This Row],[PNP Début]],1))*24</f>
        <v>0</v>
      </c>
      <c r="K28" s="109" t="str">
        <f>IFERROR(VLOOKUP(H_Dec[[#This Row],[Service]],Codes[],4,0),"")</f>
        <v/>
      </c>
      <c r="L28" s="49">
        <f>IF(H_Dec[[#This Row],[PNP Début]]=0,0,IF(H_Dec[[#This Row],[PNP Début]]&lt;H_Dec[[#This Row],[début]],1,0)+H_Dec[[#This Row],[PNP Début]])</f>
        <v>0</v>
      </c>
      <c r="M28" s="50">
        <f>IF(H_Dec[[#This Row],[PNP Fin]]=0,0,IF(H_Dec[[#This Row],[PNP Fin]]&lt;H_Dec[[#This Row],[début]],1,0)+H_Dec[[#This Row],[PNP Fin]])</f>
        <v>0</v>
      </c>
      <c r="N28" s="50">
        <f>IF(H_Dec[[#This Row],[Fin]]&lt;H_Dec[[#This Row],[début]],1,0)+H_Dec[[#This Row],[Fin]]</f>
        <v>0</v>
      </c>
      <c r="O2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9" spans="1:23" ht="14.4" customHeight="1" x14ac:dyDescent="0.3">
      <c r="A29" s="4"/>
      <c r="B29" s="1"/>
      <c r="C29" s="2"/>
      <c r="D29" s="2"/>
      <c r="E29" s="3"/>
      <c r="F29" s="3"/>
      <c r="G29" s="3"/>
      <c r="H29" s="3"/>
      <c r="I29" s="47">
        <f>0.1*(H_Dec[[#This Row],[Heures de nuit]]+IF(H_Dec[[#This Row],[majoration dim &amp; JF]]="non",0,H_Dec[[#This Row],[heures jour dimanche]]+H_Dec[[#This Row],[heures jour fériés]]))</f>
        <v>0</v>
      </c>
      <c r="J29" s="48">
        <f>(MOD(H_Dec[[#This Row],[Fin]]-H_Dec[[#This Row],[début]],1)-MOD(H_Dec[[#This Row],[PNP Fin]]-H_Dec[[#This Row],[PNP Début]],1))*24</f>
        <v>0</v>
      </c>
      <c r="K29" s="109" t="str">
        <f>IFERROR(VLOOKUP(H_Dec[[#This Row],[Service]],Codes[],4,0),"")</f>
        <v/>
      </c>
      <c r="L29" s="49">
        <f>IF(H_Dec[[#This Row],[PNP Début]]=0,0,IF(H_Dec[[#This Row],[PNP Début]]&lt;H_Dec[[#This Row],[début]],1,0)+H_Dec[[#This Row],[PNP Début]])</f>
        <v>0</v>
      </c>
      <c r="M29" s="50">
        <f>IF(H_Dec[[#This Row],[PNP Fin]]=0,0,IF(H_Dec[[#This Row],[PNP Fin]]&lt;H_Dec[[#This Row],[début]],1,0)+H_Dec[[#This Row],[PNP Fin]])</f>
        <v>0</v>
      </c>
      <c r="N29" s="50">
        <f>IF(H_Dec[[#This Row],[Fin]]&lt;H_Dec[[#This Row],[début]],1,0)+H_Dec[[#This Row],[Fin]]</f>
        <v>0</v>
      </c>
      <c r="O2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0" spans="1:23" ht="14.4" customHeight="1" x14ac:dyDescent="0.3">
      <c r="A30" s="4"/>
      <c r="B30" s="1"/>
      <c r="C30" s="2"/>
      <c r="D30" s="2"/>
      <c r="E30" s="3"/>
      <c r="F30" s="3"/>
      <c r="G30" s="3"/>
      <c r="H30" s="3"/>
      <c r="I30" s="47">
        <f>0.1*(H_Dec[[#This Row],[Heures de nuit]]+IF(H_Dec[[#This Row],[majoration dim &amp; JF]]="non",0,H_Dec[[#This Row],[heures jour dimanche]]+H_Dec[[#This Row],[heures jour fériés]]))</f>
        <v>0</v>
      </c>
      <c r="J30" s="48">
        <f>(MOD(H_Dec[[#This Row],[Fin]]-H_Dec[[#This Row],[début]],1)-MOD(H_Dec[[#This Row],[PNP Fin]]-H_Dec[[#This Row],[PNP Début]],1))*24</f>
        <v>0</v>
      </c>
      <c r="K30" s="109" t="str">
        <f>IFERROR(VLOOKUP(H_Dec[[#This Row],[Service]],Codes[],4,0),"")</f>
        <v/>
      </c>
      <c r="L30" s="49">
        <f>IF(H_Dec[[#This Row],[PNP Début]]=0,0,IF(H_Dec[[#This Row],[PNP Début]]&lt;H_Dec[[#This Row],[début]],1,0)+H_Dec[[#This Row],[PNP Début]])</f>
        <v>0</v>
      </c>
      <c r="M30" s="50">
        <f>IF(H_Dec[[#This Row],[PNP Fin]]=0,0,IF(H_Dec[[#This Row],[PNP Fin]]&lt;H_Dec[[#This Row],[début]],1,0)+H_Dec[[#This Row],[PNP Fin]])</f>
        <v>0</v>
      </c>
      <c r="N30" s="50">
        <f>IF(H_Dec[[#This Row],[Fin]]&lt;H_Dec[[#This Row],[début]],1,0)+H_Dec[[#This Row],[Fin]]</f>
        <v>0</v>
      </c>
      <c r="O3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0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1" spans="1:23" x14ac:dyDescent="0.3">
      <c r="A31" s="4"/>
      <c r="B31" s="1"/>
      <c r="C31" s="2"/>
      <c r="D31" s="2"/>
      <c r="E31" s="3"/>
      <c r="F31" s="3"/>
      <c r="G31" s="3"/>
      <c r="H31" s="3"/>
      <c r="I31" s="47">
        <f>0.1*(H_Dec[[#This Row],[Heures de nuit]]+IF(H_Dec[[#This Row],[majoration dim &amp; JF]]="non",0,H_Dec[[#This Row],[heures jour dimanche]]+H_Dec[[#This Row],[heures jour fériés]]))</f>
        <v>0</v>
      </c>
      <c r="J31" s="48">
        <f>(MOD(H_Dec[[#This Row],[Fin]]-H_Dec[[#This Row],[début]],1)-MOD(H_Dec[[#This Row],[PNP Fin]]-H_Dec[[#This Row],[PNP Début]],1))*24</f>
        <v>0</v>
      </c>
      <c r="K31" s="109" t="str">
        <f>IFERROR(VLOOKUP(H_Dec[[#This Row],[Service]],Codes[],4,0),"")</f>
        <v/>
      </c>
      <c r="L31" s="49">
        <f>IF(H_Dec[[#This Row],[PNP Début]]=0,0,IF(H_Dec[[#This Row],[PNP Début]]&lt;H_Dec[[#This Row],[début]],1,0)+H_Dec[[#This Row],[PNP Début]])</f>
        <v>0</v>
      </c>
      <c r="M31" s="50">
        <f>IF(H_Dec[[#This Row],[PNP Fin]]=0,0,IF(H_Dec[[#This Row],[PNP Fin]]&lt;H_Dec[[#This Row],[début]],1,0)+H_Dec[[#This Row],[PNP Fin]])</f>
        <v>0</v>
      </c>
      <c r="N31" s="50">
        <f>IF(H_Dec[[#This Row],[Fin]]&lt;H_Dec[[#This Row],[début]],1,0)+H_Dec[[#This Row],[Fin]]</f>
        <v>0</v>
      </c>
      <c r="O3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1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2" spans="1:23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0.1*(H_Dec[[#This Row],[Heures de nuit]]+IF(H_Dec[[#This Row],[majoration dim &amp; JF]]="non",0,H_Dec[[#This Row],[heures jour dimanche]]+H_Dec[[#This Row],[heures jour fériés]]))</f>
        <v>0</v>
      </c>
      <c r="J32" s="48">
        <f>(MOD(H_Dec[[#This Row],[Fin]]-H_Dec[[#This Row],[début]],1)-MOD(H_Dec[[#This Row],[PNP Fin]]-H_Dec[[#This Row],[PNP Début]],1))*24</f>
        <v>0</v>
      </c>
      <c r="K32" s="109" t="str">
        <f>IFERROR(VLOOKUP(H_Dec[[#This Row],[Service]],Codes[],4,0),"")</f>
        <v/>
      </c>
      <c r="L32" s="49">
        <f>IF(H_Dec[[#This Row],[PNP Début]]=0,0,IF(H_Dec[[#This Row],[PNP Début]]&lt;H_Dec[[#This Row],[début]],1,0)+H_Dec[[#This Row],[PNP Début]])</f>
        <v>0</v>
      </c>
      <c r="M32" s="50">
        <f>IF(H_Dec[[#This Row],[PNP Fin]]=0,0,IF(H_Dec[[#This Row],[PNP Fin]]&lt;H_Dec[[#This Row],[début]],1,0)+H_Dec[[#This Row],[PNP Fin]])</f>
        <v>0</v>
      </c>
      <c r="N32" s="50">
        <f>IF(H_Dec[[#This Row],[Fin]]&lt;H_Dec[[#This Row],[début]],1,0)+H_Dec[[#This Row],[Fin]]</f>
        <v>0</v>
      </c>
      <c r="O3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0.1*(H_Dec[[#This Row],[Heures de nuit]]+IF(H_Dec[[#This Row],[majoration dim &amp; JF]]="non",0,H_Dec[[#This Row],[heures jour dimanche]]+H_Dec[[#This Row],[heures jour fériés]]))</f>
        <v>0</v>
      </c>
      <c r="J33" s="48">
        <f>(MOD(H_Dec[[#This Row],[Fin]]-H_Dec[[#This Row],[début]],1)-MOD(H_Dec[[#This Row],[PNP Fin]]-H_Dec[[#This Row],[PNP Début]],1))*24</f>
        <v>0</v>
      </c>
      <c r="K33" s="109" t="str">
        <f>IFERROR(VLOOKUP(H_Dec[[#This Row],[Service]],Codes[],4,0),"")</f>
        <v/>
      </c>
      <c r="L33" s="49">
        <f>IF(H_Dec[[#This Row],[PNP Début]]=0,0,IF(H_Dec[[#This Row],[PNP Début]]&lt;H_Dec[[#This Row],[début]],1,0)+H_Dec[[#This Row],[PNP Début]])</f>
        <v>0</v>
      </c>
      <c r="M33" s="50">
        <f>IF(H_Dec[[#This Row],[PNP Fin]]=0,0,IF(H_Dec[[#This Row],[PNP Fin]]&lt;H_Dec[[#This Row],[début]],1,0)+H_Dec[[#This Row],[PNP Fin]])</f>
        <v>0</v>
      </c>
      <c r="N33" s="50">
        <f>IF(H_Dec[[#This Row],[Fin]]&lt;H_Dec[[#This Row],[début]],1,0)+H_Dec[[#This Row],[Fin]]</f>
        <v>0</v>
      </c>
      <c r="O3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0.1*(H_Dec[[#This Row],[Heures de nuit]]+IF(H_Dec[[#This Row],[majoration dim &amp; JF]]="non",0,H_Dec[[#This Row],[heures jour dimanche]]+H_Dec[[#This Row],[heures jour fériés]]))</f>
        <v>0</v>
      </c>
      <c r="J34" s="48">
        <f>(MOD(H_Dec[[#This Row],[Fin]]-H_Dec[[#This Row],[début]],1)-MOD(H_Dec[[#This Row],[PNP Fin]]-H_Dec[[#This Row],[PNP Début]],1))*24</f>
        <v>0</v>
      </c>
      <c r="K34" s="109" t="str">
        <f>IFERROR(VLOOKUP(H_Dec[[#This Row],[Service]],Codes[],4,0),"")</f>
        <v/>
      </c>
      <c r="L34" s="49">
        <f>IF(H_Dec[[#This Row],[PNP Début]]=0,0,IF(H_Dec[[#This Row],[PNP Début]]&lt;H_Dec[[#This Row],[début]],1,0)+H_Dec[[#This Row],[PNP Début]])</f>
        <v>0</v>
      </c>
      <c r="M34" s="50">
        <f>IF(H_Dec[[#This Row],[PNP Fin]]=0,0,IF(H_Dec[[#This Row],[PNP Fin]]&lt;H_Dec[[#This Row],[début]],1,0)+H_Dec[[#This Row],[PNP Fin]])</f>
        <v>0</v>
      </c>
      <c r="N34" s="50">
        <f>IF(H_Dec[[#This Row],[Fin]]&lt;H_Dec[[#This Row],[début]],1,0)+H_Dec[[#This Row],[Fin]]</f>
        <v>0</v>
      </c>
      <c r="O3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0.1*(H_Dec[[#This Row],[Heures de nuit]]+IF(H_Dec[[#This Row],[majoration dim &amp; JF]]="non",0,H_Dec[[#This Row],[heures jour dimanche]]+H_Dec[[#This Row],[heures jour fériés]]))</f>
        <v>0</v>
      </c>
      <c r="J35" s="48">
        <f>(MOD(H_Dec[[#This Row],[Fin]]-H_Dec[[#This Row],[début]],1)-MOD(H_Dec[[#This Row],[PNP Fin]]-H_Dec[[#This Row],[PNP Début]],1))*24</f>
        <v>0</v>
      </c>
      <c r="K35" s="109" t="str">
        <f>IFERROR(VLOOKUP(H_Dec[[#This Row],[Service]],Codes[],4,0),"")</f>
        <v/>
      </c>
      <c r="L35" s="49">
        <f>IF(H_Dec[[#This Row],[PNP Début]]=0,0,IF(H_Dec[[#This Row],[PNP Début]]&lt;H_Dec[[#This Row],[début]],1,0)+H_Dec[[#This Row],[PNP Début]])</f>
        <v>0</v>
      </c>
      <c r="M35" s="50">
        <f>IF(H_Dec[[#This Row],[PNP Fin]]=0,0,IF(H_Dec[[#This Row],[PNP Fin]]&lt;H_Dec[[#This Row],[début]],1,0)+H_Dec[[#This Row],[PNP Fin]])</f>
        <v>0</v>
      </c>
      <c r="N35" s="50">
        <f>IF(H_Dec[[#This Row],[Fin]]&lt;H_Dec[[#This Row],[début]],1,0)+H_Dec[[#This Row],[Fin]]</f>
        <v>0</v>
      </c>
      <c r="O3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0.1*(H_Dec[[#This Row],[Heures de nuit]]+IF(H_Dec[[#This Row],[majoration dim &amp; JF]]="non",0,H_Dec[[#This Row],[heures jour dimanche]]+H_Dec[[#This Row],[heures jour fériés]]))</f>
        <v>0</v>
      </c>
      <c r="J36" s="48">
        <f>(MOD(H_Dec[[#This Row],[Fin]]-H_Dec[[#This Row],[début]],1)-MOD(H_Dec[[#This Row],[PNP Fin]]-H_Dec[[#This Row],[PNP Début]],1))*24</f>
        <v>0</v>
      </c>
      <c r="K36" s="109" t="str">
        <f>IFERROR(VLOOKUP(H_Dec[[#This Row],[Service]],Codes[],4,0),"")</f>
        <v/>
      </c>
      <c r="L36" s="49">
        <f>IF(H_Dec[[#This Row],[PNP Début]]=0,0,IF(H_Dec[[#This Row],[PNP Début]]&lt;H_Dec[[#This Row],[début]],1,0)+H_Dec[[#This Row],[PNP Début]])</f>
        <v>0</v>
      </c>
      <c r="M36" s="50">
        <f>IF(H_Dec[[#This Row],[PNP Fin]]=0,0,IF(H_Dec[[#This Row],[PNP Fin]]&lt;H_Dec[[#This Row],[début]],1,0)+H_Dec[[#This Row],[PNP Fin]])</f>
        <v>0</v>
      </c>
      <c r="N36" s="50">
        <f>IF(H_Dec[[#This Row],[Fin]]&lt;H_Dec[[#This Row],[début]],1,0)+H_Dec[[#This Row],[Fin]]</f>
        <v>0</v>
      </c>
      <c r="O3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0.1*(H_Dec[[#This Row],[Heures de nuit]]+IF(H_Dec[[#This Row],[majoration dim &amp; JF]]="non",0,H_Dec[[#This Row],[heures jour dimanche]]+H_Dec[[#This Row],[heures jour fériés]]))</f>
        <v>0</v>
      </c>
      <c r="J37" s="48">
        <f>(MOD(H_Dec[[#This Row],[Fin]]-H_Dec[[#This Row],[début]],1)-MOD(H_Dec[[#This Row],[PNP Fin]]-H_Dec[[#This Row],[PNP Début]],1))*24</f>
        <v>0</v>
      </c>
      <c r="K37" s="109" t="str">
        <f>IFERROR(VLOOKUP(H_Dec[[#This Row],[Service]],Codes[],4,0),"")</f>
        <v/>
      </c>
      <c r="L37" s="49">
        <f>IF(H_Dec[[#This Row],[PNP Début]]=0,0,IF(H_Dec[[#This Row],[PNP Début]]&lt;H_Dec[[#This Row],[début]],1,0)+H_Dec[[#This Row],[PNP Début]])</f>
        <v>0</v>
      </c>
      <c r="M37" s="50">
        <f>IF(H_Dec[[#This Row],[PNP Fin]]=0,0,IF(H_Dec[[#This Row],[PNP Fin]]&lt;H_Dec[[#This Row],[début]],1,0)+H_Dec[[#This Row],[PNP Fin]])</f>
        <v>0</v>
      </c>
      <c r="N37" s="50">
        <f>IF(H_Dec[[#This Row],[Fin]]&lt;H_Dec[[#This Row],[début]],1,0)+H_Dec[[#This Row],[Fin]]</f>
        <v>0</v>
      </c>
      <c r="O3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0.1*(H_Dec[[#This Row],[Heures de nuit]]+IF(H_Dec[[#This Row],[majoration dim &amp; JF]]="non",0,H_Dec[[#This Row],[heures jour dimanche]]+H_Dec[[#This Row],[heures jour fériés]]))</f>
        <v>0</v>
      </c>
      <c r="J38" s="48">
        <f>(MOD(H_Dec[[#This Row],[Fin]]-H_Dec[[#This Row],[début]],1)-MOD(H_Dec[[#This Row],[PNP Fin]]-H_Dec[[#This Row],[PNP Début]],1))*24</f>
        <v>0</v>
      </c>
      <c r="K38" s="109" t="str">
        <f>IFERROR(VLOOKUP(H_Dec[[#This Row],[Service]],Codes[],4,0),"")</f>
        <v/>
      </c>
      <c r="L38" s="49">
        <f>IF(H_Dec[[#This Row],[PNP Début]]=0,0,IF(H_Dec[[#This Row],[PNP Début]]&lt;H_Dec[[#This Row],[début]],1,0)+H_Dec[[#This Row],[PNP Début]])</f>
        <v>0</v>
      </c>
      <c r="M38" s="50">
        <f>IF(H_Dec[[#This Row],[PNP Fin]]=0,0,IF(H_Dec[[#This Row],[PNP Fin]]&lt;H_Dec[[#This Row],[début]],1,0)+H_Dec[[#This Row],[PNP Fin]])</f>
        <v>0</v>
      </c>
      <c r="N38" s="50">
        <f>IF(H_Dec[[#This Row],[Fin]]&lt;H_Dec[[#This Row],[début]],1,0)+H_Dec[[#This Row],[Fin]]</f>
        <v>0</v>
      </c>
      <c r="O3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0.1*(H_Dec[[#This Row],[Heures de nuit]]+IF(H_Dec[[#This Row],[majoration dim &amp; JF]]="non",0,H_Dec[[#This Row],[heures jour dimanche]]+H_Dec[[#This Row],[heures jour fériés]]))</f>
        <v>0</v>
      </c>
      <c r="J39" s="48">
        <f>(MOD(H_Dec[[#This Row],[Fin]]-H_Dec[[#This Row],[début]],1)-MOD(H_Dec[[#This Row],[PNP Fin]]-H_Dec[[#This Row],[PNP Début]],1))*24</f>
        <v>0</v>
      </c>
      <c r="K39" s="109" t="str">
        <f>IFERROR(VLOOKUP(H_Dec[[#This Row],[Service]],Codes[],4,0),"")</f>
        <v/>
      </c>
      <c r="L39" s="49">
        <f>IF(H_Dec[[#This Row],[PNP Début]]=0,0,IF(H_Dec[[#This Row],[PNP Début]]&lt;H_Dec[[#This Row],[début]],1,0)+H_Dec[[#This Row],[PNP Début]])</f>
        <v>0</v>
      </c>
      <c r="M39" s="50">
        <f>IF(H_Dec[[#This Row],[PNP Fin]]=0,0,IF(H_Dec[[#This Row],[PNP Fin]]&lt;H_Dec[[#This Row],[début]],1,0)+H_Dec[[#This Row],[PNP Fin]])</f>
        <v>0</v>
      </c>
      <c r="N39" s="50">
        <f>IF(H_Dec[[#This Row],[Fin]]&lt;H_Dec[[#This Row],[début]],1,0)+H_Dec[[#This Row],[Fin]]</f>
        <v>0</v>
      </c>
      <c r="O3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0.1*(H_Dec[[#This Row],[Heures de nuit]]+IF(H_Dec[[#This Row],[majoration dim &amp; JF]]="non",0,H_Dec[[#This Row],[heures jour dimanche]]+H_Dec[[#This Row],[heures jour fériés]]))</f>
        <v>0</v>
      </c>
      <c r="J40" s="48">
        <f>(MOD(H_Dec[[#This Row],[Fin]]-H_Dec[[#This Row],[début]],1)-MOD(H_Dec[[#This Row],[PNP Fin]]-H_Dec[[#This Row],[PNP Début]],1))*24</f>
        <v>0</v>
      </c>
      <c r="K40" s="109" t="str">
        <f>IFERROR(VLOOKUP(H_Dec[[#This Row],[Service]],Codes[],4,0),"")</f>
        <v/>
      </c>
      <c r="L40" s="49">
        <f>IF(H_Dec[[#This Row],[PNP Début]]=0,0,IF(H_Dec[[#This Row],[PNP Début]]&lt;H_Dec[[#This Row],[début]],1,0)+H_Dec[[#This Row],[PNP Début]])</f>
        <v>0</v>
      </c>
      <c r="M40" s="50">
        <f>IF(H_Dec[[#This Row],[PNP Fin]]=0,0,IF(H_Dec[[#This Row],[PNP Fin]]&lt;H_Dec[[#This Row],[début]],1,0)+H_Dec[[#This Row],[PNP Fin]])</f>
        <v>0</v>
      </c>
      <c r="N40" s="50">
        <f>IF(H_Dec[[#This Row],[Fin]]&lt;H_Dec[[#This Row],[début]],1,0)+H_Dec[[#This Row],[Fin]]</f>
        <v>0</v>
      </c>
      <c r="O4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0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0.1*(H_Dec[[#This Row],[Heures de nuit]]+IF(H_Dec[[#This Row],[majoration dim &amp; JF]]="non",0,H_Dec[[#This Row],[heures jour dimanche]]+H_Dec[[#This Row],[heures jour fériés]]))</f>
        <v>0</v>
      </c>
      <c r="J41" s="48">
        <f>(MOD(H_Dec[[#This Row],[Fin]]-H_Dec[[#This Row],[début]],1)-MOD(H_Dec[[#This Row],[PNP Fin]]-H_Dec[[#This Row],[PNP Début]],1))*24</f>
        <v>0</v>
      </c>
      <c r="K41" s="109" t="str">
        <f>IFERROR(VLOOKUP(H_Dec[[#This Row],[Service]],Codes[],4,0),"")</f>
        <v/>
      </c>
      <c r="L41" s="49">
        <f>IF(H_Dec[[#This Row],[PNP Début]]=0,0,IF(H_Dec[[#This Row],[PNP Début]]&lt;H_Dec[[#This Row],[début]],1,0)+H_Dec[[#This Row],[PNP Début]])</f>
        <v>0</v>
      </c>
      <c r="M41" s="50">
        <f>IF(H_Dec[[#This Row],[PNP Fin]]=0,0,IF(H_Dec[[#This Row],[PNP Fin]]&lt;H_Dec[[#This Row],[début]],1,0)+H_Dec[[#This Row],[PNP Fin]])</f>
        <v>0</v>
      </c>
      <c r="N41" s="50">
        <f>IF(H_Dec[[#This Row],[Fin]]&lt;H_Dec[[#This Row],[début]],1,0)+H_Dec[[#This Row],[Fin]]</f>
        <v>0</v>
      </c>
      <c r="O4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1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0.1*(H_Dec[[#This Row],[Heures de nuit]]+IF(H_Dec[[#This Row],[majoration dim &amp; JF]]="non",0,H_Dec[[#This Row],[heures jour dimanche]]+H_Dec[[#This Row],[heures jour fériés]]))</f>
        <v>0</v>
      </c>
      <c r="J42" s="48">
        <f>(MOD(H_Dec[[#This Row],[Fin]]-H_Dec[[#This Row],[début]],1)-MOD(H_Dec[[#This Row],[PNP Fin]]-H_Dec[[#This Row],[PNP Début]],1))*24</f>
        <v>0</v>
      </c>
      <c r="K42" s="109" t="str">
        <f>IFERROR(VLOOKUP(H_Dec[[#This Row],[Service]],Codes[],4,0),"")</f>
        <v/>
      </c>
      <c r="L42" s="49">
        <f>IF(H_Dec[[#This Row],[PNP Début]]=0,0,IF(H_Dec[[#This Row],[PNP Début]]&lt;H_Dec[[#This Row],[début]],1,0)+H_Dec[[#This Row],[PNP Début]])</f>
        <v>0</v>
      </c>
      <c r="M42" s="50">
        <f>IF(H_Dec[[#This Row],[PNP Fin]]=0,0,IF(H_Dec[[#This Row],[PNP Fin]]&lt;H_Dec[[#This Row],[début]],1,0)+H_Dec[[#This Row],[PNP Fin]])</f>
        <v>0</v>
      </c>
      <c r="N42" s="50">
        <f>IF(H_Dec[[#This Row],[Fin]]&lt;H_Dec[[#This Row],[début]],1,0)+H_Dec[[#This Row],[Fin]]</f>
        <v>0</v>
      </c>
      <c r="O4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0.1*(H_Dec[[#This Row],[Heures de nuit]]+IF(H_Dec[[#This Row],[majoration dim &amp; JF]]="non",0,H_Dec[[#This Row],[heures jour dimanche]]+H_Dec[[#This Row],[heures jour fériés]]))</f>
        <v>0</v>
      </c>
      <c r="J43" s="48">
        <f>(MOD(H_Dec[[#This Row],[Fin]]-H_Dec[[#This Row],[début]],1)-MOD(H_Dec[[#This Row],[PNP Fin]]-H_Dec[[#This Row],[PNP Début]],1))*24</f>
        <v>0</v>
      </c>
      <c r="K43" s="109" t="str">
        <f>IFERROR(VLOOKUP(H_Dec[[#This Row],[Service]],Codes[],4,0),"")</f>
        <v/>
      </c>
      <c r="L43" s="49">
        <f>IF(H_Dec[[#This Row],[PNP Début]]=0,0,IF(H_Dec[[#This Row],[PNP Début]]&lt;H_Dec[[#This Row],[début]],1,0)+H_Dec[[#This Row],[PNP Début]])</f>
        <v>0</v>
      </c>
      <c r="M43" s="50">
        <f>IF(H_Dec[[#This Row],[PNP Fin]]=0,0,IF(H_Dec[[#This Row],[PNP Fin]]&lt;H_Dec[[#This Row],[début]],1,0)+H_Dec[[#This Row],[PNP Fin]])</f>
        <v>0</v>
      </c>
      <c r="N43" s="50">
        <f>IF(H_Dec[[#This Row],[Fin]]&lt;H_Dec[[#This Row],[début]],1,0)+H_Dec[[#This Row],[Fin]]</f>
        <v>0</v>
      </c>
      <c r="O4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0.1*(H_Dec[[#This Row],[Heures de nuit]]+IF(H_Dec[[#This Row],[majoration dim &amp; JF]]="non",0,H_Dec[[#This Row],[heures jour dimanche]]+H_Dec[[#This Row],[heures jour fériés]]))</f>
        <v>0</v>
      </c>
      <c r="J44" s="48">
        <f>(MOD(H_Dec[[#This Row],[Fin]]-H_Dec[[#This Row],[début]],1)-MOD(H_Dec[[#This Row],[PNP Fin]]-H_Dec[[#This Row],[PNP Début]],1))*24</f>
        <v>0</v>
      </c>
      <c r="K44" s="109" t="str">
        <f>IFERROR(VLOOKUP(H_Dec[[#This Row],[Service]],Codes[],4,0),"")</f>
        <v/>
      </c>
      <c r="L44" s="49">
        <f>IF(H_Dec[[#This Row],[PNP Début]]=0,0,IF(H_Dec[[#This Row],[PNP Début]]&lt;H_Dec[[#This Row],[début]],1,0)+H_Dec[[#This Row],[PNP Début]])</f>
        <v>0</v>
      </c>
      <c r="M44" s="50">
        <f>IF(H_Dec[[#This Row],[PNP Fin]]=0,0,IF(H_Dec[[#This Row],[PNP Fin]]&lt;H_Dec[[#This Row],[début]],1,0)+H_Dec[[#This Row],[PNP Fin]])</f>
        <v>0</v>
      </c>
      <c r="N44" s="50">
        <f>IF(H_Dec[[#This Row],[Fin]]&lt;H_Dec[[#This Row],[début]],1,0)+H_Dec[[#This Row],[Fin]]</f>
        <v>0</v>
      </c>
      <c r="O4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0.1*(H_Dec[[#This Row],[Heures de nuit]]+IF(H_Dec[[#This Row],[majoration dim &amp; JF]]="non",0,H_Dec[[#This Row],[heures jour dimanche]]+H_Dec[[#This Row],[heures jour fériés]]))</f>
        <v>0</v>
      </c>
      <c r="J45" s="48">
        <f>(MOD(H_Dec[[#This Row],[Fin]]-H_Dec[[#This Row],[début]],1)-MOD(H_Dec[[#This Row],[PNP Fin]]-H_Dec[[#This Row],[PNP Début]],1))*24</f>
        <v>0</v>
      </c>
      <c r="K45" s="109" t="str">
        <f>IFERROR(VLOOKUP(H_Dec[[#This Row],[Service]],Codes[],4,0),"")</f>
        <v/>
      </c>
      <c r="L45" s="49">
        <f>IF(H_Dec[[#This Row],[PNP Début]]=0,0,IF(H_Dec[[#This Row],[PNP Début]]&lt;H_Dec[[#This Row],[début]],1,0)+H_Dec[[#This Row],[PNP Début]])</f>
        <v>0</v>
      </c>
      <c r="M45" s="50">
        <f>IF(H_Dec[[#This Row],[PNP Fin]]=0,0,IF(H_Dec[[#This Row],[PNP Fin]]&lt;H_Dec[[#This Row],[début]],1,0)+H_Dec[[#This Row],[PNP Fin]])</f>
        <v>0</v>
      </c>
      <c r="N45" s="50">
        <f>IF(H_Dec[[#This Row],[Fin]]&lt;H_Dec[[#This Row],[début]],1,0)+H_Dec[[#This Row],[Fin]]</f>
        <v>0</v>
      </c>
      <c r="O4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0.1*(H_Dec[[#This Row],[Heures de nuit]]+IF(H_Dec[[#This Row],[majoration dim &amp; JF]]="non",0,H_Dec[[#This Row],[heures jour dimanche]]+H_Dec[[#This Row],[heures jour fériés]]))</f>
        <v>0</v>
      </c>
      <c r="J46" s="48">
        <f>(MOD(H_Dec[[#This Row],[Fin]]-H_Dec[[#This Row],[début]],1)-MOD(H_Dec[[#This Row],[PNP Fin]]-H_Dec[[#This Row],[PNP Début]],1))*24</f>
        <v>0</v>
      </c>
      <c r="K46" s="109" t="str">
        <f>IFERROR(VLOOKUP(H_Dec[[#This Row],[Service]],Codes[],4,0),"")</f>
        <v/>
      </c>
      <c r="L46" s="49">
        <f>IF(H_Dec[[#This Row],[PNP Début]]=0,0,IF(H_Dec[[#This Row],[PNP Début]]&lt;H_Dec[[#This Row],[début]],1,0)+H_Dec[[#This Row],[PNP Début]])</f>
        <v>0</v>
      </c>
      <c r="M46" s="50">
        <f>IF(H_Dec[[#This Row],[PNP Fin]]=0,0,IF(H_Dec[[#This Row],[PNP Fin]]&lt;H_Dec[[#This Row],[début]],1,0)+H_Dec[[#This Row],[PNP Fin]])</f>
        <v>0</v>
      </c>
      <c r="N46" s="50">
        <f>IF(H_Dec[[#This Row],[Fin]]&lt;H_Dec[[#This Row],[début]],1,0)+H_Dec[[#This Row],[Fin]]</f>
        <v>0</v>
      </c>
      <c r="O4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0.1*(H_Dec[[#This Row],[Heures de nuit]]+IF(H_Dec[[#This Row],[majoration dim &amp; JF]]="non",0,H_Dec[[#This Row],[heures jour dimanche]]+H_Dec[[#This Row],[heures jour fériés]]))</f>
        <v>0</v>
      </c>
      <c r="J47" s="48">
        <f>(MOD(H_Dec[[#This Row],[Fin]]-H_Dec[[#This Row],[début]],1)-MOD(H_Dec[[#This Row],[PNP Fin]]-H_Dec[[#This Row],[PNP Début]],1))*24</f>
        <v>0</v>
      </c>
      <c r="K47" s="109" t="str">
        <f>IFERROR(VLOOKUP(H_Dec[[#This Row],[Service]],Codes[],4,0),"")</f>
        <v/>
      </c>
      <c r="L47" s="49">
        <f>IF(H_Dec[[#This Row],[PNP Début]]=0,0,IF(H_Dec[[#This Row],[PNP Début]]&lt;H_Dec[[#This Row],[début]],1,0)+H_Dec[[#This Row],[PNP Début]])</f>
        <v>0</v>
      </c>
      <c r="M47" s="50">
        <f>IF(H_Dec[[#This Row],[PNP Fin]]=0,0,IF(H_Dec[[#This Row],[PNP Fin]]&lt;H_Dec[[#This Row],[début]],1,0)+H_Dec[[#This Row],[PNP Fin]])</f>
        <v>0</v>
      </c>
      <c r="N47" s="50">
        <f>IF(H_Dec[[#This Row],[Fin]]&lt;H_Dec[[#This Row],[début]],1,0)+H_Dec[[#This Row],[Fin]]</f>
        <v>0</v>
      </c>
      <c r="O4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0.1*(H_Dec[[#This Row],[Heures de nuit]]+IF(H_Dec[[#This Row],[majoration dim &amp; JF]]="non",0,H_Dec[[#This Row],[heures jour dimanche]]+H_Dec[[#This Row],[heures jour fériés]]))</f>
        <v>0</v>
      </c>
      <c r="J48" s="48">
        <f>(MOD(H_Dec[[#This Row],[Fin]]-H_Dec[[#This Row],[début]],1)-MOD(H_Dec[[#This Row],[PNP Fin]]-H_Dec[[#This Row],[PNP Début]],1))*24</f>
        <v>0</v>
      </c>
      <c r="K48" s="109" t="str">
        <f>IFERROR(VLOOKUP(H_Dec[[#This Row],[Service]],Codes[],4,0),"")</f>
        <v/>
      </c>
      <c r="L48" s="49">
        <f>IF(H_Dec[[#This Row],[PNP Début]]=0,0,IF(H_Dec[[#This Row],[PNP Début]]&lt;H_Dec[[#This Row],[début]],1,0)+H_Dec[[#This Row],[PNP Début]])</f>
        <v>0</v>
      </c>
      <c r="M48" s="50">
        <f>IF(H_Dec[[#This Row],[PNP Fin]]=0,0,IF(H_Dec[[#This Row],[PNP Fin]]&lt;H_Dec[[#This Row],[début]],1,0)+H_Dec[[#This Row],[PNP Fin]])</f>
        <v>0</v>
      </c>
      <c r="N48" s="50">
        <f>IF(H_Dec[[#This Row],[Fin]]&lt;H_Dec[[#This Row],[début]],1,0)+H_Dec[[#This Row],[Fin]]</f>
        <v>0</v>
      </c>
      <c r="O4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0.1*(H_Dec[[#This Row],[Heures de nuit]]+IF(H_Dec[[#This Row],[majoration dim &amp; JF]]="non",0,H_Dec[[#This Row],[heures jour dimanche]]+H_Dec[[#This Row],[heures jour fériés]]))</f>
        <v>0</v>
      </c>
      <c r="J49" s="48">
        <f>(MOD(H_Dec[[#This Row],[Fin]]-H_Dec[[#This Row],[début]],1)-MOD(H_Dec[[#This Row],[PNP Fin]]-H_Dec[[#This Row],[PNP Début]],1))*24</f>
        <v>0</v>
      </c>
      <c r="K49" s="109" t="str">
        <f>IFERROR(VLOOKUP(H_Dec[[#This Row],[Service]],Codes[],4,0),"")</f>
        <v/>
      </c>
      <c r="L49" s="49">
        <f>IF(H_Dec[[#This Row],[PNP Début]]=0,0,IF(H_Dec[[#This Row],[PNP Début]]&lt;H_Dec[[#This Row],[début]],1,0)+H_Dec[[#This Row],[PNP Début]])</f>
        <v>0</v>
      </c>
      <c r="M49" s="50">
        <f>IF(H_Dec[[#This Row],[PNP Fin]]=0,0,IF(H_Dec[[#This Row],[PNP Fin]]&lt;H_Dec[[#This Row],[début]],1,0)+H_Dec[[#This Row],[PNP Fin]])</f>
        <v>0</v>
      </c>
      <c r="N49" s="50">
        <f>IF(H_Dec[[#This Row],[Fin]]&lt;H_Dec[[#This Row],[début]],1,0)+H_Dec[[#This Row],[Fin]]</f>
        <v>0</v>
      </c>
      <c r="O4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89" t="s">
        <v>29</v>
      </c>
      <c r="F50" s="190"/>
      <c r="G50" s="190"/>
      <c r="H50" s="191"/>
      <c r="I50" s="53">
        <f>SUM(H_Dec[Majoration])</f>
        <v>0</v>
      </c>
      <c r="J50" s="54">
        <f>SUM(H_Dec[Heures totales payées])</f>
        <v>0</v>
      </c>
      <c r="K50" s="11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92" t="s">
        <v>30</v>
      </c>
      <c r="B51" s="192"/>
      <c r="C51" s="192"/>
      <c r="D51" s="192"/>
      <c r="E51" s="15"/>
      <c r="F51" s="15"/>
      <c r="G51" s="193" t="s">
        <v>31</v>
      </c>
      <c r="H51" s="193"/>
      <c r="I51" s="193"/>
      <c r="J51" s="193"/>
      <c r="K51" s="10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203"/>
      <c r="B52" s="204"/>
      <c r="C52" s="204"/>
      <c r="D52" s="221"/>
      <c r="E52" s="52"/>
      <c r="F52" s="15"/>
      <c r="G52" s="203"/>
      <c r="H52" s="204"/>
      <c r="I52" s="204"/>
      <c r="J52" s="204"/>
      <c r="K52" s="94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205"/>
      <c r="B53" s="206"/>
      <c r="C53" s="206"/>
      <c r="D53" s="222"/>
      <c r="E53" s="15"/>
      <c r="F53" s="15"/>
      <c r="G53" s="205"/>
      <c r="H53" s="206"/>
      <c r="I53" s="206"/>
      <c r="J53" s="206"/>
      <c r="K53" s="94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207"/>
      <c r="B54" s="208"/>
      <c r="C54" s="208"/>
      <c r="D54" s="223"/>
      <c r="E54" s="52"/>
      <c r="F54" s="15"/>
      <c r="G54" s="207"/>
      <c r="H54" s="208"/>
      <c r="I54" s="208"/>
      <c r="J54" s="208"/>
      <c r="K54" s="94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94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32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print="0" autoLine="0" r:id="rId5">
            <anchor moveWithCells="1">
              <from>
                <xdr:col>9</xdr:col>
                <xdr:colOff>487680</xdr:colOff>
                <xdr:row>0</xdr:row>
                <xdr:rowOff>53340</xdr:rowOff>
              </from>
              <to>
                <xdr:col>9</xdr:col>
                <xdr:colOff>1272540</xdr:colOff>
                <xdr:row>3</xdr:row>
                <xdr:rowOff>175260</xdr:rowOff>
              </to>
            </anchor>
          </controlPr>
        </control>
      </mc:Choice>
      <mc:Fallback>
        <control shapeId="1536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21</vt:i4>
      </vt:variant>
    </vt:vector>
  </HeadingPairs>
  <TitlesOfParts>
    <vt:vector size="36" baseType="lpstr">
      <vt:lpstr>TOTAUX ANNUEL </vt:lpstr>
      <vt:lpstr>parametres </vt:lpstr>
      <vt:lpstr>JF </vt:lpstr>
      <vt:lpstr>Janvier 18</vt:lpstr>
      <vt:lpstr>Février 18</vt:lpstr>
      <vt:lpstr>Mars 18</vt:lpstr>
      <vt:lpstr>Avril 18</vt:lpstr>
      <vt:lpstr>Mai 18</vt:lpstr>
      <vt:lpstr>Juin 18</vt:lpstr>
      <vt:lpstr>Juillet 18</vt:lpstr>
      <vt:lpstr>Août 18</vt:lpstr>
      <vt:lpstr>Septembre 18</vt:lpstr>
      <vt:lpstr>Octobre 18</vt:lpstr>
      <vt:lpstr>Novembre 18</vt:lpstr>
      <vt:lpstr>Décembre 18</vt:lpstr>
      <vt:lpstr>deb_dimJF</vt:lpstr>
      <vt:lpstr>deb_nuit</vt:lpstr>
      <vt:lpstr>fin_dimJF</vt:lpstr>
      <vt:lpstr>fin_nuit</vt:lpstr>
      <vt:lpstr>JF</vt:lpstr>
      <vt:lpstr>Maladie</vt:lpstr>
      <vt:lpstr>Services</vt:lpstr>
      <vt:lpstr>Vacances</vt:lpstr>
      <vt:lpstr>'Août 18'!Zone_d_impression</vt:lpstr>
      <vt:lpstr>'Avril 18'!Zone_d_impression</vt:lpstr>
      <vt:lpstr>'Décembre 18'!Zone_d_impression</vt:lpstr>
      <vt:lpstr>'Février 18'!Zone_d_impression</vt:lpstr>
      <vt:lpstr>'Janvier 18'!Zone_d_impression</vt:lpstr>
      <vt:lpstr>'Juillet 18'!Zone_d_impression</vt:lpstr>
      <vt:lpstr>'Juin 18'!Zone_d_impression</vt:lpstr>
      <vt:lpstr>'Mai 18'!Zone_d_impression</vt:lpstr>
      <vt:lpstr>'Mars 18'!Zone_d_impression</vt:lpstr>
      <vt:lpstr>'Novembre 18'!Zone_d_impression</vt:lpstr>
      <vt:lpstr>'Octobre 18'!Zone_d_impression</vt:lpstr>
      <vt:lpstr>'Septembre 18'!Zone_d_impression</vt:lpstr>
      <vt:lpstr>'TOTAUX ANNUEL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philippe.conte</cp:lastModifiedBy>
  <cp:lastPrinted>2018-05-14T17:34:31Z</cp:lastPrinted>
  <dcterms:created xsi:type="dcterms:W3CDTF">2017-09-02T09:30:55Z</dcterms:created>
  <dcterms:modified xsi:type="dcterms:W3CDTF">2018-05-15T00:05:42Z</dcterms:modified>
</cp:coreProperties>
</file>