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activeX/activeX1.xml" ContentType="application/vnd.ms-office.activeX+xml"/>
  <Override PartName="/xl/activeX/activeX1.bin" ContentType="application/vnd.ms-office.activeX"/>
  <Override PartName="/xl/tables/table2.xml" ContentType="application/vnd.openxmlformats-officedocument.spreadsheetml.table+xml"/>
  <Override PartName="/xl/drawings/drawing5.xml" ContentType="application/vnd.openxmlformats-officedocument.drawing+xml"/>
  <Override PartName="/xl/activeX/activeX2.xml" ContentType="application/vnd.ms-office.activeX+xml"/>
  <Override PartName="/xl/activeX/activeX2.bin" ContentType="application/vnd.ms-office.activeX"/>
  <Override PartName="/xl/tables/table3.xml" ContentType="application/vnd.openxmlformats-officedocument.spreadsheetml.table+xml"/>
  <Override PartName="/xl/drawings/drawing6.xml" ContentType="application/vnd.openxmlformats-officedocument.drawing+xml"/>
  <Override PartName="/xl/activeX/activeX3.xml" ContentType="application/vnd.ms-office.activeX+xml"/>
  <Override PartName="/xl/activeX/activeX3.bin" ContentType="application/vnd.ms-office.activeX"/>
  <Override PartName="/xl/tables/table4.xml" ContentType="application/vnd.openxmlformats-officedocument.spreadsheetml.table+xml"/>
  <Override PartName="/xl/drawings/drawing7.xml" ContentType="application/vnd.openxmlformats-officedocument.drawing+xml"/>
  <Override PartName="/xl/activeX/activeX4.xml" ContentType="application/vnd.ms-office.activeX+xml"/>
  <Override PartName="/xl/activeX/activeX4.bin" ContentType="application/vnd.ms-office.activeX"/>
  <Override PartName="/xl/tables/table5.xml" ContentType="application/vnd.openxmlformats-officedocument.spreadsheetml.table+xml"/>
  <Override PartName="/xl/drawings/drawing8.xml" ContentType="application/vnd.openxmlformats-officedocument.drawing+xml"/>
  <Override PartName="/xl/activeX/activeX5.xml" ContentType="application/vnd.ms-office.activeX+xml"/>
  <Override PartName="/xl/activeX/activeX5.bin" ContentType="application/vnd.ms-office.activeX"/>
  <Override PartName="/xl/tables/table6.xml" ContentType="application/vnd.openxmlformats-officedocument.spreadsheetml.table+xml"/>
  <Override PartName="/xl/drawings/drawing9.xml" ContentType="application/vnd.openxmlformats-officedocument.drawing+xml"/>
  <Override PartName="/xl/activeX/activeX6.xml" ContentType="application/vnd.ms-office.activeX+xml"/>
  <Override PartName="/xl/activeX/activeX6.bin" ContentType="application/vnd.ms-office.activeX"/>
  <Override PartName="/xl/tables/table7.xml" ContentType="application/vnd.openxmlformats-officedocument.spreadsheetml.table+xml"/>
  <Override PartName="/xl/drawings/drawing10.xml" ContentType="application/vnd.openxmlformats-officedocument.drawing+xml"/>
  <Override PartName="/xl/activeX/activeX7.xml" ContentType="application/vnd.ms-office.activeX+xml"/>
  <Override PartName="/xl/activeX/activeX7.bin" ContentType="application/vnd.ms-office.activeX"/>
  <Override PartName="/xl/tables/table8.xml" ContentType="application/vnd.openxmlformats-officedocument.spreadsheetml.table+xml"/>
  <Override PartName="/xl/drawings/drawing11.xml" ContentType="application/vnd.openxmlformats-officedocument.drawing+xml"/>
  <Override PartName="/xl/activeX/activeX8.xml" ContentType="application/vnd.ms-office.activeX+xml"/>
  <Override PartName="/xl/activeX/activeX8.bin" ContentType="application/vnd.ms-office.activeX"/>
  <Override PartName="/xl/tables/table9.xml" ContentType="application/vnd.openxmlformats-officedocument.spreadsheetml.table+xml"/>
  <Override PartName="/xl/drawings/drawing12.xml" ContentType="application/vnd.openxmlformats-officedocument.drawing+xml"/>
  <Override PartName="/xl/activeX/activeX9.xml" ContentType="application/vnd.ms-office.activeX+xml"/>
  <Override PartName="/xl/activeX/activeX9.bin" ContentType="application/vnd.ms-office.activeX"/>
  <Override PartName="/xl/tables/table10.xml" ContentType="application/vnd.openxmlformats-officedocument.spreadsheetml.table+xml"/>
  <Override PartName="/xl/drawings/drawing13.xml" ContentType="application/vnd.openxmlformats-officedocument.drawing+xml"/>
  <Override PartName="/xl/activeX/activeX10.xml" ContentType="application/vnd.ms-office.activeX+xml"/>
  <Override PartName="/xl/activeX/activeX10.bin" ContentType="application/vnd.ms-office.activeX"/>
  <Override PartName="/xl/tables/table11.xml" ContentType="application/vnd.openxmlformats-officedocument.spreadsheetml.table+xml"/>
  <Override PartName="/xl/drawings/drawing14.xml" ContentType="application/vnd.openxmlformats-officedocument.drawing+xml"/>
  <Override PartName="/xl/activeX/activeX11.xml" ContentType="application/vnd.ms-office.activeX+xml"/>
  <Override PartName="/xl/activeX/activeX11.bin" ContentType="application/vnd.ms-office.activeX"/>
  <Override PartName="/xl/tables/table12.xml" ContentType="application/vnd.openxmlformats-officedocument.spreadsheetml.table+xml"/>
  <Override PartName="/xl/drawings/drawing15.xml" ContentType="application/vnd.openxmlformats-officedocument.drawing+xml"/>
  <Override PartName="/xl/activeX/activeX12.xml" ContentType="application/vnd.ms-office.activeX+xml"/>
  <Override PartName="/xl/activeX/activeX12.bin" ContentType="application/vnd.ms-office.activeX"/>
  <Override PartName="/xl/tables/table1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U:\HEURES MENSUELLES\"/>
    </mc:Choice>
  </mc:AlternateContent>
  <bookViews>
    <workbookView xWindow="0" yWindow="0" windowWidth="11988" windowHeight="8940" tabRatio="904" firstSheet="1" activeTab="3"/>
  </bookViews>
  <sheets>
    <sheet name="TOTAUX ANNUEL " sheetId="26" r:id="rId1"/>
    <sheet name="parametres " sheetId="3" r:id="rId2"/>
    <sheet name="JF " sheetId="2" r:id="rId3"/>
    <sheet name="Janvier 18" sheetId="13" r:id="rId4"/>
    <sheet name="Février 18" sheetId="14" r:id="rId5"/>
    <sheet name="Mars 18" sheetId="15" r:id="rId6"/>
    <sheet name="Avril 18" sheetId="16" r:id="rId7"/>
    <sheet name="Mai 18" sheetId="17" r:id="rId8"/>
    <sheet name="Juin 18" sheetId="19" r:id="rId9"/>
    <sheet name="Juillet 18" sheetId="20" r:id="rId10"/>
    <sheet name="Août 18" sheetId="25" r:id="rId11"/>
    <sheet name="Septembre 18" sheetId="24" r:id="rId12"/>
    <sheet name="Octobre 18" sheetId="23" r:id="rId13"/>
    <sheet name="Novembre 18" sheetId="22" r:id="rId14"/>
    <sheet name="Décembre 18" sheetId="21" r:id="rId15"/>
  </sheets>
  <definedNames>
    <definedName name="deb_dimJF">'parametres '!$B$3</definedName>
    <definedName name="deb_nuit">'parametres '!$B$1</definedName>
    <definedName name="fin_dimJF">'parametres '!$B$4</definedName>
    <definedName name="fin_nuit">'parametres '!$B$2</definedName>
    <definedName name="JF">'JF '!$D$1:$D$12</definedName>
    <definedName name="Maladie">'JF '!$A$20</definedName>
    <definedName name="Services">Codes[[#Headers],[Services]]</definedName>
    <definedName name="Vacances">'JF '!$A$19</definedName>
    <definedName name="_xlnm.Print_Area" localSheetId="10">'Août 18'!$A$1:$J$113</definedName>
    <definedName name="_xlnm.Print_Area" localSheetId="6">'Avril 18'!$A$1:$J$113</definedName>
    <definedName name="_xlnm.Print_Area" localSheetId="14">'Décembre 18'!$A$1:$J$113</definedName>
    <definedName name="_xlnm.Print_Area" localSheetId="4">'Février 18'!$A$1:$J$113</definedName>
    <definedName name="_xlnm.Print_Area" localSheetId="3">'Janvier 18'!$A$1:$J$113</definedName>
    <definedName name="_xlnm.Print_Area" localSheetId="9">'Juillet 18'!$A$1:$J$113</definedName>
    <definedName name="_xlnm.Print_Area" localSheetId="8">'Juin 18'!$A$1:$J$113</definedName>
    <definedName name="_xlnm.Print_Area" localSheetId="7">'Mai 18'!$A$1:$J$113</definedName>
    <definedName name="_xlnm.Print_Area" localSheetId="5">'Mars 18'!$A$1:$J$113</definedName>
    <definedName name="_xlnm.Print_Area" localSheetId="13">'Novembre 18'!$A$1:$J$113</definedName>
    <definedName name="_xlnm.Print_Area" localSheetId="12">'Octobre 18'!$A$3:$J$113</definedName>
    <definedName name="_xlnm.Print_Area" localSheetId="11">'Septembre 18'!$A$1:$J$113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16" i="21" l="1"/>
  <c r="W10" i="21"/>
  <c r="X16" i="22"/>
  <c r="W10" i="22"/>
  <c r="X16" i="23"/>
  <c r="W10" i="23"/>
  <c r="X16" i="24"/>
  <c r="W10" i="24"/>
  <c r="X16" i="25"/>
  <c r="W10" i="25"/>
  <c r="X16" i="20"/>
  <c r="W10" i="20"/>
  <c r="X16" i="19"/>
  <c r="W10" i="19"/>
  <c r="X16" i="17"/>
  <c r="W10" i="17"/>
  <c r="X16" i="13"/>
  <c r="W10" i="13"/>
  <c r="W16" i="14"/>
  <c r="Y16" i="13"/>
  <c r="K13" i="21" l="1"/>
  <c r="K14" i="21"/>
  <c r="K15" i="21"/>
  <c r="K16" i="21"/>
  <c r="K17" i="21"/>
  <c r="K18" i="21"/>
  <c r="K19" i="21"/>
  <c r="K20" i="21"/>
  <c r="K21" i="21"/>
  <c r="K22" i="21"/>
  <c r="K23" i="21"/>
  <c r="K24" i="21"/>
  <c r="K25" i="21"/>
  <c r="K26" i="21"/>
  <c r="K27" i="21"/>
  <c r="K28" i="21"/>
  <c r="K29" i="21"/>
  <c r="K30" i="21"/>
  <c r="K31" i="21"/>
  <c r="K32" i="21"/>
  <c r="K33" i="21"/>
  <c r="K34" i="21"/>
  <c r="K35" i="21"/>
  <c r="K36" i="21"/>
  <c r="K37" i="21"/>
  <c r="K38" i="21"/>
  <c r="K39" i="21"/>
  <c r="K40" i="21"/>
  <c r="K41" i="21"/>
  <c r="K42" i="21"/>
  <c r="K43" i="21"/>
  <c r="K44" i="21"/>
  <c r="K45" i="21"/>
  <c r="K46" i="21"/>
  <c r="K47" i="21"/>
  <c r="K48" i="21"/>
  <c r="K49" i="21"/>
  <c r="K13" i="22"/>
  <c r="K14" i="22"/>
  <c r="K15" i="22"/>
  <c r="K16" i="22"/>
  <c r="K17" i="22"/>
  <c r="K18" i="22"/>
  <c r="K19" i="22"/>
  <c r="K20" i="22"/>
  <c r="K21" i="22"/>
  <c r="K22" i="22"/>
  <c r="K23" i="22"/>
  <c r="K24" i="22"/>
  <c r="K25" i="22"/>
  <c r="K26" i="22"/>
  <c r="K27" i="22"/>
  <c r="K28" i="22"/>
  <c r="K29" i="22"/>
  <c r="K30" i="22"/>
  <c r="K31" i="22"/>
  <c r="K32" i="22"/>
  <c r="K33" i="22"/>
  <c r="K34" i="22"/>
  <c r="K35" i="22"/>
  <c r="K36" i="22"/>
  <c r="K37" i="22"/>
  <c r="K38" i="22"/>
  <c r="K39" i="22"/>
  <c r="K40" i="22"/>
  <c r="K41" i="22"/>
  <c r="K42" i="22"/>
  <c r="K43" i="22"/>
  <c r="K44" i="22"/>
  <c r="K45" i="22"/>
  <c r="K46" i="22"/>
  <c r="K47" i="22"/>
  <c r="K48" i="22"/>
  <c r="K49" i="22"/>
  <c r="K13" i="23"/>
  <c r="K14" i="23"/>
  <c r="K15" i="23"/>
  <c r="K16" i="23"/>
  <c r="K17" i="23"/>
  <c r="K18"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13" i="24"/>
  <c r="K14" i="24"/>
  <c r="K15" i="24"/>
  <c r="K16" i="24"/>
  <c r="K17" i="24"/>
  <c r="K18" i="24"/>
  <c r="K19" i="24"/>
  <c r="K20" i="24"/>
  <c r="K21" i="24"/>
  <c r="K22" i="24"/>
  <c r="K23" i="24"/>
  <c r="K24" i="24"/>
  <c r="K25" i="24"/>
  <c r="K26" i="24"/>
  <c r="K27" i="24"/>
  <c r="K28" i="24"/>
  <c r="K29" i="24"/>
  <c r="K30" i="24"/>
  <c r="K31" i="24"/>
  <c r="K32" i="24"/>
  <c r="K33" i="24"/>
  <c r="K34" i="24"/>
  <c r="K35" i="24"/>
  <c r="K36" i="24"/>
  <c r="K37" i="24"/>
  <c r="K38" i="24"/>
  <c r="K39" i="24"/>
  <c r="K40" i="24"/>
  <c r="K41" i="24"/>
  <c r="K42" i="24"/>
  <c r="K43" i="24"/>
  <c r="K44" i="24"/>
  <c r="K45" i="24"/>
  <c r="K46" i="24"/>
  <c r="K47" i="24"/>
  <c r="K48" i="24"/>
  <c r="K49" i="24"/>
  <c r="K13" i="25"/>
  <c r="K14" i="25"/>
  <c r="K15" i="25"/>
  <c r="K16" i="25"/>
  <c r="K17" i="25"/>
  <c r="K18" i="25"/>
  <c r="K19" i="25"/>
  <c r="K20" i="25"/>
  <c r="K21" i="25"/>
  <c r="K22" i="25"/>
  <c r="K23" i="25"/>
  <c r="K24" i="25"/>
  <c r="K25" i="25"/>
  <c r="K26" i="25"/>
  <c r="K27" i="25"/>
  <c r="K28" i="25"/>
  <c r="K29" i="25"/>
  <c r="K30" i="25"/>
  <c r="K31" i="25"/>
  <c r="K32" i="25"/>
  <c r="K33" i="25"/>
  <c r="K34" i="25"/>
  <c r="K35" i="25"/>
  <c r="K36" i="25"/>
  <c r="K37" i="25"/>
  <c r="K38" i="25"/>
  <c r="K39" i="25"/>
  <c r="K40" i="25"/>
  <c r="K41" i="25"/>
  <c r="K42" i="25"/>
  <c r="K43" i="25"/>
  <c r="K44" i="25"/>
  <c r="K45" i="25"/>
  <c r="K46" i="25"/>
  <c r="K47" i="25"/>
  <c r="K48" i="25"/>
  <c r="K49" i="25"/>
  <c r="K13" i="20"/>
  <c r="K14" i="20"/>
  <c r="K15" i="20"/>
  <c r="K16" i="20"/>
  <c r="K17" i="20"/>
  <c r="K18" i="20"/>
  <c r="K19" i="20"/>
  <c r="K20" i="20"/>
  <c r="K21" i="20"/>
  <c r="K22" i="20"/>
  <c r="K23" i="20"/>
  <c r="K24" i="20"/>
  <c r="K25" i="20"/>
  <c r="K26" i="20"/>
  <c r="K27" i="20"/>
  <c r="K28" i="20"/>
  <c r="K29" i="20"/>
  <c r="K30" i="20"/>
  <c r="K31" i="20"/>
  <c r="K32" i="20"/>
  <c r="K33" i="20"/>
  <c r="K34" i="20"/>
  <c r="K35" i="20"/>
  <c r="K36" i="20"/>
  <c r="K37" i="20"/>
  <c r="K38" i="20"/>
  <c r="K39" i="20"/>
  <c r="K40" i="20"/>
  <c r="K41" i="20"/>
  <c r="K42" i="20"/>
  <c r="K43" i="20"/>
  <c r="K44" i="20"/>
  <c r="K45" i="20"/>
  <c r="K46" i="20"/>
  <c r="K47" i="20"/>
  <c r="K48" i="20"/>
  <c r="K49" i="20"/>
  <c r="K13" i="19"/>
  <c r="K14" i="19"/>
  <c r="K15" i="19"/>
  <c r="K16" i="19"/>
  <c r="K17" i="19"/>
  <c r="K18" i="19"/>
  <c r="K19" i="19"/>
  <c r="K20" i="19"/>
  <c r="K21" i="19"/>
  <c r="K22" i="19"/>
  <c r="K23" i="19"/>
  <c r="K24" i="19"/>
  <c r="K25" i="19"/>
  <c r="K26" i="19"/>
  <c r="K27" i="19"/>
  <c r="K28" i="19"/>
  <c r="K29" i="19"/>
  <c r="K30" i="19"/>
  <c r="K31" i="19"/>
  <c r="K32" i="19"/>
  <c r="K33" i="19"/>
  <c r="K34" i="19"/>
  <c r="K35" i="19"/>
  <c r="K36" i="19"/>
  <c r="K37" i="19"/>
  <c r="K38" i="19"/>
  <c r="K39" i="19"/>
  <c r="K40" i="19"/>
  <c r="K41" i="19"/>
  <c r="K42" i="19"/>
  <c r="K43" i="19"/>
  <c r="K44" i="19"/>
  <c r="K45" i="19"/>
  <c r="K46" i="19"/>
  <c r="K47" i="19"/>
  <c r="K48" i="19"/>
  <c r="K49" i="19"/>
  <c r="K13" i="17"/>
  <c r="K14" i="17"/>
  <c r="K15" i="17"/>
  <c r="K16" i="17"/>
  <c r="K17" i="17"/>
  <c r="K18" i="17"/>
  <c r="K19" i="17"/>
  <c r="K20" i="17"/>
  <c r="K21" i="17"/>
  <c r="K22" i="17"/>
  <c r="K23" i="17"/>
  <c r="K24" i="17"/>
  <c r="K25" i="17"/>
  <c r="K26" i="17"/>
  <c r="K27" i="17"/>
  <c r="K28" i="17"/>
  <c r="K29" i="17"/>
  <c r="K30" i="17"/>
  <c r="K31" i="17"/>
  <c r="K32" i="17"/>
  <c r="K33" i="17"/>
  <c r="K34" i="17"/>
  <c r="K35" i="17"/>
  <c r="K36" i="17"/>
  <c r="K37" i="17"/>
  <c r="K38" i="17"/>
  <c r="K39" i="17"/>
  <c r="K40" i="17"/>
  <c r="K41" i="17"/>
  <c r="K42" i="17"/>
  <c r="K43" i="17"/>
  <c r="K44" i="17"/>
  <c r="K45" i="17"/>
  <c r="K46" i="17"/>
  <c r="K47" i="17"/>
  <c r="K48" i="17"/>
  <c r="K49" i="17"/>
  <c r="J14" i="16"/>
  <c r="J15" i="16"/>
  <c r="J16" i="16"/>
  <c r="J17" i="16"/>
  <c r="J18" i="16"/>
  <c r="J19" i="16"/>
  <c r="J20" i="16"/>
  <c r="J21" i="16"/>
  <c r="J22" i="16"/>
  <c r="J23" i="16"/>
  <c r="J24" i="16"/>
  <c r="J25" i="16"/>
  <c r="J26" i="16"/>
  <c r="J27" i="16"/>
  <c r="J28" i="16"/>
  <c r="J29" i="16"/>
  <c r="J30" i="16"/>
  <c r="J31" i="16"/>
  <c r="J32" i="16"/>
  <c r="J33" i="16"/>
  <c r="J34" i="16"/>
  <c r="J35" i="16"/>
  <c r="J36" i="16"/>
  <c r="J37" i="16"/>
  <c r="J38" i="16"/>
  <c r="J39" i="16"/>
  <c r="J40" i="16"/>
  <c r="J41" i="16"/>
  <c r="J42" i="16"/>
  <c r="J43" i="16"/>
  <c r="J44" i="16"/>
  <c r="J45" i="16"/>
  <c r="J46" i="16"/>
  <c r="J47" i="16"/>
  <c r="J48" i="16"/>
  <c r="J49" i="16"/>
  <c r="K13" i="16"/>
  <c r="K14" i="16"/>
  <c r="K15" i="16"/>
  <c r="K16" i="16"/>
  <c r="K17" i="16"/>
  <c r="K18" i="16"/>
  <c r="K19" i="16"/>
  <c r="K20" i="16"/>
  <c r="K21" i="16"/>
  <c r="K22" i="16"/>
  <c r="K23" i="16"/>
  <c r="K24" i="16"/>
  <c r="K25" i="16"/>
  <c r="K26" i="16"/>
  <c r="K27" i="16"/>
  <c r="K28" i="16"/>
  <c r="K29" i="16"/>
  <c r="K30" i="16"/>
  <c r="K31" i="16"/>
  <c r="K32" i="16"/>
  <c r="K33" i="16"/>
  <c r="K34" i="16"/>
  <c r="K35" i="16"/>
  <c r="K36" i="16"/>
  <c r="K37" i="16"/>
  <c r="K38" i="16"/>
  <c r="K39" i="16"/>
  <c r="K40" i="16"/>
  <c r="K41" i="16"/>
  <c r="K42" i="16"/>
  <c r="K43" i="16"/>
  <c r="K44" i="16"/>
  <c r="K45" i="16"/>
  <c r="K46" i="16"/>
  <c r="K47" i="16"/>
  <c r="K48" i="16"/>
  <c r="K49" i="16"/>
  <c r="K13" i="15"/>
  <c r="K14" i="15"/>
  <c r="K15" i="15"/>
  <c r="K16" i="15"/>
  <c r="K17" i="15"/>
  <c r="K18" i="15"/>
  <c r="K19" i="15"/>
  <c r="K20" i="15"/>
  <c r="K21" i="15"/>
  <c r="K22" i="15"/>
  <c r="K23" i="15"/>
  <c r="K24" i="15"/>
  <c r="K25" i="15"/>
  <c r="K26" i="15"/>
  <c r="K27" i="15"/>
  <c r="K28" i="15"/>
  <c r="K29" i="15"/>
  <c r="K30" i="15"/>
  <c r="K31" i="15"/>
  <c r="K32" i="15"/>
  <c r="K33" i="15"/>
  <c r="K34" i="15"/>
  <c r="K35" i="15"/>
  <c r="K36" i="15"/>
  <c r="K37" i="15"/>
  <c r="K38" i="15"/>
  <c r="K39" i="15"/>
  <c r="K40" i="15"/>
  <c r="K41" i="15"/>
  <c r="K42" i="15"/>
  <c r="K43" i="15"/>
  <c r="K44" i="15"/>
  <c r="K45" i="15"/>
  <c r="K46" i="15"/>
  <c r="K47" i="15"/>
  <c r="K48" i="15"/>
  <c r="K49" i="15"/>
  <c r="K13" i="14"/>
  <c r="K14" i="14"/>
  <c r="K15" i="14"/>
  <c r="K16" i="14"/>
  <c r="K17" i="14"/>
  <c r="K18" i="14"/>
  <c r="K19" i="14"/>
  <c r="K20" i="14"/>
  <c r="K21" i="14"/>
  <c r="K22" i="14"/>
  <c r="K23" i="14"/>
  <c r="K24" i="14"/>
  <c r="K25" i="14"/>
  <c r="K26" i="14"/>
  <c r="K27" i="14"/>
  <c r="K28" i="14"/>
  <c r="K29" i="14"/>
  <c r="K30" i="14"/>
  <c r="K31" i="14"/>
  <c r="K32" i="14"/>
  <c r="K33" i="14"/>
  <c r="K34" i="14"/>
  <c r="K35" i="14"/>
  <c r="K36" i="14"/>
  <c r="K37" i="14"/>
  <c r="K38" i="14"/>
  <c r="K39" i="14"/>
  <c r="K40" i="14"/>
  <c r="K41" i="14"/>
  <c r="K42" i="14"/>
  <c r="K43" i="14"/>
  <c r="K44" i="14"/>
  <c r="K45" i="14"/>
  <c r="K46" i="14"/>
  <c r="K47" i="14"/>
  <c r="K48" i="14"/>
  <c r="K49" i="14"/>
  <c r="K13" i="13"/>
  <c r="K14" i="13"/>
  <c r="K15" i="13"/>
  <c r="K16" i="13"/>
  <c r="K17" i="13"/>
  <c r="K18" i="13"/>
  <c r="K19" i="13"/>
  <c r="K20" i="13"/>
  <c r="K21" i="13"/>
  <c r="K22" i="13"/>
  <c r="K23" i="13"/>
  <c r="K24" i="13"/>
  <c r="K25" i="13"/>
  <c r="K26" i="13"/>
  <c r="K27" i="13"/>
  <c r="K28" i="13"/>
  <c r="K29" i="13"/>
  <c r="K30" i="13"/>
  <c r="K31" i="13"/>
  <c r="K32" i="13"/>
  <c r="K33" i="13"/>
  <c r="K34" i="13"/>
  <c r="K35" i="13"/>
  <c r="K36" i="13"/>
  <c r="K37" i="13"/>
  <c r="K38" i="13"/>
  <c r="K39" i="13"/>
  <c r="K40" i="13"/>
  <c r="K41" i="13"/>
  <c r="K42" i="13"/>
  <c r="K43" i="13"/>
  <c r="K44" i="13"/>
  <c r="K45" i="13"/>
  <c r="K46" i="13"/>
  <c r="K47" i="13"/>
  <c r="K48" i="13"/>
  <c r="K49" i="13"/>
  <c r="I5" i="13" l="1"/>
  <c r="B5" i="15" l="1"/>
  <c r="D5" i="15"/>
  <c r="B5" i="22"/>
  <c r="B7" i="22"/>
  <c r="E7" i="22"/>
  <c r="D5" i="22"/>
  <c r="B5" i="23"/>
  <c r="B7" i="23"/>
  <c r="E7" i="23"/>
  <c r="D5" i="23"/>
  <c r="B5" i="24"/>
  <c r="B7" i="24"/>
  <c r="E7" i="24"/>
  <c r="D5" i="24"/>
  <c r="B5" i="25"/>
  <c r="B7" i="25"/>
  <c r="E7" i="25"/>
  <c r="D5" i="25"/>
  <c r="B5" i="20"/>
  <c r="B7" i="20"/>
  <c r="E7" i="20"/>
  <c r="D5" i="20"/>
  <c r="B5" i="19"/>
  <c r="B7" i="19"/>
  <c r="E7" i="19"/>
  <c r="D5" i="19"/>
  <c r="E7" i="17"/>
  <c r="B7" i="17"/>
  <c r="B5" i="17"/>
  <c r="D5" i="17"/>
  <c r="E7" i="16"/>
  <c r="D5" i="16"/>
  <c r="B7" i="16"/>
  <c r="B5" i="16"/>
  <c r="E7" i="15"/>
  <c r="B7" i="15"/>
  <c r="E7" i="14"/>
  <c r="B7" i="14"/>
  <c r="D5" i="14"/>
  <c r="B5" i="14"/>
  <c r="J13" i="13" l="1"/>
  <c r="J14" i="13"/>
  <c r="J15" i="13"/>
  <c r="J16" i="13"/>
  <c r="J17" i="13"/>
  <c r="J18" i="13"/>
  <c r="J19" i="13"/>
  <c r="J20" i="13"/>
  <c r="J21" i="13"/>
  <c r="J22" i="13"/>
  <c r="J23" i="13"/>
  <c r="J24" i="13"/>
  <c r="J25" i="13"/>
  <c r="J26" i="13"/>
  <c r="J27" i="13"/>
  <c r="J28" i="13"/>
  <c r="I5" i="14"/>
  <c r="L14" i="14"/>
  <c r="M14" i="14"/>
  <c r="N14" i="14"/>
  <c r="P14" i="14" s="1"/>
  <c r="O14" i="14"/>
  <c r="L15" i="14"/>
  <c r="M15" i="14"/>
  <c r="N15" i="14"/>
  <c r="Q15" i="14" s="1"/>
  <c r="L16" i="14"/>
  <c r="M16" i="14"/>
  <c r="N16" i="14"/>
  <c r="L17" i="14"/>
  <c r="M17" i="14"/>
  <c r="N17" i="14"/>
  <c r="P17" i="14" s="1"/>
  <c r="O17" i="14"/>
  <c r="L18" i="14"/>
  <c r="M18" i="14"/>
  <c r="N18" i="14"/>
  <c r="P18" i="14" s="1"/>
  <c r="O18" i="14"/>
  <c r="L19" i="14"/>
  <c r="M19" i="14"/>
  <c r="N19" i="14"/>
  <c r="Q19" i="14" s="1"/>
  <c r="O19" i="14"/>
  <c r="L20" i="14"/>
  <c r="M20" i="14"/>
  <c r="N20" i="14"/>
  <c r="O20" i="14" s="1"/>
  <c r="L21" i="14"/>
  <c r="M21" i="14"/>
  <c r="N21" i="14"/>
  <c r="O21" i="14"/>
  <c r="L22" i="14"/>
  <c r="M22" i="14"/>
  <c r="N22" i="14"/>
  <c r="P22" i="14" s="1"/>
  <c r="L23" i="14"/>
  <c r="M23" i="14"/>
  <c r="N23" i="14"/>
  <c r="Q23" i="14" s="1"/>
  <c r="O23" i="14"/>
  <c r="L24" i="14"/>
  <c r="M24" i="14"/>
  <c r="N24" i="14"/>
  <c r="O24" i="14" s="1"/>
  <c r="L25" i="14"/>
  <c r="M25" i="14"/>
  <c r="N25" i="14"/>
  <c r="O25" i="14"/>
  <c r="L26" i="14"/>
  <c r="M26" i="14"/>
  <c r="N26" i="14"/>
  <c r="P26" i="14" s="1"/>
  <c r="O26" i="14"/>
  <c r="L27" i="14"/>
  <c r="M27" i="14"/>
  <c r="N27" i="14"/>
  <c r="Q27" i="14" s="1"/>
  <c r="L28" i="14"/>
  <c r="M28" i="14"/>
  <c r="N28" i="14"/>
  <c r="O28" i="14"/>
  <c r="L29" i="14"/>
  <c r="M29" i="14"/>
  <c r="N29" i="14"/>
  <c r="O29" i="14"/>
  <c r="L30" i="14"/>
  <c r="M30" i="14"/>
  <c r="N30" i="14"/>
  <c r="P30" i="14" s="1"/>
  <c r="O30" i="14"/>
  <c r="L31" i="14"/>
  <c r="M31" i="14"/>
  <c r="N31" i="14"/>
  <c r="Q31" i="14" s="1"/>
  <c r="O31" i="14"/>
  <c r="L32" i="14"/>
  <c r="M32" i="14"/>
  <c r="N32" i="14"/>
  <c r="O32" i="14"/>
  <c r="L33" i="14"/>
  <c r="M33" i="14"/>
  <c r="N33" i="14"/>
  <c r="P33" i="14" s="1"/>
  <c r="O33" i="14"/>
  <c r="L34" i="14"/>
  <c r="M34" i="14"/>
  <c r="N34" i="14"/>
  <c r="P34" i="14" s="1"/>
  <c r="O34" i="14"/>
  <c r="L35" i="14"/>
  <c r="M35" i="14"/>
  <c r="N35" i="14"/>
  <c r="Q35" i="14" s="1"/>
  <c r="O35" i="14"/>
  <c r="L36" i="14"/>
  <c r="M36" i="14"/>
  <c r="N36" i="14"/>
  <c r="O36" i="14"/>
  <c r="L37" i="14"/>
  <c r="M37" i="14"/>
  <c r="N37" i="14"/>
  <c r="P37" i="14" s="1"/>
  <c r="O37" i="14"/>
  <c r="L38" i="14"/>
  <c r="M38" i="14"/>
  <c r="N38" i="14"/>
  <c r="P38" i="14" s="1"/>
  <c r="O38" i="14"/>
  <c r="L39" i="14"/>
  <c r="M39" i="14"/>
  <c r="N39" i="14"/>
  <c r="Q39" i="14" s="1"/>
  <c r="L40" i="14"/>
  <c r="M40" i="14"/>
  <c r="N40" i="14"/>
  <c r="O40" i="14"/>
  <c r="L41" i="14"/>
  <c r="M41" i="14"/>
  <c r="N41" i="14"/>
  <c r="P41" i="14" s="1"/>
  <c r="O41" i="14"/>
  <c r="L42" i="14"/>
  <c r="M42" i="14"/>
  <c r="N42" i="14"/>
  <c r="P42" i="14" s="1"/>
  <c r="O42" i="14"/>
  <c r="L43" i="14"/>
  <c r="M43" i="14"/>
  <c r="N43" i="14"/>
  <c r="Q43" i="14" s="1"/>
  <c r="O43" i="14"/>
  <c r="L44" i="14"/>
  <c r="M44" i="14"/>
  <c r="N44" i="14"/>
  <c r="O44" i="14"/>
  <c r="Q44" i="14"/>
  <c r="L45" i="14"/>
  <c r="M45" i="14"/>
  <c r="N45" i="14"/>
  <c r="O45" i="14"/>
  <c r="L46" i="14"/>
  <c r="M46" i="14"/>
  <c r="N46" i="14"/>
  <c r="P46" i="14" s="1"/>
  <c r="O46" i="14"/>
  <c r="L47" i="14"/>
  <c r="M47" i="14"/>
  <c r="N47" i="14"/>
  <c r="Q47" i="14" s="1"/>
  <c r="O47" i="14"/>
  <c r="L48" i="14"/>
  <c r="M48" i="14"/>
  <c r="N48" i="14"/>
  <c r="O48" i="14"/>
  <c r="L49" i="14"/>
  <c r="M49" i="14"/>
  <c r="N49" i="14"/>
  <c r="Q49" i="14" s="1"/>
  <c r="J14" i="14"/>
  <c r="J15" i="14"/>
  <c r="J16" i="14"/>
  <c r="J17" i="14"/>
  <c r="J18" i="14"/>
  <c r="J19" i="14"/>
  <c r="J20" i="14"/>
  <c r="J21" i="14"/>
  <c r="J22" i="14"/>
  <c r="J23" i="14"/>
  <c r="J24" i="14"/>
  <c r="J25" i="14"/>
  <c r="J26" i="14"/>
  <c r="J27" i="14"/>
  <c r="J28" i="14"/>
  <c r="J29" i="14"/>
  <c r="J30" i="14"/>
  <c r="J31" i="14"/>
  <c r="J32" i="14"/>
  <c r="J33" i="14"/>
  <c r="J34" i="14"/>
  <c r="J35" i="14"/>
  <c r="J36" i="14"/>
  <c r="J37" i="14"/>
  <c r="J38" i="14"/>
  <c r="J39" i="14"/>
  <c r="J40" i="14"/>
  <c r="J41" i="14"/>
  <c r="J42" i="14"/>
  <c r="J43" i="14"/>
  <c r="J44" i="14"/>
  <c r="J45" i="14"/>
  <c r="J46" i="14"/>
  <c r="J47" i="14"/>
  <c r="J48" i="14"/>
  <c r="J49" i="14"/>
  <c r="L14" i="13"/>
  <c r="L15" i="13"/>
  <c r="L16" i="13"/>
  <c r="L17" i="13"/>
  <c r="L18" i="13"/>
  <c r="L19" i="13"/>
  <c r="L20" i="13"/>
  <c r="L21" i="13"/>
  <c r="L22" i="13"/>
  <c r="L23" i="13"/>
  <c r="L24" i="13"/>
  <c r="L25" i="13"/>
  <c r="L26" i="13"/>
  <c r="L27" i="13"/>
  <c r="L28" i="13"/>
  <c r="L29" i="13"/>
  <c r="L30" i="13"/>
  <c r="L31" i="13"/>
  <c r="L32" i="13"/>
  <c r="L33" i="13"/>
  <c r="L34" i="13"/>
  <c r="L35" i="13"/>
  <c r="L36" i="13"/>
  <c r="L37" i="13"/>
  <c r="L38" i="13"/>
  <c r="L39" i="13"/>
  <c r="L40" i="13"/>
  <c r="L41" i="13"/>
  <c r="L42" i="13"/>
  <c r="L43" i="13"/>
  <c r="L44" i="13"/>
  <c r="L45" i="13"/>
  <c r="L46" i="13"/>
  <c r="L47" i="13"/>
  <c r="L48" i="13"/>
  <c r="L49" i="13"/>
  <c r="M14" i="13"/>
  <c r="N14" i="13"/>
  <c r="M15" i="13"/>
  <c r="N15" i="13"/>
  <c r="O15" i="13" s="1"/>
  <c r="M16" i="13"/>
  <c r="N16" i="13"/>
  <c r="O16" i="13" s="1"/>
  <c r="M17" i="13"/>
  <c r="N17" i="13"/>
  <c r="Q17" i="13" s="1"/>
  <c r="M18" i="13"/>
  <c r="N18" i="13"/>
  <c r="Q18" i="13" s="1"/>
  <c r="M19" i="13"/>
  <c r="N19" i="13"/>
  <c r="Q19" i="13" s="1"/>
  <c r="M20" i="13"/>
  <c r="N20" i="13"/>
  <c r="Q20" i="13" s="1"/>
  <c r="M21" i="13"/>
  <c r="N21" i="13"/>
  <c r="Q21" i="13" s="1"/>
  <c r="M22" i="13"/>
  <c r="N22" i="13"/>
  <c r="Q22" i="13" s="1"/>
  <c r="M23" i="13"/>
  <c r="N23" i="13"/>
  <c r="Q23" i="13" s="1"/>
  <c r="O23" i="13"/>
  <c r="M24" i="13"/>
  <c r="N24" i="13"/>
  <c r="Q24" i="13" s="1"/>
  <c r="M25" i="13"/>
  <c r="N25" i="13"/>
  <c r="Q25" i="13" s="1"/>
  <c r="M26" i="13"/>
  <c r="N26" i="13"/>
  <c r="Q26" i="13" s="1"/>
  <c r="M27" i="13"/>
  <c r="N27" i="13"/>
  <c r="Q27" i="13" s="1"/>
  <c r="M28" i="13"/>
  <c r="N28" i="13"/>
  <c r="Q28" i="13" s="1"/>
  <c r="M29" i="13"/>
  <c r="N29" i="13"/>
  <c r="Q29" i="13" s="1"/>
  <c r="M30" i="13"/>
  <c r="N30" i="13"/>
  <c r="Q30" i="13" s="1"/>
  <c r="O30" i="13"/>
  <c r="M31" i="13"/>
  <c r="N31" i="13"/>
  <c r="Q31" i="13" s="1"/>
  <c r="O31" i="13"/>
  <c r="M32" i="13"/>
  <c r="N32" i="13"/>
  <c r="Q32" i="13" s="1"/>
  <c r="M33" i="13"/>
  <c r="N33" i="13"/>
  <c r="Q33" i="13" s="1"/>
  <c r="O33" i="13"/>
  <c r="M34" i="13"/>
  <c r="N34" i="13"/>
  <c r="Q34" i="13" s="1"/>
  <c r="O34" i="13"/>
  <c r="M35" i="13"/>
  <c r="N35" i="13"/>
  <c r="Q35" i="13" s="1"/>
  <c r="M36" i="13"/>
  <c r="N36" i="13"/>
  <c r="Q36" i="13" s="1"/>
  <c r="O36" i="13"/>
  <c r="M37" i="13"/>
  <c r="N37" i="13"/>
  <c r="Q37" i="13" s="1"/>
  <c r="O37" i="13"/>
  <c r="M38" i="13"/>
  <c r="N38" i="13"/>
  <c r="Q38" i="13" s="1"/>
  <c r="M39" i="13"/>
  <c r="N39" i="13"/>
  <c r="Q39" i="13" s="1"/>
  <c r="M40" i="13"/>
  <c r="N40" i="13"/>
  <c r="Q40" i="13" s="1"/>
  <c r="O40" i="13"/>
  <c r="M41" i="13"/>
  <c r="N41" i="13"/>
  <c r="Q41" i="13" s="1"/>
  <c r="O41" i="13"/>
  <c r="M42" i="13"/>
  <c r="N42" i="13"/>
  <c r="Q42" i="13" s="1"/>
  <c r="O42" i="13"/>
  <c r="M43" i="13"/>
  <c r="N43" i="13"/>
  <c r="Q43" i="13" s="1"/>
  <c r="O43" i="13"/>
  <c r="M44" i="13"/>
  <c r="N44" i="13"/>
  <c r="Q44" i="13" s="1"/>
  <c r="M45" i="13"/>
  <c r="N45" i="13"/>
  <c r="Q45" i="13" s="1"/>
  <c r="O45" i="13"/>
  <c r="M46" i="13"/>
  <c r="N46" i="13"/>
  <c r="Q46" i="13" s="1"/>
  <c r="O46" i="13"/>
  <c r="M47" i="13"/>
  <c r="N47" i="13"/>
  <c r="Q47" i="13" s="1"/>
  <c r="M48" i="13"/>
  <c r="N48" i="13"/>
  <c r="Q48" i="13" s="1"/>
  <c r="O48" i="13"/>
  <c r="M49" i="13"/>
  <c r="N49" i="13"/>
  <c r="Q49" i="13" s="1"/>
  <c r="O28" i="13" l="1"/>
  <c r="P16" i="14"/>
  <c r="O22" i="14"/>
  <c r="O49" i="14"/>
  <c r="O39" i="14"/>
  <c r="O27" i="14"/>
  <c r="P21" i="14"/>
  <c r="O47" i="13"/>
  <c r="O44" i="13"/>
  <c r="O39" i="13"/>
  <c r="O38" i="13"/>
  <c r="O35" i="13"/>
  <c r="O32" i="13"/>
  <c r="O27" i="13"/>
  <c r="O22" i="13"/>
  <c r="O21" i="13"/>
  <c r="O17" i="13"/>
  <c r="O16" i="14"/>
  <c r="O15" i="14"/>
  <c r="P14" i="13"/>
  <c r="O29" i="13"/>
  <c r="O24" i="13"/>
  <c r="O19" i="13"/>
  <c r="P49" i="14"/>
  <c r="P47" i="13"/>
  <c r="O49" i="13"/>
  <c r="O20" i="13"/>
  <c r="O14" i="13"/>
  <c r="P30" i="13"/>
  <c r="P44" i="14"/>
  <c r="Q17" i="14"/>
  <c r="P32" i="13"/>
  <c r="P27" i="13"/>
  <c r="R43" i="14"/>
  <c r="R21" i="14"/>
  <c r="Q33" i="14"/>
  <c r="R22" i="14"/>
  <c r="R47" i="14"/>
  <c r="P40" i="14"/>
  <c r="Q20" i="14"/>
  <c r="Q36" i="14"/>
  <c r="Q24" i="14"/>
  <c r="Q21" i="14"/>
  <c r="R33" i="14"/>
  <c r="Q29" i="14"/>
  <c r="P24" i="14"/>
  <c r="R17" i="14"/>
  <c r="R27" i="14"/>
  <c r="P42" i="13"/>
  <c r="P38" i="13"/>
  <c r="R38" i="13"/>
  <c r="P43" i="13"/>
  <c r="P31" i="13"/>
  <c r="R44" i="13"/>
  <c r="R37" i="14"/>
  <c r="R49" i="14"/>
  <c r="Q40" i="14"/>
  <c r="R29" i="14"/>
  <c r="R18" i="14"/>
  <c r="Q37" i="14"/>
  <c r="R34" i="14"/>
  <c r="R31" i="14"/>
  <c r="Q28" i="14"/>
  <c r="R38" i="14"/>
  <c r="P28" i="14"/>
  <c r="P39" i="13"/>
  <c r="R36" i="13"/>
  <c r="R48" i="13"/>
  <c r="R42" i="13"/>
  <c r="R30" i="13"/>
  <c r="Q14" i="13"/>
  <c r="R34" i="13"/>
  <c r="R46" i="13"/>
  <c r="P34" i="13"/>
  <c r="R17" i="13"/>
  <c r="R14" i="13"/>
  <c r="R40" i="13"/>
  <c r="P46" i="13"/>
  <c r="P35" i="13"/>
  <c r="R32" i="13"/>
  <c r="P17" i="13"/>
  <c r="P24" i="13"/>
  <c r="P22" i="13"/>
  <c r="O26" i="13"/>
  <c r="O25" i="13"/>
  <c r="R24" i="13"/>
  <c r="R22" i="13"/>
  <c r="P19" i="13"/>
  <c r="R18" i="13"/>
  <c r="O18" i="13"/>
  <c r="R28" i="13"/>
  <c r="R26" i="13"/>
  <c r="P23" i="13"/>
  <c r="R20" i="13"/>
  <c r="P18" i="13"/>
  <c r="Q16" i="13"/>
  <c r="R16" i="13"/>
  <c r="P28" i="13"/>
  <c r="P26" i="13"/>
  <c r="P20" i="13"/>
  <c r="P16" i="13"/>
  <c r="Q45" i="14"/>
  <c r="Q48" i="14"/>
  <c r="R46" i="14"/>
  <c r="P45" i="14"/>
  <c r="Q41" i="14"/>
  <c r="R41" i="14"/>
  <c r="R39" i="14"/>
  <c r="P36" i="14"/>
  <c r="Q32" i="14"/>
  <c r="R30" i="14"/>
  <c r="P29" i="14"/>
  <c r="Q25" i="14"/>
  <c r="R25" i="14"/>
  <c r="R23" i="14"/>
  <c r="P20" i="14"/>
  <c r="Q16" i="14"/>
  <c r="R14" i="14"/>
  <c r="P48" i="14"/>
  <c r="R42" i="14"/>
  <c r="R35" i="14"/>
  <c r="P32" i="14"/>
  <c r="R26" i="14"/>
  <c r="P25" i="14"/>
  <c r="R19" i="14"/>
  <c r="R15" i="14"/>
  <c r="Q14" i="14"/>
  <c r="R45" i="14"/>
  <c r="R49" i="13"/>
  <c r="P48" i="13"/>
  <c r="R45" i="13"/>
  <c r="P44" i="13"/>
  <c r="R41" i="13"/>
  <c r="P40" i="13"/>
  <c r="R37" i="13"/>
  <c r="P36" i="13"/>
  <c r="R33" i="13"/>
  <c r="R29" i="13"/>
  <c r="R25" i="13"/>
  <c r="R21" i="13"/>
  <c r="Q15" i="13"/>
  <c r="R15" i="13"/>
  <c r="P49" i="13"/>
  <c r="P37" i="13"/>
  <c r="P33" i="13"/>
  <c r="P29" i="13"/>
  <c r="P25" i="13"/>
  <c r="P21" i="13"/>
  <c r="P15" i="13"/>
  <c r="P45" i="13"/>
  <c r="P41" i="13"/>
  <c r="R47" i="13"/>
  <c r="R43" i="13"/>
  <c r="R39" i="13"/>
  <c r="R35" i="13"/>
  <c r="R31" i="13"/>
  <c r="R27" i="13"/>
  <c r="R23" i="13"/>
  <c r="R19" i="13"/>
  <c r="P47" i="14"/>
  <c r="Q46" i="14"/>
  <c r="P43" i="14"/>
  <c r="Q42" i="14"/>
  <c r="P39" i="14"/>
  <c r="Q38" i="14"/>
  <c r="P35" i="14"/>
  <c r="Q34" i="14"/>
  <c r="P31" i="14"/>
  <c r="Q30" i="14"/>
  <c r="P27" i="14"/>
  <c r="Q26" i="14"/>
  <c r="P23" i="14"/>
  <c r="Q22" i="14"/>
  <c r="P19" i="14"/>
  <c r="Q18" i="14"/>
  <c r="P15" i="14"/>
  <c r="R48" i="14"/>
  <c r="R44" i="14"/>
  <c r="R40" i="14"/>
  <c r="R36" i="14"/>
  <c r="R32" i="14"/>
  <c r="R28" i="14"/>
  <c r="R24" i="14"/>
  <c r="R20" i="14"/>
  <c r="R16" i="14"/>
  <c r="O30" i="15"/>
  <c r="O31" i="15"/>
  <c r="O32" i="15"/>
  <c r="O33" i="15"/>
  <c r="O34" i="15"/>
  <c r="O35" i="15"/>
  <c r="O36" i="15"/>
  <c r="O37" i="15"/>
  <c r="O38" i="15"/>
  <c r="O39" i="15"/>
  <c r="O40" i="15"/>
  <c r="O41" i="15"/>
  <c r="O42" i="15"/>
  <c r="O43" i="15"/>
  <c r="O44" i="15"/>
  <c r="O45" i="15"/>
  <c r="O46" i="15"/>
  <c r="O47" i="15"/>
  <c r="O48" i="15"/>
  <c r="O49" i="15"/>
  <c r="O32" i="16"/>
  <c r="O33" i="16"/>
  <c r="O34" i="16"/>
  <c r="O35" i="16"/>
  <c r="O36" i="16"/>
  <c r="O37" i="16"/>
  <c r="O38" i="16"/>
  <c r="O39" i="16"/>
  <c r="O40" i="16"/>
  <c r="O41" i="16"/>
  <c r="O42" i="16"/>
  <c r="O43" i="16"/>
  <c r="O44" i="16"/>
  <c r="O45" i="16"/>
  <c r="O46" i="16"/>
  <c r="O47" i="16"/>
  <c r="O48" i="16"/>
  <c r="O49" i="16"/>
  <c r="O14" i="17"/>
  <c r="O15" i="17"/>
  <c r="O16" i="17"/>
  <c r="O17" i="17"/>
  <c r="O18" i="17"/>
  <c r="O19" i="17"/>
  <c r="O20" i="17"/>
  <c r="O21" i="17"/>
  <c r="O22" i="17"/>
  <c r="O23" i="17"/>
  <c r="O24" i="17"/>
  <c r="O25" i="17"/>
  <c r="O26" i="17"/>
  <c r="O27" i="17"/>
  <c r="O28" i="17"/>
  <c r="O29" i="17"/>
  <c r="O30" i="17"/>
  <c r="O31" i="17"/>
  <c r="O32" i="17"/>
  <c r="O33" i="17"/>
  <c r="O34" i="17"/>
  <c r="O35" i="17"/>
  <c r="O36" i="17"/>
  <c r="O37" i="17"/>
  <c r="O38" i="17"/>
  <c r="O39" i="17"/>
  <c r="O40" i="17"/>
  <c r="O41" i="17"/>
  <c r="O42" i="17"/>
  <c r="O43" i="17"/>
  <c r="O44" i="17"/>
  <c r="O45" i="17"/>
  <c r="O46" i="17"/>
  <c r="O47" i="17"/>
  <c r="O48" i="17"/>
  <c r="O49" i="17"/>
  <c r="O14" i="19"/>
  <c r="O15" i="19"/>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14" i="20"/>
  <c r="O15" i="20"/>
  <c r="O16" i="20"/>
  <c r="O17" i="20"/>
  <c r="O18" i="20"/>
  <c r="O19" i="20"/>
  <c r="O20" i="20"/>
  <c r="O21" i="20"/>
  <c r="O22" i="20"/>
  <c r="O23" i="20"/>
  <c r="O24" i="20"/>
  <c r="O25" i="20"/>
  <c r="O26" i="20"/>
  <c r="O27" i="20"/>
  <c r="O28" i="20"/>
  <c r="O29" i="20"/>
  <c r="O30" i="20"/>
  <c r="O31" i="20"/>
  <c r="O32" i="20"/>
  <c r="O33" i="20"/>
  <c r="O34" i="20"/>
  <c r="O35" i="20"/>
  <c r="O36" i="20"/>
  <c r="O37" i="20"/>
  <c r="O38" i="20"/>
  <c r="O39" i="20"/>
  <c r="O40" i="20"/>
  <c r="O41" i="20"/>
  <c r="O42" i="20"/>
  <c r="O43" i="20"/>
  <c r="O44" i="20"/>
  <c r="O45" i="20"/>
  <c r="O46" i="20"/>
  <c r="O47" i="20"/>
  <c r="O48" i="20"/>
  <c r="O49" i="20"/>
  <c r="O14" i="25"/>
  <c r="O15" i="25"/>
  <c r="O16" i="25"/>
  <c r="O17" i="25"/>
  <c r="O18" i="25"/>
  <c r="O19" i="25"/>
  <c r="O20" i="25"/>
  <c r="O21" i="25"/>
  <c r="O22" i="25"/>
  <c r="O23" i="25"/>
  <c r="O24" i="25"/>
  <c r="O25" i="25"/>
  <c r="O26" i="25"/>
  <c r="O27" i="25"/>
  <c r="O28" i="25"/>
  <c r="O29" i="25"/>
  <c r="O30" i="25"/>
  <c r="O31" i="25"/>
  <c r="O32" i="25"/>
  <c r="O33" i="25"/>
  <c r="O34" i="25"/>
  <c r="O35" i="25"/>
  <c r="O36" i="25"/>
  <c r="O37" i="25"/>
  <c r="O38" i="25"/>
  <c r="O39" i="25"/>
  <c r="O40" i="25"/>
  <c r="O41" i="25"/>
  <c r="O42" i="25"/>
  <c r="O43" i="25"/>
  <c r="O44" i="25"/>
  <c r="O45" i="25"/>
  <c r="O46" i="25"/>
  <c r="O47" i="25"/>
  <c r="O48" i="25"/>
  <c r="O49" i="25"/>
  <c r="O14" i="24"/>
  <c r="O15" i="24"/>
  <c r="O16" i="24"/>
  <c r="O17" i="24"/>
  <c r="O18" i="24"/>
  <c r="O19" i="24"/>
  <c r="O20" i="24"/>
  <c r="O21" i="24"/>
  <c r="O22" i="24"/>
  <c r="O23" i="24"/>
  <c r="O24" i="24"/>
  <c r="O25" i="24"/>
  <c r="O26" i="24"/>
  <c r="O27" i="24"/>
  <c r="O28" i="24"/>
  <c r="O29" i="24"/>
  <c r="O30" i="24"/>
  <c r="O31" i="24"/>
  <c r="O32" i="24"/>
  <c r="O33" i="24"/>
  <c r="O34" i="24"/>
  <c r="O35" i="24"/>
  <c r="O36" i="24"/>
  <c r="O37" i="24"/>
  <c r="O38" i="24"/>
  <c r="O39" i="24"/>
  <c r="O40" i="24"/>
  <c r="O41" i="24"/>
  <c r="O42" i="24"/>
  <c r="O43" i="24"/>
  <c r="O44" i="24"/>
  <c r="O45" i="24"/>
  <c r="O46" i="24"/>
  <c r="O47" i="24"/>
  <c r="O48" i="24"/>
  <c r="O49" i="24"/>
  <c r="O14" i="23"/>
  <c r="O15" i="23"/>
  <c r="O17" i="23"/>
  <c r="O18" i="23"/>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14" i="22"/>
  <c r="O15" i="22"/>
  <c r="O16" i="22"/>
  <c r="O17" i="22"/>
  <c r="O18" i="22"/>
  <c r="O19" i="22"/>
  <c r="O20" i="22"/>
  <c r="O21" i="22"/>
  <c r="O22" i="22"/>
  <c r="O23" i="22"/>
  <c r="O24" i="22"/>
  <c r="O25" i="22"/>
  <c r="O26" i="22"/>
  <c r="O27" i="22"/>
  <c r="O28" i="22"/>
  <c r="O29" i="22"/>
  <c r="O30" i="22"/>
  <c r="O31" i="22"/>
  <c r="O32" i="22"/>
  <c r="O33" i="22"/>
  <c r="O34" i="22"/>
  <c r="O35" i="22"/>
  <c r="O36" i="22"/>
  <c r="O37" i="22"/>
  <c r="O38" i="22"/>
  <c r="O39" i="22"/>
  <c r="O40" i="22"/>
  <c r="O41" i="22"/>
  <c r="O42" i="22"/>
  <c r="O43" i="22"/>
  <c r="O44" i="22"/>
  <c r="O45" i="22"/>
  <c r="O46" i="22"/>
  <c r="O47" i="22"/>
  <c r="O48" i="22"/>
  <c r="O49" i="22"/>
  <c r="O14" i="21"/>
  <c r="O15" i="21"/>
  <c r="O16" i="21"/>
  <c r="O17" i="21"/>
  <c r="O18" i="21"/>
  <c r="O19" i="21"/>
  <c r="O20" i="21"/>
  <c r="O21" i="21"/>
  <c r="O22" i="21"/>
  <c r="O23" i="21"/>
  <c r="O24" i="21"/>
  <c r="O25" i="21"/>
  <c r="O26" i="21"/>
  <c r="O27" i="21"/>
  <c r="O28" i="21"/>
  <c r="O29" i="21"/>
  <c r="O30" i="21"/>
  <c r="O31" i="21"/>
  <c r="O32" i="21"/>
  <c r="O33" i="21"/>
  <c r="O34" i="21"/>
  <c r="O35" i="21"/>
  <c r="O36" i="21"/>
  <c r="O37" i="21"/>
  <c r="O38" i="21"/>
  <c r="O39" i="21"/>
  <c r="O40" i="21"/>
  <c r="O41" i="21"/>
  <c r="O42" i="21"/>
  <c r="O43" i="21"/>
  <c r="O44" i="21"/>
  <c r="O45" i="21"/>
  <c r="O46" i="21"/>
  <c r="O47" i="21"/>
  <c r="O48" i="21"/>
  <c r="O49" i="21"/>
  <c r="O13" i="22"/>
  <c r="O13" i="23"/>
  <c r="O13" i="25"/>
  <c r="O13" i="20"/>
  <c r="O13" i="19"/>
  <c r="O13" i="16"/>
  <c r="I5" i="22" l="1"/>
  <c r="I5" i="23"/>
  <c r="I5" i="24"/>
  <c r="I5" i="25"/>
  <c r="I5" i="20"/>
  <c r="I5" i="19"/>
  <c r="I5" i="17"/>
  <c r="I5" i="16"/>
  <c r="I5" i="15"/>
  <c r="N49" i="25" l="1"/>
  <c r="M49" i="25"/>
  <c r="L49" i="25"/>
  <c r="J49" i="25"/>
  <c r="N48" i="25"/>
  <c r="Q48" i="25" s="1"/>
  <c r="M48" i="25"/>
  <c r="L48" i="25"/>
  <c r="J48" i="25"/>
  <c r="N47" i="25"/>
  <c r="M47" i="25"/>
  <c r="L47" i="25"/>
  <c r="J47" i="25"/>
  <c r="N46" i="25"/>
  <c r="M46" i="25"/>
  <c r="L46" i="25"/>
  <c r="J46" i="25"/>
  <c r="N45" i="25"/>
  <c r="M45" i="25"/>
  <c r="L45" i="25"/>
  <c r="J45" i="25"/>
  <c r="N44" i="25"/>
  <c r="M44" i="25"/>
  <c r="L44" i="25"/>
  <c r="J44" i="25"/>
  <c r="N43" i="25"/>
  <c r="P43" i="25" s="1"/>
  <c r="M43" i="25"/>
  <c r="L43" i="25"/>
  <c r="J43" i="25"/>
  <c r="N42" i="25"/>
  <c r="M42" i="25"/>
  <c r="L42" i="25"/>
  <c r="J42" i="25"/>
  <c r="N41" i="25"/>
  <c r="M41" i="25"/>
  <c r="L41" i="25"/>
  <c r="J41" i="25"/>
  <c r="N40" i="25"/>
  <c r="Q40" i="25" s="1"/>
  <c r="M40" i="25"/>
  <c r="L40" i="25"/>
  <c r="J40" i="25"/>
  <c r="N39" i="25"/>
  <c r="M39" i="25"/>
  <c r="L39" i="25"/>
  <c r="J39" i="25"/>
  <c r="N38" i="25"/>
  <c r="Q38" i="25" s="1"/>
  <c r="M38" i="25"/>
  <c r="L38" i="25"/>
  <c r="J38" i="25"/>
  <c r="N37" i="25"/>
  <c r="M37" i="25"/>
  <c r="L37" i="25"/>
  <c r="J37" i="25"/>
  <c r="N36" i="25"/>
  <c r="P36" i="25" s="1"/>
  <c r="M36" i="25"/>
  <c r="L36" i="25"/>
  <c r="J36" i="25"/>
  <c r="N35" i="25"/>
  <c r="P35" i="25" s="1"/>
  <c r="M35" i="25"/>
  <c r="L35" i="25"/>
  <c r="J35" i="25"/>
  <c r="N34" i="25"/>
  <c r="M34" i="25"/>
  <c r="L34" i="25"/>
  <c r="J34" i="25"/>
  <c r="N33" i="25"/>
  <c r="M33" i="25"/>
  <c r="L33" i="25"/>
  <c r="J33" i="25"/>
  <c r="N32" i="25"/>
  <c r="Q32" i="25" s="1"/>
  <c r="M32" i="25"/>
  <c r="L32" i="25"/>
  <c r="J32" i="25"/>
  <c r="N31" i="25"/>
  <c r="M31" i="25"/>
  <c r="L31" i="25"/>
  <c r="J31" i="25"/>
  <c r="N30" i="25"/>
  <c r="M30" i="25"/>
  <c r="L30" i="25"/>
  <c r="J30" i="25"/>
  <c r="N29" i="25"/>
  <c r="M29" i="25"/>
  <c r="L29" i="25"/>
  <c r="J29" i="25"/>
  <c r="N28" i="25"/>
  <c r="M28" i="25"/>
  <c r="L28" i="25"/>
  <c r="J28" i="25"/>
  <c r="N27" i="25"/>
  <c r="P27" i="25" s="1"/>
  <c r="M27" i="25"/>
  <c r="L27" i="25"/>
  <c r="J27" i="25"/>
  <c r="N26" i="25"/>
  <c r="M26" i="25"/>
  <c r="L26" i="25"/>
  <c r="J26" i="25"/>
  <c r="N25" i="25"/>
  <c r="Q25" i="25" s="1"/>
  <c r="M25" i="25"/>
  <c r="L25" i="25"/>
  <c r="J25" i="25"/>
  <c r="N24" i="25"/>
  <c r="Q24" i="25" s="1"/>
  <c r="M24" i="25"/>
  <c r="L24" i="25"/>
  <c r="J24" i="25"/>
  <c r="N23" i="25"/>
  <c r="M23" i="25"/>
  <c r="L23" i="25"/>
  <c r="J23" i="25"/>
  <c r="N22" i="25"/>
  <c r="M22" i="25"/>
  <c r="L22" i="25"/>
  <c r="J22" i="25"/>
  <c r="N21" i="25"/>
  <c r="M21" i="25"/>
  <c r="L21" i="25"/>
  <c r="J21" i="25"/>
  <c r="N20" i="25"/>
  <c r="M20" i="25"/>
  <c r="L20" i="25"/>
  <c r="J20" i="25"/>
  <c r="N19" i="25"/>
  <c r="P19" i="25" s="1"/>
  <c r="M19" i="25"/>
  <c r="L19" i="25"/>
  <c r="J19" i="25"/>
  <c r="N18" i="25"/>
  <c r="M18" i="25"/>
  <c r="L18" i="25"/>
  <c r="J18" i="25"/>
  <c r="N17" i="25"/>
  <c r="P17" i="25" s="1"/>
  <c r="M17" i="25"/>
  <c r="L17" i="25"/>
  <c r="J17" i="25"/>
  <c r="N16" i="25"/>
  <c r="Q16" i="25" s="1"/>
  <c r="M16" i="25"/>
  <c r="L16" i="25"/>
  <c r="J16" i="25"/>
  <c r="N15" i="25"/>
  <c r="M15" i="25"/>
  <c r="L15" i="25"/>
  <c r="J15" i="25"/>
  <c r="N14" i="25"/>
  <c r="Q14" i="25" s="1"/>
  <c r="M14" i="25"/>
  <c r="L14" i="25"/>
  <c r="J14" i="25"/>
  <c r="N13" i="25"/>
  <c r="M13" i="25"/>
  <c r="L13" i="25"/>
  <c r="J13" i="25"/>
  <c r="N49" i="24"/>
  <c r="M49" i="24"/>
  <c r="L49" i="24"/>
  <c r="J49" i="24"/>
  <c r="N48" i="24"/>
  <c r="Q48" i="24" s="1"/>
  <c r="M48" i="24"/>
  <c r="L48" i="24"/>
  <c r="J48" i="24"/>
  <c r="N47" i="24"/>
  <c r="M47" i="24"/>
  <c r="L47" i="24"/>
  <c r="J47" i="24"/>
  <c r="N46" i="24"/>
  <c r="P46" i="24" s="1"/>
  <c r="M46" i="24"/>
  <c r="L46" i="24"/>
  <c r="J46" i="24"/>
  <c r="N45" i="24"/>
  <c r="M45" i="24"/>
  <c r="L45" i="24"/>
  <c r="J45" i="24"/>
  <c r="N44" i="24"/>
  <c r="M44" i="24"/>
  <c r="L44" i="24"/>
  <c r="J44" i="24"/>
  <c r="N43" i="24"/>
  <c r="P43" i="24" s="1"/>
  <c r="M43" i="24"/>
  <c r="L43" i="24"/>
  <c r="J43" i="24"/>
  <c r="N42" i="24"/>
  <c r="M42" i="24"/>
  <c r="L42" i="24"/>
  <c r="J42" i="24"/>
  <c r="N41" i="24"/>
  <c r="M41" i="24"/>
  <c r="L41" i="24"/>
  <c r="J41" i="24"/>
  <c r="N40" i="24"/>
  <c r="Q40" i="24" s="1"/>
  <c r="M40" i="24"/>
  <c r="L40" i="24"/>
  <c r="J40" i="24"/>
  <c r="N39" i="24"/>
  <c r="M39" i="24"/>
  <c r="L39" i="24"/>
  <c r="J39" i="24"/>
  <c r="N38" i="24"/>
  <c r="M38" i="24"/>
  <c r="L38" i="24"/>
  <c r="J38" i="24"/>
  <c r="N37" i="24"/>
  <c r="M37" i="24"/>
  <c r="L37" i="24"/>
  <c r="J37" i="24"/>
  <c r="N36" i="24"/>
  <c r="M36" i="24"/>
  <c r="L36" i="24"/>
  <c r="J36" i="24"/>
  <c r="N35" i="24"/>
  <c r="P35" i="24" s="1"/>
  <c r="M35" i="24"/>
  <c r="L35" i="24"/>
  <c r="J35" i="24"/>
  <c r="N34" i="24"/>
  <c r="M34" i="24"/>
  <c r="L34" i="24"/>
  <c r="J34" i="24"/>
  <c r="N33" i="24"/>
  <c r="P33" i="24" s="1"/>
  <c r="M33" i="24"/>
  <c r="L33" i="24"/>
  <c r="J33" i="24"/>
  <c r="N32" i="24"/>
  <c r="Q32" i="24" s="1"/>
  <c r="M32" i="24"/>
  <c r="L32" i="24"/>
  <c r="J32" i="24"/>
  <c r="N31" i="24"/>
  <c r="M31" i="24"/>
  <c r="L31" i="24"/>
  <c r="J31" i="24"/>
  <c r="N30" i="24"/>
  <c r="M30" i="24"/>
  <c r="L30" i="24"/>
  <c r="J30" i="24"/>
  <c r="N29" i="24"/>
  <c r="M29" i="24"/>
  <c r="L29" i="24"/>
  <c r="J29" i="24"/>
  <c r="N28" i="24"/>
  <c r="P28" i="24" s="1"/>
  <c r="M28" i="24"/>
  <c r="L28" i="24"/>
  <c r="J28" i="24"/>
  <c r="N27" i="24"/>
  <c r="P27" i="24" s="1"/>
  <c r="M27" i="24"/>
  <c r="L27" i="24"/>
  <c r="J27" i="24"/>
  <c r="N26" i="24"/>
  <c r="M26" i="24"/>
  <c r="L26" i="24"/>
  <c r="J26" i="24"/>
  <c r="N25" i="24"/>
  <c r="P25" i="24" s="1"/>
  <c r="M25" i="24"/>
  <c r="L25" i="24"/>
  <c r="J25" i="24"/>
  <c r="N24" i="24"/>
  <c r="Q24" i="24" s="1"/>
  <c r="M24" i="24"/>
  <c r="L24" i="24"/>
  <c r="J24" i="24"/>
  <c r="N23" i="24"/>
  <c r="M23" i="24"/>
  <c r="L23" i="24"/>
  <c r="J23" i="24"/>
  <c r="N22" i="24"/>
  <c r="M22" i="24"/>
  <c r="L22" i="24"/>
  <c r="J22" i="24"/>
  <c r="N21" i="24"/>
  <c r="M21" i="24"/>
  <c r="L21" i="24"/>
  <c r="J21" i="24"/>
  <c r="N20" i="24"/>
  <c r="M20" i="24"/>
  <c r="L20" i="24"/>
  <c r="J20" i="24"/>
  <c r="N19" i="24"/>
  <c r="P19" i="24" s="1"/>
  <c r="M19" i="24"/>
  <c r="L19" i="24"/>
  <c r="J19" i="24"/>
  <c r="N18" i="24"/>
  <c r="M18" i="24"/>
  <c r="L18" i="24"/>
  <c r="J18" i="24"/>
  <c r="N17" i="24"/>
  <c r="M17" i="24"/>
  <c r="L17" i="24"/>
  <c r="J17" i="24"/>
  <c r="N16" i="24"/>
  <c r="Q16" i="24" s="1"/>
  <c r="M16" i="24"/>
  <c r="L16" i="24"/>
  <c r="J16" i="24"/>
  <c r="N15" i="24"/>
  <c r="M15" i="24"/>
  <c r="L15" i="24"/>
  <c r="J15" i="24"/>
  <c r="N14" i="24"/>
  <c r="M14" i="24"/>
  <c r="L14" i="24"/>
  <c r="J14" i="24"/>
  <c r="N13" i="24"/>
  <c r="O13" i="24" s="1"/>
  <c r="M13" i="24"/>
  <c r="L13" i="24"/>
  <c r="J13" i="24"/>
  <c r="N49" i="23"/>
  <c r="M49" i="23"/>
  <c r="L49" i="23"/>
  <c r="J49" i="23"/>
  <c r="N48" i="23"/>
  <c r="M48" i="23"/>
  <c r="L48" i="23"/>
  <c r="J48" i="23"/>
  <c r="N47" i="23"/>
  <c r="M47" i="23"/>
  <c r="L47" i="23"/>
  <c r="J47" i="23"/>
  <c r="N46" i="23"/>
  <c r="P46" i="23" s="1"/>
  <c r="M46" i="23"/>
  <c r="L46" i="23"/>
  <c r="J46" i="23"/>
  <c r="N45" i="23"/>
  <c r="M45" i="23"/>
  <c r="L45" i="23"/>
  <c r="J45" i="23"/>
  <c r="N44" i="23"/>
  <c r="M44" i="23"/>
  <c r="L44" i="23"/>
  <c r="J44" i="23"/>
  <c r="N43" i="23"/>
  <c r="P43" i="23" s="1"/>
  <c r="M43" i="23"/>
  <c r="L43" i="23"/>
  <c r="J43" i="23"/>
  <c r="N42" i="23"/>
  <c r="M42" i="23"/>
  <c r="L42" i="23"/>
  <c r="J42" i="23"/>
  <c r="N41" i="23"/>
  <c r="M41" i="23"/>
  <c r="L41" i="23"/>
  <c r="J41" i="23"/>
  <c r="N40" i="23"/>
  <c r="Q40" i="23" s="1"/>
  <c r="M40" i="23"/>
  <c r="L40" i="23"/>
  <c r="J40" i="23"/>
  <c r="N39" i="23"/>
  <c r="M39" i="23"/>
  <c r="L39" i="23"/>
  <c r="J39" i="23"/>
  <c r="N38" i="23"/>
  <c r="Q38" i="23" s="1"/>
  <c r="M38" i="23"/>
  <c r="L38" i="23"/>
  <c r="J38" i="23"/>
  <c r="N37" i="23"/>
  <c r="M37" i="23"/>
  <c r="L37" i="23"/>
  <c r="J37" i="23"/>
  <c r="N36" i="23"/>
  <c r="M36" i="23"/>
  <c r="L36" i="23"/>
  <c r="J36" i="23"/>
  <c r="N35" i="23"/>
  <c r="M35" i="23"/>
  <c r="L35" i="23"/>
  <c r="J35" i="23"/>
  <c r="N34" i="23"/>
  <c r="M34" i="23"/>
  <c r="L34" i="23"/>
  <c r="J34" i="23"/>
  <c r="N33" i="23"/>
  <c r="M33" i="23"/>
  <c r="L33" i="23"/>
  <c r="J33" i="23"/>
  <c r="N32" i="23"/>
  <c r="M32" i="23"/>
  <c r="L32" i="23"/>
  <c r="J32" i="23"/>
  <c r="N31" i="23"/>
  <c r="M31" i="23"/>
  <c r="L31" i="23"/>
  <c r="J31" i="23"/>
  <c r="N30" i="23"/>
  <c r="P30" i="23" s="1"/>
  <c r="M30" i="23"/>
  <c r="L30" i="23"/>
  <c r="J30" i="23"/>
  <c r="N29" i="23"/>
  <c r="Q29" i="23" s="1"/>
  <c r="M29" i="23"/>
  <c r="L29" i="23"/>
  <c r="J29" i="23"/>
  <c r="N28" i="23"/>
  <c r="M28" i="23"/>
  <c r="L28" i="23"/>
  <c r="J28" i="23"/>
  <c r="N27" i="23"/>
  <c r="P27" i="23" s="1"/>
  <c r="M27" i="23"/>
  <c r="L27" i="23"/>
  <c r="J27" i="23"/>
  <c r="N26" i="23"/>
  <c r="M26" i="23"/>
  <c r="L26" i="23"/>
  <c r="J26" i="23"/>
  <c r="N25" i="23"/>
  <c r="P25" i="23" s="1"/>
  <c r="M25" i="23"/>
  <c r="L25" i="23"/>
  <c r="J25" i="23"/>
  <c r="N24" i="23"/>
  <c r="Q24" i="23" s="1"/>
  <c r="M24" i="23"/>
  <c r="L24" i="23"/>
  <c r="J24" i="23"/>
  <c r="N23" i="23"/>
  <c r="M23" i="23"/>
  <c r="L23" i="23"/>
  <c r="J23" i="23"/>
  <c r="N22" i="23"/>
  <c r="M22" i="23"/>
  <c r="L22" i="23"/>
  <c r="J22" i="23"/>
  <c r="N21" i="23"/>
  <c r="Q21" i="23" s="1"/>
  <c r="M21" i="23"/>
  <c r="L21" i="23"/>
  <c r="J21" i="23"/>
  <c r="N20" i="23"/>
  <c r="M20" i="23"/>
  <c r="L20" i="23"/>
  <c r="J20" i="23"/>
  <c r="N19" i="23"/>
  <c r="M19" i="23"/>
  <c r="L19" i="23"/>
  <c r="J19" i="23"/>
  <c r="N18" i="23"/>
  <c r="M18" i="23"/>
  <c r="L18" i="23"/>
  <c r="J18" i="23"/>
  <c r="N17" i="23"/>
  <c r="Q17" i="23" s="1"/>
  <c r="M17" i="23"/>
  <c r="L17" i="23"/>
  <c r="J17" i="23"/>
  <c r="N16" i="23"/>
  <c r="O16" i="23" s="1"/>
  <c r="M16" i="23"/>
  <c r="L16" i="23"/>
  <c r="J16" i="23"/>
  <c r="N15" i="23"/>
  <c r="M15" i="23"/>
  <c r="L15" i="23"/>
  <c r="J15" i="23"/>
  <c r="N14" i="23"/>
  <c r="P14" i="23" s="1"/>
  <c r="M14" i="23"/>
  <c r="L14" i="23"/>
  <c r="J14" i="23"/>
  <c r="N13" i="23"/>
  <c r="M13" i="23"/>
  <c r="L13" i="23"/>
  <c r="J13" i="23"/>
  <c r="N49" i="22"/>
  <c r="M49" i="22"/>
  <c r="L49" i="22"/>
  <c r="J49" i="22"/>
  <c r="N48" i="22"/>
  <c r="M48" i="22"/>
  <c r="L48" i="22"/>
  <c r="J48" i="22"/>
  <c r="N47" i="22"/>
  <c r="M47" i="22"/>
  <c r="L47" i="22"/>
  <c r="J47" i="22"/>
  <c r="N46" i="22"/>
  <c r="P46" i="22" s="1"/>
  <c r="M46" i="22"/>
  <c r="L46" i="22"/>
  <c r="J46" i="22"/>
  <c r="N45" i="22"/>
  <c r="Q45" i="22" s="1"/>
  <c r="M45" i="22"/>
  <c r="L45" i="22"/>
  <c r="J45" i="22"/>
  <c r="N44" i="22"/>
  <c r="M44" i="22"/>
  <c r="L44" i="22"/>
  <c r="J44" i="22"/>
  <c r="N43" i="22"/>
  <c r="P43" i="22" s="1"/>
  <c r="M43" i="22"/>
  <c r="L43" i="22"/>
  <c r="J43" i="22"/>
  <c r="N42" i="22"/>
  <c r="M42" i="22"/>
  <c r="L42" i="22"/>
  <c r="J42" i="22"/>
  <c r="N41" i="22"/>
  <c r="P41" i="22" s="1"/>
  <c r="M41" i="22"/>
  <c r="L41" i="22"/>
  <c r="J41" i="22"/>
  <c r="N40" i="22"/>
  <c r="Q40" i="22" s="1"/>
  <c r="M40" i="22"/>
  <c r="L40" i="22"/>
  <c r="J40" i="22"/>
  <c r="N39" i="22"/>
  <c r="M39" i="22"/>
  <c r="L39" i="22"/>
  <c r="J39" i="22"/>
  <c r="N38" i="22"/>
  <c r="Q38" i="22" s="1"/>
  <c r="M38" i="22"/>
  <c r="L38" i="22"/>
  <c r="J38" i="22"/>
  <c r="N37" i="22"/>
  <c r="Q37" i="22" s="1"/>
  <c r="M37" i="22"/>
  <c r="L37" i="22"/>
  <c r="J37" i="22"/>
  <c r="N36" i="22"/>
  <c r="M36" i="22"/>
  <c r="L36" i="22"/>
  <c r="J36" i="22"/>
  <c r="N35" i="22"/>
  <c r="P35" i="22" s="1"/>
  <c r="M35" i="22"/>
  <c r="L35" i="22"/>
  <c r="J35" i="22"/>
  <c r="N34" i="22"/>
  <c r="M34" i="22"/>
  <c r="L34" i="22"/>
  <c r="J34" i="22"/>
  <c r="N33" i="22"/>
  <c r="Q33" i="22" s="1"/>
  <c r="M33" i="22"/>
  <c r="L33" i="22"/>
  <c r="J33" i="22"/>
  <c r="N32" i="22"/>
  <c r="Q32" i="22" s="1"/>
  <c r="M32" i="22"/>
  <c r="L32" i="22"/>
  <c r="J32" i="22"/>
  <c r="N31" i="22"/>
  <c r="M31" i="22"/>
  <c r="L31" i="22"/>
  <c r="J31" i="22"/>
  <c r="N30" i="22"/>
  <c r="P30" i="22" s="1"/>
  <c r="M30" i="22"/>
  <c r="L30" i="22"/>
  <c r="J30" i="22"/>
  <c r="N29" i="22"/>
  <c r="Q29" i="22" s="1"/>
  <c r="M29" i="22"/>
  <c r="L29" i="22"/>
  <c r="J29" i="22"/>
  <c r="N28" i="22"/>
  <c r="M28" i="22"/>
  <c r="L28" i="22"/>
  <c r="J28" i="22"/>
  <c r="N27" i="22"/>
  <c r="P27" i="22" s="1"/>
  <c r="M27" i="22"/>
  <c r="L27" i="22"/>
  <c r="J27" i="22"/>
  <c r="N26" i="22"/>
  <c r="M26" i="22"/>
  <c r="L26" i="22"/>
  <c r="J26" i="22"/>
  <c r="N25" i="22"/>
  <c r="P25" i="22" s="1"/>
  <c r="M25" i="22"/>
  <c r="L25" i="22"/>
  <c r="J25" i="22"/>
  <c r="N24" i="22"/>
  <c r="Q24" i="22" s="1"/>
  <c r="M24" i="22"/>
  <c r="L24" i="22"/>
  <c r="J24" i="22"/>
  <c r="N23" i="22"/>
  <c r="M23" i="22"/>
  <c r="L23" i="22"/>
  <c r="J23" i="22"/>
  <c r="N22" i="22"/>
  <c r="Q22" i="22" s="1"/>
  <c r="M22" i="22"/>
  <c r="L22" i="22"/>
  <c r="J22" i="22"/>
  <c r="N21" i="22"/>
  <c r="M21" i="22"/>
  <c r="L21" i="22"/>
  <c r="J21" i="22"/>
  <c r="N20" i="22"/>
  <c r="M20" i="22"/>
  <c r="L20" i="22"/>
  <c r="J20" i="22"/>
  <c r="N19" i="22"/>
  <c r="P19" i="22" s="1"/>
  <c r="M19" i="22"/>
  <c r="L19" i="22"/>
  <c r="J19" i="22"/>
  <c r="N18" i="22"/>
  <c r="M18" i="22"/>
  <c r="L18" i="22"/>
  <c r="J18" i="22"/>
  <c r="N17" i="22"/>
  <c r="Q17" i="22" s="1"/>
  <c r="M17" i="22"/>
  <c r="L17" i="22"/>
  <c r="J17" i="22"/>
  <c r="N16" i="22"/>
  <c r="Q16" i="22" s="1"/>
  <c r="M16" i="22"/>
  <c r="L16" i="22"/>
  <c r="J16" i="22"/>
  <c r="N15" i="22"/>
  <c r="M15" i="22"/>
  <c r="L15" i="22"/>
  <c r="J15" i="22"/>
  <c r="N14" i="22"/>
  <c r="P14" i="22" s="1"/>
  <c r="M14" i="22"/>
  <c r="L14" i="22"/>
  <c r="J14" i="22"/>
  <c r="N13" i="22"/>
  <c r="Q13" i="22" s="1"/>
  <c r="M13" i="22"/>
  <c r="L13" i="22"/>
  <c r="J13" i="22"/>
  <c r="N49" i="21"/>
  <c r="M49" i="21"/>
  <c r="L49" i="21"/>
  <c r="J49" i="21"/>
  <c r="N48" i="21"/>
  <c r="Q48" i="21" s="1"/>
  <c r="M48" i="21"/>
  <c r="L48" i="21"/>
  <c r="J48" i="21"/>
  <c r="N47" i="21"/>
  <c r="M47" i="21"/>
  <c r="L47" i="21"/>
  <c r="J47" i="21"/>
  <c r="N46" i="21"/>
  <c r="P46" i="21" s="1"/>
  <c r="M46" i="21"/>
  <c r="L46" i="21"/>
  <c r="J46" i="21"/>
  <c r="N45" i="21"/>
  <c r="Q45" i="21" s="1"/>
  <c r="M45" i="21"/>
  <c r="L45" i="21"/>
  <c r="J45" i="21"/>
  <c r="N44" i="21"/>
  <c r="M44" i="21"/>
  <c r="L44" i="21"/>
  <c r="J44" i="21"/>
  <c r="N43" i="21"/>
  <c r="P43" i="21" s="1"/>
  <c r="M43" i="21"/>
  <c r="L43" i="21"/>
  <c r="J43" i="21"/>
  <c r="N42" i="21"/>
  <c r="M42" i="21"/>
  <c r="L42" i="21"/>
  <c r="J42" i="21"/>
  <c r="N41" i="21"/>
  <c r="Q41" i="21" s="1"/>
  <c r="M41" i="21"/>
  <c r="L41" i="21"/>
  <c r="J41" i="21"/>
  <c r="N40" i="21"/>
  <c r="Q40" i="21" s="1"/>
  <c r="M40" i="21"/>
  <c r="L40" i="21"/>
  <c r="J40" i="21"/>
  <c r="N39" i="21"/>
  <c r="M39" i="21"/>
  <c r="L39" i="21"/>
  <c r="J39" i="21"/>
  <c r="N38" i="21"/>
  <c r="P38" i="21" s="1"/>
  <c r="M38" i="21"/>
  <c r="L38" i="21"/>
  <c r="J38" i="21"/>
  <c r="N37" i="21"/>
  <c r="P37" i="21" s="1"/>
  <c r="M37" i="21"/>
  <c r="L37" i="21"/>
  <c r="J37" i="21"/>
  <c r="N36" i="21"/>
  <c r="M36" i="21"/>
  <c r="L36" i="21"/>
  <c r="J36" i="21"/>
  <c r="N35" i="21"/>
  <c r="P35" i="21" s="1"/>
  <c r="M35" i="21"/>
  <c r="L35" i="21"/>
  <c r="J35" i="21"/>
  <c r="N34" i="21"/>
  <c r="M34" i="21"/>
  <c r="L34" i="21"/>
  <c r="J34" i="21"/>
  <c r="N33" i="21"/>
  <c r="M33" i="21"/>
  <c r="L33" i="21"/>
  <c r="J33" i="21"/>
  <c r="N32" i="21"/>
  <c r="Q32" i="21" s="1"/>
  <c r="M32" i="21"/>
  <c r="L32" i="21"/>
  <c r="J32" i="21"/>
  <c r="N31" i="21"/>
  <c r="M31" i="21"/>
  <c r="L31" i="21"/>
  <c r="J31" i="21"/>
  <c r="N30" i="21"/>
  <c r="P30" i="21" s="1"/>
  <c r="M30" i="21"/>
  <c r="L30" i="21"/>
  <c r="J30" i="21"/>
  <c r="N29" i="21"/>
  <c r="P29" i="21" s="1"/>
  <c r="M29" i="21"/>
  <c r="L29" i="21"/>
  <c r="J29" i="21"/>
  <c r="N28" i="21"/>
  <c r="M28" i="21"/>
  <c r="L28" i="21"/>
  <c r="J28" i="21"/>
  <c r="N27" i="21"/>
  <c r="P27" i="21" s="1"/>
  <c r="M27" i="21"/>
  <c r="L27" i="21"/>
  <c r="J27" i="21"/>
  <c r="N26" i="21"/>
  <c r="M26" i="21"/>
  <c r="L26" i="21"/>
  <c r="J26" i="21"/>
  <c r="N25" i="21"/>
  <c r="M25" i="21"/>
  <c r="L25" i="21"/>
  <c r="J25" i="21"/>
  <c r="N24" i="21"/>
  <c r="Q24" i="21" s="1"/>
  <c r="M24" i="21"/>
  <c r="L24" i="21"/>
  <c r="J24" i="21"/>
  <c r="N23" i="21"/>
  <c r="M23" i="21"/>
  <c r="L23" i="21"/>
  <c r="J23" i="21"/>
  <c r="N22" i="21"/>
  <c r="P22" i="21" s="1"/>
  <c r="M22" i="21"/>
  <c r="L22" i="21"/>
  <c r="J22" i="21"/>
  <c r="N21" i="21"/>
  <c r="P21" i="21" s="1"/>
  <c r="M21" i="21"/>
  <c r="L21" i="21"/>
  <c r="J21" i="21"/>
  <c r="N20" i="21"/>
  <c r="M20" i="21"/>
  <c r="L20" i="21"/>
  <c r="J20" i="21"/>
  <c r="N19" i="21"/>
  <c r="P19" i="21" s="1"/>
  <c r="M19" i="21"/>
  <c r="L19" i="21"/>
  <c r="J19" i="21"/>
  <c r="N18" i="21"/>
  <c r="M18" i="21"/>
  <c r="L18" i="21"/>
  <c r="J18" i="21"/>
  <c r="N17" i="21"/>
  <c r="P17" i="21" s="1"/>
  <c r="M17" i="21"/>
  <c r="L17" i="21"/>
  <c r="J17" i="21"/>
  <c r="N16" i="21"/>
  <c r="Q16" i="21" s="1"/>
  <c r="M16" i="21"/>
  <c r="L16" i="21"/>
  <c r="J16" i="21"/>
  <c r="N15" i="21"/>
  <c r="M15" i="21"/>
  <c r="L15" i="21"/>
  <c r="J15" i="21"/>
  <c r="N14" i="21"/>
  <c r="Q14" i="21" s="1"/>
  <c r="M14" i="21"/>
  <c r="L14" i="21"/>
  <c r="J14" i="21"/>
  <c r="N13" i="21"/>
  <c r="M13" i="21"/>
  <c r="L13" i="21"/>
  <c r="J13" i="21"/>
  <c r="N49" i="20"/>
  <c r="M49" i="20"/>
  <c r="L49" i="20"/>
  <c r="J49" i="20"/>
  <c r="N48" i="20"/>
  <c r="M48" i="20"/>
  <c r="R48" i="20" s="1"/>
  <c r="L48" i="20"/>
  <c r="J48" i="20"/>
  <c r="N47" i="20"/>
  <c r="M47" i="20"/>
  <c r="L47" i="20"/>
  <c r="J47" i="20"/>
  <c r="N46" i="20"/>
  <c r="Q46" i="20" s="1"/>
  <c r="M46" i="20"/>
  <c r="L46" i="20"/>
  <c r="J46" i="20"/>
  <c r="N45" i="20"/>
  <c r="M45" i="20"/>
  <c r="L45" i="20"/>
  <c r="J45" i="20"/>
  <c r="N44" i="20"/>
  <c r="M44" i="20"/>
  <c r="L44" i="20"/>
  <c r="J44" i="20"/>
  <c r="N43" i="20"/>
  <c r="P43" i="20" s="1"/>
  <c r="M43" i="20"/>
  <c r="L43" i="20"/>
  <c r="J43" i="20"/>
  <c r="N42" i="20"/>
  <c r="M42" i="20"/>
  <c r="L42" i="20"/>
  <c r="J42" i="20"/>
  <c r="N41" i="20"/>
  <c r="M41" i="20"/>
  <c r="L41" i="20"/>
  <c r="J41" i="20"/>
  <c r="N40" i="20"/>
  <c r="M40" i="20"/>
  <c r="L40" i="20"/>
  <c r="J40" i="20"/>
  <c r="N39" i="20"/>
  <c r="M39" i="20"/>
  <c r="L39" i="20"/>
  <c r="J39" i="20"/>
  <c r="N38" i="20"/>
  <c r="P38" i="20" s="1"/>
  <c r="M38" i="20"/>
  <c r="L38" i="20"/>
  <c r="J38" i="20"/>
  <c r="N37" i="20"/>
  <c r="M37" i="20"/>
  <c r="L37" i="20"/>
  <c r="J37" i="20"/>
  <c r="N36" i="20"/>
  <c r="M36" i="20"/>
  <c r="L36" i="20"/>
  <c r="J36" i="20"/>
  <c r="N35" i="20"/>
  <c r="P35" i="20" s="1"/>
  <c r="M35" i="20"/>
  <c r="L35" i="20"/>
  <c r="J35" i="20"/>
  <c r="N34" i="20"/>
  <c r="M34" i="20"/>
  <c r="L34" i="20"/>
  <c r="J34" i="20"/>
  <c r="N33" i="20"/>
  <c r="M33" i="20"/>
  <c r="L33" i="20"/>
  <c r="J33" i="20"/>
  <c r="N32" i="20"/>
  <c r="P32" i="20" s="1"/>
  <c r="M32" i="20"/>
  <c r="L32" i="20"/>
  <c r="J32" i="20"/>
  <c r="N31" i="20"/>
  <c r="M31" i="20"/>
  <c r="L31" i="20"/>
  <c r="J31" i="20"/>
  <c r="N30" i="20"/>
  <c r="Q30" i="20" s="1"/>
  <c r="M30" i="20"/>
  <c r="L30" i="20"/>
  <c r="J30" i="20"/>
  <c r="N29" i="20"/>
  <c r="M29" i="20"/>
  <c r="L29" i="20"/>
  <c r="J29" i="20"/>
  <c r="N28" i="20"/>
  <c r="M28" i="20"/>
  <c r="L28" i="20"/>
  <c r="J28" i="20"/>
  <c r="N27" i="20"/>
  <c r="P27" i="20" s="1"/>
  <c r="M27" i="20"/>
  <c r="L27" i="20"/>
  <c r="J27" i="20"/>
  <c r="N26" i="20"/>
  <c r="M26" i="20"/>
  <c r="L26" i="20"/>
  <c r="J26" i="20"/>
  <c r="N25" i="20"/>
  <c r="M25" i="20"/>
  <c r="L25" i="20"/>
  <c r="J25" i="20"/>
  <c r="N24" i="20"/>
  <c r="Q24" i="20" s="1"/>
  <c r="M24" i="20"/>
  <c r="L24" i="20"/>
  <c r="J24" i="20"/>
  <c r="N23" i="20"/>
  <c r="M23" i="20"/>
  <c r="L23" i="20"/>
  <c r="J23" i="20"/>
  <c r="N22" i="20"/>
  <c r="M22" i="20"/>
  <c r="L22" i="20"/>
  <c r="J22" i="20"/>
  <c r="N21" i="20"/>
  <c r="Q21" i="20" s="1"/>
  <c r="M21" i="20"/>
  <c r="L21" i="20"/>
  <c r="J21" i="20"/>
  <c r="N20" i="20"/>
  <c r="M20" i="20"/>
  <c r="L20" i="20"/>
  <c r="J20" i="20"/>
  <c r="N19" i="20"/>
  <c r="P19" i="20" s="1"/>
  <c r="M19" i="20"/>
  <c r="L19" i="20"/>
  <c r="J19" i="20"/>
  <c r="N18" i="20"/>
  <c r="M18" i="20"/>
  <c r="L18" i="20"/>
  <c r="J18" i="20"/>
  <c r="N17" i="20"/>
  <c r="M17" i="20"/>
  <c r="L17" i="20"/>
  <c r="J17" i="20"/>
  <c r="N16" i="20"/>
  <c r="M16" i="20"/>
  <c r="L16" i="20"/>
  <c r="J16" i="20"/>
  <c r="N15" i="20"/>
  <c r="M15" i="20"/>
  <c r="L15" i="20"/>
  <c r="J15" i="20"/>
  <c r="N14" i="20"/>
  <c r="M14" i="20"/>
  <c r="L14" i="20"/>
  <c r="J14" i="20"/>
  <c r="N13" i="20"/>
  <c r="M13" i="20"/>
  <c r="L13" i="20"/>
  <c r="J13" i="20"/>
  <c r="N49" i="19"/>
  <c r="M49" i="19"/>
  <c r="R49" i="19" s="1"/>
  <c r="L49" i="19"/>
  <c r="J49" i="19"/>
  <c r="N48" i="19"/>
  <c r="Q48" i="19" s="1"/>
  <c r="M48" i="19"/>
  <c r="L48" i="19"/>
  <c r="J48" i="19"/>
  <c r="N47" i="19"/>
  <c r="M47" i="19"/>
  <c r="L47" i="19"/>
  <c r="J47" i="19"/>
  <c r="N46" i="19"/>
  <c r="M46" i="19"/>
  <c r="L46" i="19"/>
  <c r="J46" i="19"/>
  <c r="N45" i="19"/>
  <c r="M45" i="19"/>
  <c r="L45" i="19"/>
  <c r="J45" i="19"/>
  <c r="N44" i="19"/>
  <c r="M44" i="19"/>
  <c r="L44" i="19"/>
  <c r="J44" i="19"/>
  <c r="N43" i="19"/>
  <c r="P43" i="19" s="1"/>
  <c r="M43" i="19"/>
  <c r="L43" i="19"/>
  <c r="J43" i="19"/>
  <c r="N42" i="19"/>
  <c r="M42" i="19"/>
  <c r="L42" i="19"/>
  <c r="J42" i="19"/>
  <c r="N41" i="19"/>
  <c r="P41" i="19" s="1"/>
  <c r="M41" i="19"/>
  <c r="L41" i="19"/>
  <c r="J41" i="19"/>
  <c r="N40" i="19"/>
  <c r="M40" i="19"/>
  <c r="L40" i="19"/>
  <c r="J40" i="19"/>
  <c r="N39" i="19"/>
  <c r="M39" i="19"/>
  <c r="L39" i="19"/>
  <c r="J39" i="19"/>
  <c r="N38" i="19"/>
  <c r="Q38" i="19" s="1"/>
  <c r="M38" i="19"/>
  <c r="L38" i="19"/>
  <c r="J38" i="19"/>
  <c r="N37" i="19"/>
  <c r="M37" i="19"/>
  <c r="L37" i="19"/>
  <c r="J37" i="19"/>
  <c r="N36" i="19"/>
  <c r="M36" i="19"/>
  <c r="L36" i="19"/>
  <c r="J36" i="19"/>
  <c r="N35" i="19"/>
  <c r="M35" i="19"/>
  <c r="L35" i="19"/>
  <c r="J35" i="19"/>
  <c r="N34" i="19"/>
  <c r="M34" i="19"/>
  <c r="L34" i="19"/>
  <c r="J34" i="19"/>
  <c r="N33" i="19"/>
  <c r="M33" i="19"/>
  <c r="L33" i="19"/>
  <c r="J33" i="19"/>
  <c r="N32" i="19"/>
  <c r="M32" i="19"/>
  <c r="L32" i="19"/>
  <c r="J32" i="19"/>
  <c r="N31" i="19"/>
  <c r="M31" i="19"/>
  <c r="L31" i="19"/>
  <c r="J31" i="19"/>
  <c r="N30" i="19"/>
  <c r="P30" i="19" s="1"/>
  <c r="M30" i="19"/>
  <c r="L30" i="19"/>
  <c r="J30" i="19"/>
  <c r="N29" i="19"/>
  <c r="M29" i="19"/>
  <c r="L29" i="19"/>
  <c r="J29" i="19"/>
  <c r="N28" i="19"/>
  <c r="M28" i="19"/>
  <c r="L28" i="19"/>
  <c r="J28" i="19"/>
  <c r="N27" i="19"/>
  <c r="Q27" i="19" s="1"/>
  <c r="M27" i="19"/>
  <c r="L27" i="19"/>
  <c r="J27" i="19"/>
  <c r="N26" i="19"/>
  <c r="M26" i="19"/>
  <c r="L26" i="19"/>
  <c r="J26" i="19"/>
  <c r="N25" i="19"/>
  <c r="M25" i="19"/>
  <c r="L25" i="19"/>
  <c r="J25" i="19"/>
  <c r="N24" i="19"/>
  <c r="Q24" i="19" s="1"/>
  <c r="M24" i="19"/>
  <c r="L24" i="19"/>
  <c r="J24" i="19"/>
  <c r="N23" i="19"/>
  <c r="M23" i="19"/>
  <c r="L23" i="19"/>
  <c r="J23" i="19"/>
  <c r="N22" i="19"/>
  <c r="M22" i="19"/>
  <c r="L22" i="19"/>
  <c r="J22" i="19"/>
  <c r="N21" i="19"/>
  <c r="M21" i="19"/>
  <c r="L21" i="19"/>
  <c r="J21" i="19"/>
  <c r="N20" i="19"/>
  <c r="P20" i="19" s="1"/>
  <c r="M20" i="19"/>
  <c r="L20" i="19"/>
  <c r="J20" i="19"/>
  <c r="N19" i="19"/>
  <c r="M19" i="19"/>
  <c r="L19" i="19"/>
  <c r="J19" i="19"/>
  <c r="N18" i="19"/>
  <c r="M18" i="19"/>
  <c r="L18" i="19"/>
  <c r="J18" i="19"/>
  <c r="N17" i="19"/>
  <c r="M17" i="19"/>
  <c r="L17" i="19"/>
  <c r="J17" i="19"/>
  <c r="N16" i="19"/>
  <c r="M16" i="19"/>
  <c r="L16" i="19"/>
  <c r="J16" i="19"/>
  <c r="N15" i="19"/>
  <c r="M15" i="19"/>
  <c r="L15" i="19"/>
  <c r="J15" i="19"/>
  <c r="N14" i="19"/>
  <c r="P14" i="19" s="1"/>
  <c r="M14" i="19"/>
  <c r="L14" i="19"/>
  <c r="J14" i="19"/>
  <c r="N13" i="19"/>
  <c r="M13" i="19"/>
  <c r="L13" i="19"/>
  <c r="J13" i="19"/>
  <c r="N49" i="17"/>
  <c r="M49" i="17"/>
  <c r="L49" i="17"/>
  <c r="J49" i="17"/>
  <c r="N48" i="17"/>
  <c r="M48" i="17"/>
  <c r="L48" i="17"/>
  <c r="J48" i="17"/>
  <c r="N47" i="17"/>
  <c r="M47" i="17"/>
  <c r="L47" i="17"/>
  <c r="J47" i="17"/>
  <c r="N46" i="17"/>
  <c r="Q46" i="17" s="1"/>
  <c r="M46" i="17"/>
  <c r="L46" i="17"/>
  <c r="J46" i="17"/>
  <c r="N45" i="17"/>
  <c r="M45" i="17"/>
  <c r="L45" i="17"/>
  <c r="J45" i="17"/>
  <c r="N44" i="17"/>
  <c r="M44" i="17"/>
  <c r="L44" i="17"/>
  <c r="J44" i="17"/>
  <c r="N43" i="17"/>
  <c r="M43" i="17"/>
  <c r="L43" i="17"/>
  <c r="J43" i="17"/>
  <c r="N42" i="17"/>
  <c r="M42" i="17"/>
  <c r="L42" i="17"/>
  <c r="J42" i="17"/>
  <c r="N41" i="17"/>
  <c r="M41" i="17"/>
  <c r="L41" i="17"/>
  <c r="J41" i="17"/>
  <c r="N40" i="17"/>
  <c r="Q40" i="17" s="1"/>
  <c r="M40" i="17"/>
  <c r="L40" i="17"/>
  <c r="J40" i="17"/>
  <c r="N39" i="17"/>
  <c r="M39" i="17"/>
  <c r="L39" i="17"/>
  <c r="J39" i="17"/>
  <c r="N38" i="17"/>
  <c r="Q38" i="17" s="1"/>
  <c r="M38" i="17"/>
  <c r="L38" i="17"/>
  <c r="J38" i="17"/>
  <c r="N37" i="17"/>
  <c r="M37" i="17"/>
  <c r="L37" i="17"/>
  <c r="J37" i="17"/>
  <c r="N36" i="17"/>
  <c r="M36" i="17"/>
  <c r="L36" i="17"/>
  <c r="J36" i="17"/>
  <c r="N35" i="17"/>
  <c r="M35" i="17"/>
  <c r="L35" i="17"/>
  <c r="J35" i="17"/>
  <c r="N34" i="17"/>
  <c r="M34" i="17"/>
  <c r="L34" i="17"/>
  <c r="J34" i="17"/>
  <c r="N33" i="17"/>
  <c r="M33" i="17"/>
  <c r="L33" i="17"/>
  <c r="J33" i="17"/>
  <c r="N32" i="17"/>
  <c r="Q32" i="17" s="1"/>
  <c r="M32" i="17"/>
  <c r="L32" i="17"/>
  <c r="J32" i="17"/>
  <c r="N31" i="17"/>
  <c r="M31" i="17"/>
  <c r="L31" i="17"/>
  <c r="J31" i="17"/>
  <c r="N30" i="17"/>
  <c r="Q30" i="17" s="1"/>
  <c r="M30" i="17"/>
  <c r="L30" i="17"/>
  <c r="J30" i="17"/>
  <c r="N29" i="17"/>
  <c r="M29" i="17"/>
  <c r="L29" i="17"/>
  <c r="J29" i="17"/>
  <c r="N28" i="17"/>
  <c r="M28" i="17"/>
  <c r="L28" i="17"/>
  <c r="J28" i="17"/>
  <c r="N27" i="17"/>
  <c r="P27" i="17" s="1"/>
  <c r="M27" i="17"/>
  <c r="L27" i="17"/>
  <c r="J27" i="17"/>
  <c r="N26" i="17"/>
  <c r="M26" i="17"/>
  <c r="L26" i="17"/>
  <c r="J26" i="17"/>
  <c r="N25" i="17"/>
  <c r="Q25" i="17" s="1"/>
  <c r="M25" i="17"/>
  <c r="L25" i="17"/>
  <c r="J25" i="17"/>
  <c r="N24" i="17"/>
  <c r="M24" i="17"/>
  <c r="L24" i="17"/>
  <c r="J24" i="17"/>
  <c r="N23" i="17"/>
  <c r="M23" i="17"/>
  <c r="L23" i="17"/>
  <c r="J23" i="17"/>
  <c r="N22" i="17"/>
  <c r="P22" i="17" s="1"/>
  <c r="M22" i="17"/>
  <c r="L22" i="17"/>
  <c r="J22" i="17"/>
  <c r="N21" i="17"/>
  <c r="M21" i="17"/>
  <c r="L21" i="17"/>
  <c r="J21" i="17"/>
  <c r="N20" i="17"/>
  <c r="M20" i="17"/>
  <c r="L20" i="17"/>
  <c r="J20" i="17"/>
  <c r="N19" i="17"/>
  <c r="P19" i="17" s="1"/>
  <c r="M19" i="17"/>
  <c r="L19" i="17"/>
  <c r="J19" i="17"/>
  <c r="N18" i="17"/>
  <c r="M18" i="17"/>
  <c r="L18" i="17"/>
  <c r="J18" i="17"/>
  <c r="N17" i="17"/>
  <c r="M17" i="17"/>
  <c r="L17" i="17"/>
  <c r="J17" i="17"/>
  <c r="N16" i="17"/>
  <c r="M16" i="17"/>
  <c r="L16" i="17"/>
  <c r="J16" i="17"/>
  <c r="N15" i="17"/>
  <c r="M15" i="17"/>
  <c r="L15" i="17"/>
  <c r="J15" i="17"/>
  <c r="N14" i="17"/>
  <c r="Q14" i="17" s="1"/>
  <c r="M14" i="17"/>
  <c r="L14" i="17"/>
  <c r="J14" i="17"/>
  <c r="N13" i="17"/>
  <c r="O13" i="17" s="1"/>
  <c r="M13" i="17"/>
  <c r="L13" i="17"/>
  <c r="J13" i="17"/>
  <c r="N49" i="16"/>
  <c r="M49" i="16"/>
  <c r="L49" i="16"/>
  <c r="N48" i="16"/>
  <c r="Q48" i="16" s="1"/>
  <c r="M48" i="16"/>
  <c r="L48" i="16"/>
  <c r="N47" i="16"/>
  <c r="M47" i="16"/>
  <c r="L47" i="16"/>
  <c r="N46" i="16"/>
  <c r="M46" i="16"/>
  <c r="L46" i="16"/>
  <c r="N45" i="16"/>
  <c r="M45" i="16"/>
  <c r="L45" i="16"/>
  <c r="N44" i="16"/>
  <c r="M44" i="16"/>
  <c r="L44" i="16"/>
  <c r="N43" i="16"/>
  <c r="P43" i="16" s="1"/>
  <c r="M43" i="16"/>
  <c r="L43" i="16"/>
  <c r="N42" i="16"/>
  <c r="M42" i="16"/>
  <c r="L42" i="16"/>
  <c r="N41" i="16"/>
  <c r="P41" i="16" s="1"/>
  <c r="M41" i="16"/>
  <c r="L41" i="16"/>
  <c r="N40" i="16"/>
  <c r="Q40" i="16" s="1"/>
  <c r="M40" i="16"/>
  <c r="L40" i="16"/>
  <c r="N39" i="16"/>
  <c r="M39" i="16"/>
  <c r="L39" i="16"/>
  <c r="N38" i="16"/>
  <c r="M38" i="16"/>
  <c r="L38" i="16"/>
  <c r="N37" i="16"/>
  <c r="M37" i="16"/>
  <c r="L37" i="16"/>
  <c r="N36" i="16"/>
  <c r="M36" i="16"/>
  <c r="L36" i="16"/>
  <c r="N35" i="16"/>
  <c r="P35" i="16" s="1"/>
  <c r="M35" i="16"/>
  <c r="L35" i="16"/>
  <c r="N34" i="16"/>
  <c r="M34" i="16"/>
  <c r="L34" i="16"/>
  <c r="N33" i="16"/>
  <c r="M33" i="16"/>
  <c r="L33" i="16"/>
  <c r="N32" i="16"/>
  <c r="Q32" i="16" s="1"/>
  <c r="M32" i="16"/>
  <c r="L32" i="16"/>
  <c r="N31" i="16"/>
  <c r="O31" i="16" s="1"/>
  <c r="M31" i="16"/>
  <c r="L31" i="16"/>
  <c r="N30" i="16"/>
  <c r="M30" i="16"/>
  <c r="L30" i="16"/>
  <c r="N29" i="16"/>
  <c r="O29" i="16" s="1"/>
  <c r="M29" i="16"/>
  <c r="L29" i="16"/>
  <c r="N28" i="16"/>
  <c r="O28" i="16" s="1"/>
  <c r="M28" i="16"/>
  <c r="L28" i="16"/>
  <c r="N27" i="16"/>
  <c r="M27" i="16"/>
  <c r="L27" i="16"/>
  <c r="N26" i="16"/>
  <c r="O26" i="16" s="1"/>
  <c r="M26" i="16"/>
  <c r="L26" i="16"/>
  <c r="N25" i="16"/>
  <c r="O25" i="16" s="1"/>
  <c r="M25" i="16"/>
  <c r="L25" i="16"/>
  <c r="N24" i="16"/>
  <c r="M24" i="16"/>
  <c r="L24" i="16"/>
  <c r="N23" i="16"/>
  <c r="O23" i="16" s="1"/>
  <c r="M23" i="16"/>
  <c r="L23" i="16"/>
  <c r="N22" i="16"/>
  <c r="O22" i="16" s="1"/>
  <c r="M22" i="16"/>
  <c r="L22" i="16"/>
  <c r="N21" i="16"/>
  <c r="O21" i="16" s="1"/>
  <c r="M21" i="16"/>
  <c r="L21" i="16"/>
  <c r="N20" i="16"/>
  <c r="O20" i="16" s="1"/>
  <c r="M20" i="16"/>
  <c r="L20" i="16"/>
  <c r="N19" i="16"/>
  <c r="M19" i="16"/>
  <c r="L19" i="16"/>
  <c r="N18" i="16"/>
  <c r="O18" i="16" s="1"/>
  <c r="M18" i="16"/>
  <c r="L18" i="16"/>
  <c r="N17" i="16"/>
  <c r="O17" i="16" s="1"/>
  <c r="M17" i="16"/>
  <c r="L17" i="16"/>
  <c r="N16" i="16"/>
  <c r="M16" i="16"/>
  <c r="L16" i="16"/>
  <c r="N15" i="16"/>
  <c r="O15" i="16" s="1"/>
  <c r="M15" i="16"/>
  <c r="L15" i="16"/>
  <c r="N14" i="16"/>
  <c r="O14" i="16" s="1"/>
  <c r="M14" i="16"/>
  <c r="L14" i="16"/>
  <c r="N13" i="16"/>
  <c r="P13" i="16" s="1"/>
  <c r="M13" i="16"/>
  <c r="L13" i="16"/>
  <c r="J13" i="16"/>
  <c r="N49" i="15"/>
  <c r="M49" i="15"/>
  <c r="L49" i="15"/>
  <c r="J49" i="15"/>
  <c r="N48" i="15"/>
  <c r="M48" i="15"/>
  <c r="L48" i="15"/>
  <c r="J48" i="15"/>
  <c r="N47" i="15"/>
  <c r="M47" i="15"/>
  <c r="L47" i="15"/>
  <c r="J47" i="15"/>
  <c r="N46" i="15"/>
  <c r="P46" i="15" s="1"/>
  <c r="M46" i="15"/>
  <c r="L46" i="15"/>
  <c r="J46" i="15"/>
  <c r="N45" i="15"/>
  <c r="M45" i="15"/>
  <c r="L45" i="15"/>
  <c r="J45" i="15"/>
  <c r="N44" i="15"/>
  <c r="M44" i="15"/>
  <c r="L44" i="15"/>
  <c r="J44" i="15"/>
  <c r="N43" i="15"/>
  <c r="M43" i="15"/>
  <c r="L43" i="15"/>
  <c r="J43" i="15"/>
  <c r="N42" i="15"/>
  <c r="M42" i="15"/>
  <c r="L42" i="15"/>
  <c r="J42" i="15"/>
  <c r="N41" i="15"/>
  <c r="Q41" i="15" s="1"/>
  <c r="M41" i="15"/>
  <c r="L41" i="15"/>
  <c r="J41" i="15"/>
  <c r="N40" i="15"/>
  <c r="M40" i="15"/>
  <c r="L40" i="15"/>
  <c r="J40" i="15"/>
  <c r="N39" i="15"/>
  <c r="M39" i="15"/>
  <c r="L39" i="15"/>
  <c r="J39" i="15"/>
  <c r="N38" i="15"/>
  <c r="Q38" i="15" s="1"/>
  <c r="M38" i="15"/>
  <c r="L38" i="15"/>
  <c r="J38" i="15"/>
  <c r="N37" i="15"/>
  <c r="Q37" i="15" s="1"/>
  <c r="M37" i="15"/>
  <c r="L37" i="15"/>
  <c r="J37" i="15"/>
  <c r="N36" i="15"/>
  <c r="M36" i="15"/>
  <c r="L36" i="15"/>
  <c r="J36" i="15"/>
  <c r="N35" i="15"/>
  <c r="Q35" i="15" s="1"/>
  <c r="M35" i="15"/>
  <c r="L35" i="15"/>
  <c r="J35" i="15"/>
  <c r="N34" i="15"/>
  <c r="M34" i="15"/>
  <c r="L34" i="15"/>
  <c r="J34" i="15"/>
  <c r="N33" i="15"/>
  <c r="Q33" i="15" s="1"/>
  <c r="M33" i="15"/>
  <c r="L33" i="15"/>
  <c r="J33" i="15"/>
  <c r="N32" i="15"/>
  <c r="Q32" i="15" s="1"/>
  <c r="M32" i="15"/>
  <c r="L32" i="15"/>
  <c r="J32" i="15"/>
  <c r="N31" i="15"/>
  <c r="M31" i="15"/>
  <c r="L31" i="15"/>
  <c r="J31" i="15"/>
  <c r="N20" i="15"/>
  <c r="M20" i="15"/>
  <c r="L20" i="15"/>
  <c r="J20" i="15"/>
  <c r="N30" i="15"/>
  <c r="M30" i="15"/>
  <c r="L30" i="15"/>
  <c r="J30" i="15"/>
  <c r="N29" i="15"/>
  <c r="O29" i="15" s="1"/>
  <c r="M29" i="15"/>
  <c r="L29" i="15"/>
  <c r="J29" i="15"/>
  <c r="N28" i="15"/>
  <c r="O28" i="15" s="1"/>
  <c r="M28" i="15"/>
  <c r="L28" i="15"/>
  <c r="J28" i="15"/>
  <c r="N27" i="15"/>
  <c r="O27" i="15" s="1"/>
  <c r="M27" i="15"/>
  <c r="L27" i="15"/>
  <c r="J27" i="15"/>
  <c r="N26" i="15"/>
  <c r="M26" i="15"/>
  <c r="L26" i="15"/>
  <c r="J26" i="15"/>
  <c r="N25" i="15"/>
  <c r="O25" i="15" s="1"/>
  <c r="M25" i="15"/>
  <c r="L25" i="15"/>
  <c r="J25" i="15"/>
  <c r="N24" i="15"/>
  <c r="O24" i="15" s="1"/>
  <c r="M24" i="15"/>
  <c r="L24" i="15"/>
  <c r="J24" i="15"/>
  <c r="N23" i="15"/>
  <c r="O23" i="15" s="1"/>
  <c r="M23" i="15"/>
  <c r="L23" i="15"/>
  <c r="J23" i="15"/>
  <c r="N22" i="15"/>
  <c r="O22" i="15" s="1"/>
  <c r="M22" i="15"/>
  <c r="L22" i="15"/>
  <c r="J22" i="15"/>
  <c r="N21" i="15"/>
  <c r="O21" i="15" s="1"/>
  <c r="M21" i="15"/>
  <c r="L21" i="15"/>
  <c r="J21" i="15"/>
  <c r="N19" i="15"/>
  <c r="M19" i="15"/>
  <c r="L19" i="15"/>
  <c r="J19" i="15"/>
  <c r="N18" i="15"/>
  <c r="O18" i="15" s="1"/>
  <c r="M18" i="15"/>
  <c r="L18" i="15"/>
  <c r="J18" i="15"/>
  <c r="N17" i="15"/>
  <c r="O17" i="15" s="1"/>
  <c r="M17" i="15"/>
  <c r="L17" i="15"/>
  <c r="J17" i="15"/>
  <c r="N16" i="15"/>
  <c r="O16" i="15" s="1"/>
  <c r="M16" i="15"/>
  <c r="L16" i="15"/>
  <c r="J16" i="15"/>
  <c r="N15" i="15"/>
  <c r="O15" i="15" s="1"/>
  <c r="M15" i="15"/>
  <c r="L15" i="15"/>
  <c r="J15" i="15"/>
  <c r="N14" i="15"/>
  <c r="O14" i="15" s="1"/>
  <c r="M14" i="15"/>
  <c r="L14" i="15"/>
  <c r="J14" i="15"/>
  <c r="N13" i="15"/>
  <c r="O13" i="15" s="1"/>
  <c r="M13" i="15"/>
  <c r="L13" i="15"/>
  <c r="J13" i="15"/>
  <c r="B10" i="26"/>
  <c r="B7" i="26"/>
  <c r="B2" i="26"/>
  <c r="B6" i="26"/>
  <c r="B5" i="26"/>
  <c r="B4" i="26"/>
  <c r="B12" i="26"/>
  <c r="B3" i="26"/>
  <c r="B9" i="26"/>
  <c r="B8" i="26"/>
  <c r="B13" i="26"/>
  <c r="B11" i="26"/>
  <c r="R25" i="24" l="1"/>
  <c r="P13" i="21"/>
  <c r="O13" i="21"/>
  <c r="R14" i="17"/>
  <c r="P30" i="16"/>
  <c r="O30" i="16"/>
  <c r="P27" i="16"/>
  <c r="O27" i="16"/>
  <c r="Q24" i="16"/>
  <c r="O24" i="16"/>
  <c r="P19" i="16"/>
  <c r="O19" i="16"/>
  <c r="Q16" i="16"/>
  <c r="O16" i="16"/>
  <c r="Q20" i="15"/>
  <c r="O20" i="15"/>
  <c r="P19" i="15"/>
  <c r="O19" i="15"/>
  <c r="Q26" i="15"/>
  <c r="O26" i="15"/>
  <c r="R24" i="22"/>
  <c r="R41" i="17"/>
  <c r="R17" i="16"/>
  <c r="P33" i="22"/>
  <c r="P25" i="25"/>
  <c r="R33" i="25"/>
  <c r="R48" i="17"/>
  <c r="R24" i="16"/>
  <c r="P16" i="22"/>
  <c r="R30" i="23"/>
  <c r="R30" i="24"/>
  <c r="Q43" i="24"/>
  <c r="R17" i="24"/>
  <c r="R41" i="24"/>
  <c r="R22" i="25"/>
  <c r="P49" i="20"/>
  <c r="Q17" i="20"/>
  <c r="Q49" i="20"/>
  <c r="R38" i="20"/>
  <c r="R27" i="19"/>
  <c r="R35" i="19"/>
  <c r="R33" i="19"/>
  <c r="R37" i="16"/>
  <c r="R45" i="16"/>
  <c r="P25" i="16"/>
  <c r="P28" i="15"/>
  <c r="Q28" i="15"/>
  <c r="R34" i="21"/>
  <c r="R22" i="22"/>
  <c r="P22" i="22"/>
  <c r="R40" i="22"/>
  <c r="P49" i="22"/>
  <c r="Q25" i="24"/>
  <c r="Q30" i="24"/>
  <c r="P38" i="25"/>
  <c r="R38" i="25"/>
  <c r="Q37" i="20"/>
  <c r="P30" i="20"/>
  <c r="P33" i="20"/>
  <c r="Q38" i="20"/>
  <c r="P38" i="19"/>
  <c r="Q49" i="19"/>
  <c r="Q35" i="19"/>
  <c r="P25" i="17"/>
  <c r="R43" i="17"/>
  <c r="Q49" i="16"/>
  <c r="R49" i="16"/>
  <c r="R23" i="15"/>
  <c r="R30" i="15"/>
  <c r="R35" i="15"/>
  <c r="R41" i="15"/>
  <c r="R45" i="21"/>
  <c r="R24" i="21"/>
  <c r="P41" i="21"/>
  <c r="P16" i="21"/>
  <c r="R16" i="21"/>
  <c r="Q35" i="21"/>
  <c r="Q49" i="21"/>
  <c r="P49" i="21"/>
  <c r="P40" i="21"/>
  <c r="Q27" i="21"/>
  <c r="Q46" i="21"/>
  <c r="P33" i="21"/>
  <c r="Q17" i="21"/>
  <c r="R23" i="21"/>
  <c r="Q19" i="22"/>
  <c r="P48" i="22"/>
  <c r="R21" i="22"/>
  <c r="R38" i="22"/>
  <c r="P38" i="22"/>
  <c r="Q25" i="23"/>
  <c r="Q46" i="23"/>
  <c r="Q13" i="23"/>
  <c r="P38" i="23"/>
  <c r="P40" i="23"/>
  <c r="R40" i="23"/>
  <c r="Q45" i="23"/>
  <c r="R24" i="23"/>
  <c r="P41" i="23"/>
  <c r="P24" i="23"/>
  <c r="Q41" i="23"/>
  <c r="R46" i="23"/>
  <c r="Q17" i="24"/>
  <c r="P16" i="24"/>
  <c r="R21" i="24"/>
  <c r="R29" i="24"/>
  <c r="R24" i="24"/>
  <c r="P17" i="24"/>
  <c r="R16" i="24"/>
  <c r="Q38" i="24"/>
  <c r="R28" i="25"/>
  <c r="P30" i="25"/>
  <c r="P41" i="25"/>
  <c r="Q41" i="25"/>
  <c r="R45" i="25"/>
  <c r="P22" i="25"/>
  <c r="R32" i="25"/>
  <c r="R44" i="25"/>
  <c r="Q32" i="20"/>
  <c r="Q41" i="20"/>
  <c r="Q48" i="20"/>
  <c r="R45" i="20"/>
  <c r="Q13" i="20"/>
  <c r="P24" i="20"/>
  <c r="R30" i="20"/>
  <c r="P46" i="20"/>
  <c r="R46" i="20"/>
  <c r="Q17" i="19"/>
  <c r="R48" i="19"/>
  <c r="P46" i="19"/>
  <c r="R24" i="19"/>
  <c r="R29" i="19"/>
  <c r="P17" i="19"/>
  <c r="R14" i="19"/>
  <c r="R16" i="19"/>
  <c r="P40" i="17"/>
  <c r="Q22" i="17"/>
  <c r="P46" i="17"/>
  <c r="Q29" i="17"/>
  <c r="R46" i="17"/>
  <c r="R33" i="17"/>
  <c r="R40" i="17"/>
  <c r="R35" i="17"/>
  <c r="Q13" i="17"/>
  <c r="P22" i="16"/>
  <c r="P29" i="16"/>
  <c r="P24" i="16"/>
  <c r="P33" i="16"/>
  <c r="Q33" i="16"/>
  <c r="P16" i="16"/>
  <c r="Q27" i="16"/>
  <c r="R16" i="16"/>
  <c r="R27" i="16"/>
  <c r="R22" i="15"/>
  <c r="Q48" i="15"/>
  <c r="P26" i="15"/>
  <c r="P33" i="15"/>
  <c r="R14" i="15"/>
  <c r="Q16" i="15"/>
  <c r="Q25" i="15"/>
  <c r="R28" i="15"/>
  <c r="R33" i="15"/>
  <c r="Q19" i="21"/>
  <c r="P25" i="21"/>
  <c r="P32" i="21"/>
  <c r="Q33" i="21"/>
  <c r="R40" i="21"/>
  <c r="Q42" i="21"/>
  <c r="P48" i="21"/>
  <c r="P14" i="21"/>
  <c r="R15" i="21"/>
  <c r="P24" i="21"/>
  <c r="Q25" i="21"/>
  <c r="R26" i="21"/>
  <c r="R32" i="21"/>
  <c r="R39" i="21"/>
  <c r="R18" i="21"/>
  <c r="R31" i="21"/>
  <c r="R42" i="21"/>
  <c r="Q21" i="22"/>
  <c r="Q25" i="22"/>
  <c r="R27" i="22"/>
  <c r="P32" i="22"/>
  <c r="Q41" i="22"/>
  <c r="R43" i="22"/>
  <c r="P17" i="22"/>
  <c r="Q35" i="22"/>
  <c r="R37" i="22"/>
  <c r="Q49" i="22"/>
  <c r="P16" i="23"/>
  <c r="R22" i="23"/>
  <c r="Q27" i="23"/>
  <c r="Q43" i="23"/>
  <c r="Q22" i="23"/>
  <c r="R27" i="23"/>
  <c r="Q30" i="23"/>
  <c r="R43" i="23"/>
  <c r="Q14" i="24"/>
  <c r="Q22" i="24"/>
  <c r="R37" i="24"/>
  <c r="R38" i="24"/>
  <c r="Q41" i="24"/>
  <c r="R14" i="24"/>
  <c r="R22" i="24"/>
  <c r="P24" i="24"/>
  <c r="R33" i="24"/>
  <c r="R40" i="24"/>
  <c r="P14" i="24"/>
  <c r="P22" i="24"/>
  <c r="R32" i="24"/>
  <c r="Q33" i="24"/>
  <c r="R19" i="25"/>
  <c r="Q30" i="25"/>
  <c r="P33" i="25"/>
  <c r="R40" i="25"/>
  <c r="R41" i="25"/>
  <c r="Q43" i="25"/>
  <c r="R30" i="25"/>
  <c r="Q33" i="25"/>
  <c r="R43" i="25"/>
  <c r="P14" i="25"/>
  <c r="R16" i="20"/>
  <c r="R32" i="20"/>
  <c r="Q35" i="20"/>
  <c r="Q45" i="20"/>
  <c r="Q27" i="20"/>
  <c r="R29" i="20"/>
  <c r="R35" i="20"/>
  <c r="Q16" i="20"/>
  <c r="P17" i="20"/>
  <c r="R19" i="20"/>
  <c r="Q29" i="20"/>
  <c r="Q14" i="19"/>
  <c r="P22" i="19"/>
  <c r="R17" i="19"/>
  <c r="Q22" i="19"/>
  <c r="R25" i="19"/>
  <c r="Q30" i="19"/>
  <c r="R43" i="19"/>
  <c r="Q46" i="19"/>
  <c r="Q25" i="19"/>
  <c r="P24" i="17"/>
  <c r="P49" i="17"/>
  <c r="Q27" i="17"/>
  <c r="Q41" i="17"/>
  <c r="R21" i="17"/>
  <c r="R22" i="17"/>
  <c r="Q24" i="17"/>
  <c r="R27" i="17"/>
  <c r="P32" i="17"/>
  <c r="P48" i="17"/>
  <c r="R24" i="17"/>
  <c r="Q48" i="17"/>
  <c r="P48" i="16"/>
  <c r="R48" i="16"/>
  <c r="P14" i="16"/>
  <c r="Q14" i="16"/>
  <c r="Q19" i="16"/>
  <c r="Q22" i="16"/>
  <c r="Q25" i="16"/>
  <c r="P37" i="16"/>
  <c r="R38" i="16"/>
  <c r="P46" i="16"/>
  <c r="P49" i="16"/>
  <c r="R14" i="16"/>
  <c r="R19" i="16"/>
  <c r="Q46" i="16"/>
  <c r="P16" i="15"/>
  <c r="Q19" i="15"/>
  <c r="P25" i="15"/>
  <c r="Q30" i="15"/>
  <c r="R20" i="15"/>
  <c r="R32" i="15"/>
  <c r="P23" i="15"/>
  <c r="R25" i="15"/>
  <c r="P20" i="15"/>
  <c r="R38" i="15"/>
  <c r="R40" i="15"/>
  <c r="P48" i="15"/>
  <c r="Q23" i="15"/>
  <c r="R13" i="15"/>
  <c r="P14" i="15"/>
  <c r="Q22" i="15"/>
  <c r="P40" i="15"/>
  <c r="J50" i="15"/>
  <c r="W10" i="15" s="1"/>
  <c r="Q13" i="15"/>
  <c r="Q14" i="15"/>
  <c r="R16" i="15"/>
  <c r="Q17" i="15"/>
  <c r="R19" i="15"/>
  <c r="R26" i="15"/>
  <c r="P32" i="15"/>
  <c r="P35" i="15"/>
  <c r="R37" i="15"/>
  <c r="P38" i="15"/>
  <c r="Q40" i="15"/>
  <c r="P41" i="15"/>
  <c r="Q43" i="15"/>
  <c r="Q45" i="15"/>
  <c r="Q46" i="15"/>
  <c r="R48" i="15"/>
  <c r="Q49" i="15"/>
  <c r="P17" i="16"/>
  <c r="P21" i="16"/>
  <c r="R22" i="16"/>
  <c r="R25" i="16"/>
  <c r="R29" i="16"/>
  <c r="Q30" i="16"/>
  <c r="R32" i="16"/>
  <c r="R33" i="16"/>
  <c r="R35" i="16"/>
  <c r="P38" i="16"/>
  <c r="P40" i="16"/>
  <c r="Q41" i="16"/>
  <c r="Q43" i="16"/>
  <c r="R46" i="16"/>
  <c r="R13" i="17"/>
  <c r="P14" i="17"/>
  <c r="Q16" i="17"/>
  <c r="P17" i="17"/>
  <c r="R19" i="17"/>
  <c r="R29" i="17"/>
  <c r="P30" i="17"/>
  <c r="R32" i="17"/>
  <c r="R37" i="17"/>
  <c r="Q37" i="17"/>
  <c r="R38" i="17"/>
  <c r="P43" i="17"/>
  <c r="Q43" i="17"/>
  <c r="Q49" i="17"/>
  <c r="R13" i="19"/>
  <c r="Q16" i="19"/>
  <c r="Q19" i="19"/>
  <c r="R30" i="19"/>
  <c r="P35" i="19"/>
  <c r="Q41" i="19"/>
  <c r="R41" i="19"/>
  <c r="R45" i="19"/>
  <c r="R17" i="15"/>
  <c r="R43" i="15"/>
  <c r="R46" i="15"/>
  <c r="R49" i="15"/>
  <c r="Q17" i="16"/>
  <c r="R30" i="16"/>
  <c r="Q38" i="16"/>
  <c r="R40" i="16"/>
  <c r="R41" i="16"/>
  <c r="R43" i="16"/>
  <c r="J50" i="17"/>
  <c r="R16" i="17"/>
  <c r="Q17" i="17"/>
  <c r="R30" i="17"/>
  <c r="P35" i="17"/>
  <c r="Q35" i="17"/>
  <c r="P41" i="17"/>
  <c r="P25" i="19"/>
  <c r="P27" i="19"/>
  <c r="Q32" i="19"/>
  <c r="R32" i="19"/>
  <c r="Q33" i="19"/>
  <c r="P25" i="20"/>
  <c r="Q25" i="20"/>
  <c r="P33" i="17"/>
  <c r="R45" i="17"/>
  <c r="R21" i="19"/>
  <c r="R22" i="19"/>
  <c r="R38" i="19"/>
  <c r="P17" i="15"/>
  <c r="P43" i="15"/>
  <c r="R45" i="15"/>
  <c r="P49" i="15"/>
  <c r="P32" i="16"/>
  <c r="Q35" i="16"/>
  <c r="P45" i="16"/>
  <c r="P16" i="17"/>
  <c r="Q19" i="17"/>
  <c r="Q21" i="17"/>
  <c r="Q33" i="17"/>
  <c r="P38" i="17"/>
  <c r="Q45" i="17"/>
  <c r="P19" i="19"/>
  <c r="R19" i="19"/>
  <c r="P33" i="19"/>
  <c r="Q40" i="19"/>
  <c r="R40" i="19"/>
  <c r="P22" i="20"/>
  <c r="R22" i="20"/>
  <c r="Q22" i="20"/>
  <c r="J50" i="19"/>
  <c r="R37" i="19"/>
  <c r="Q43" i="19"/>
  <c r="P49" i="19"/>
  <c r="P16" i="20"/>
  <c r="Q19" i="20"/>
  <c r="R24" i="20"/>
  <c r="R37" i="20"/>
  <c r="Q40" i="20"/>
  <c r="P41" i="20"/>
  <c r="R43" i="20"/>
  <c r="P48" i="20"/>
  <c r="R17" i="21"/>
  <c r="Q18" i="21"/>
  <c r="Q21" i="21"/>
  <c r="Q22" i="21"/>
  <c r="R25" i="21"/>
  <c r="Q26" i="21"/>
  <c r="Q29" i="21"/>
  <c r="Q30" i="21"/>
  <c r="R33" i="21"/>
  <c r="Q34" i="21"/>
  <c r="Q37" i="21"/>
  <c r="Q38" i="21"/>
  <c r="R41" i="21"/>
  <c r="P45" i="21"/>
  <c r="R47" i="21"/>
  <c r="R49" i="21"/>
  <c r="J50" i="22"/>
  <c r="Q14" i="22"/>
  <c r="P24" i="22"/>
  <c r="Q27" i="22"/>
  <c r="Q30" i="22"/>
  <c r="P40" i="22"/>
  <c r="Q43" i="22"/>
  <c r="Q46" i="22"/>
  <c r="J50" i="23"/>
  <c r="R14" i="23"/>
  <c r="Q16" i="23"/>
  <c r="R16" i="23"/>
  <c r="P17" i="23"/>
  <c r="P22" i="23"/>
  <c r="P33" i="23"/>
  <c r="Q33" i="23"/>
  <c r="Q48" i="23"/>
  <c r="P48" i="23"/>
  <c r="R48" i="23"/>
  <c r="R40" i="20"/>
  <c r="R13" i="21"/>
  <c r="R21" i="21"/>
  <c r="R29" i="21"/>
  <c r="R37" i="21"/>
  <c r="R14" i="22"/>
  <c r="R30" i="22"/>
  <c r="R46" i="22"/>
  <c r="Q48" i="22"/>
  <c r="R21" i="23"/>
  <c r="P35" i="23"/>
  <c r="Q35" i="23"/>
  <c r="R35" i="23"/>
  <c r="P49" i="23"/>
  <c r="R49" i="23"/>
  <c r="Q49" i="23"/>
  <c r="P19" i="23"/>
  <c r="R19" i="23"/>
  <c r="Q32" i="23"/>
  <c r="P32" i="23"/>
  <c r="R32" i="23"/>
  <c r="R37" i="23"/>
  <c r="Q37" i="23"/>
  <c r="R46" i="19"/>
  <c r="R21" i="20"/>
  <c r="R27" i="20"/>
  <c r="Q33" i="20"/>
  <c r="P40" i="20"/>
  <c r="Q43" i="20"/>
  <c r="J50" i="21"/>
  <c r="Q13" i="21"/>
  <c r="Q43" i="21"/>
  <c r="R48" i="21"/>
  <c r="R13" i="22"/>
  <c r="R16" i="22"/>
  <c r="R19" i="22"/>
  <c r="R29" i="22"/>
  <c r="R32" i="22"/>
  <c r="R35" i="22"/>
  <c r="R45" i="22"/>
  <c r="R48" i="22"/>
  <c r="R49" i="22"/>
  <c r="Q14" i="23"/>
  <c r="Q19" i="23"/>
  <c r="R13" i="23"/>
  <c r="R29" i="23"/>
  <c r="R38" i="23"/>
  <c r="R45" i="23"/>
  <c r="R19" i="24"/>
  <c r="R27" i="24"/>
  <c r="P30" i="24"/>
  <c r="P32" i="24"/>
  <c r="R35" i="24"/>
  <c r="P38" i="24"/>
  <c r="P40" i="24"/>
  <c r="P41" i="24"/>
  <c r="R45" i="24"/>
  <c r="Q46" i="24"/>
  <c r="R48" i="24"/>
  <c r="Q49" i="24"/>
  <c r="J50" i="25"/>
  <c r="R14" i="25"/>
  <c r="Q17" i="25"/>
  <c r="Q19" i="25"/>
  <c r="R25" i="25"/>
  <c r="R27" i="25"/>
  <c r="R35" i="25"/>
  <c r="P46" i="25"/>
  <c r="P49" i="25"/>
  <c r="R46" i="24"/>
  <c r="R49" i="24"/>
  <c r="R17" i="25"/>
  <c r="Q46" i="25"/>
  <c r="R48" i="25"/>
  <c r="Q49" i="25"/>
  <c r="R29" i="25"/>
  <c r="R37" i="25"/>
  <c r="R46" i="25"/>
  <c r="R49" i="25"/>
  <c r="J50" i="24"/>
  <c r="Q19" i="24"/>
  <c r="Q27" i="24"/>
  <c r="Q35" i="24"/>
  <c r="R43" i="24"/>
  <c r="P48" i="24"/>
  <c r="P49" i="24"/>
  <c r="R13" i="25"/>
  <c r="R16" i="25"/>
  <c r="R21" i="25"/>
  <c r="Q22" i="25"/>
  <c r="R24" i="25"/>
  <c r="Q27" i="25"/>
  <c r="Q35" i="25"/>
  <c r="R13" i="24"/>
  <c r="R14" i="20"/>
  <c r="Q14" i="20"/>
  <c r="P14" i="20"/>
  <c r="J50" i="20"/>
  <c r="R13" i="20"/>
  <c r="B15" i="26"/>
  <c r="P20" i="25"/>
  <c r="Q20" i="25"/>
  <c r="Q28" i="25"/>
  <c r="P31" i="25"/>
  <c r="Q36" i="25"/>
  <c r="Q15" i="25"/>
  <c r="R20" i="25"/>
  <c r="Q39" i="25"/>
  <c r="P42" i="25"/>
  <c r="P13" i="25"/>
  <c r="R15" i="25"/>
  <c r="Q18" i="25"/>
  <c r="P21" i="25"/>
  <c r="R23" i="25"/>
  <c r="Q26" i="25"/>
  <c r="P29" i="25"/>
  <c r="R31" i="25"/>
  <c r="Q34" i="25"/>
  <c r="P37" i="25"/>
  <c r="R39" i="25"/>
  <c r="Q42" i="25"/>
  <c r="P45" i="25"/>
  <c r="R47" i="25"/>
  <c r="P28" i="25"/>
  <c r="P44" i="25"/>
  <c r="P15" i="25"/>
  <c r="P39" i="25"/>
  <c r="P18" i="25"/>
  <c r="Q23" i="25"/>
  <c r="P26" i="25"/>
  <c r="Q31" i="25"/>
  <c r="R36" i="25"/>
  <c r="Q13" i="25"/>
  <c r="P16" i="25"/>
  <c r="R18" i="25"/>
  <c r="Q21" i="25"/>
  <c r="P24" i="25"/>
  <c r="R26" i="25"/>
  <c r="Q29" i="25"/>
  <c r="P32" i="25"/>
  <c r="R34" i="25"/>
  <c r="Q37" i="25"/>
  <c r="P40" i="25"/>
  <c r="R42" i="25"/>
  <c r="Q45" i="25"/>
  <c r="P48" i="25"/>
  <c r="P23" i="25"/>
  <c r="Q44" i="25"/>
  <c r="P47" i="25"/>
  <c r="P34" i="25"/>
  <c r="Q47" i="25"/>
  <c r="Q20" i="24"/>
  <c r="P23" i="24"/>
  <c r="Q28" i="24"/>
  <c r="P31" i="24"/>
  <c r="Q36" i="24"/>
  <c r="P39" i="24"/>
  <c r="Q44" i="24"/>
  <c r="P47" i="24"/>
  <c r="Q15" i="24"/>
  <c r="P18" i="24"/>
  <c r="R20" i="24"/>
  <c r="Q23" i="24"/>
  <c r="P26" i="24"/>
  <c r="R28" i="24"/>
  <c r="Q31" i="24"/>
  <c r="P34" i="24"/>
  <c r="R36" i="24"/>
  <c r="Q39" i="24"/>
  <c r="P42" i="24"/>
  <c r="R44" i="24"/>
  <c r="Q47" i="24"/>
  <c r="P20" i="24"/>
  <c r="P36" i="24"/>
  <c r="P29" i="24"/>
  <c r="R31" i="24"/>
  <c r="Q34" i="24"/>
  <c r="Q13" i="24"/>
  <c r="R18" i="24"/>
  <c r="Q21" i="24"/>
  <c r="R26" i="24"/>
  <c r="Q29" i="24"/>
  <c r="R34" i="24"/>
  <c r="Q37" i="24"/>
  <c r="R42" i="24"/>
  <c r="Q45" i="24"/>
  <c r="P44" i="24"/>
  <c r="P15" i="24"/>
  <c r="P13" i="24"/>
  <c r="R15" i="24"/>
  <c r="Q18" i="24"/>
  <c r="P21" i="24"/>
  <c r="R23" i="24"/>
  <c r="Q26" i="24"/>
  <c r="P37" i="24"/>
  <c r="R39" i="24"/>
  <c r="Q42" i="24"/>
  <c r="P45" i="24"/>
  <c r="R47" i="24"/>
  <c r="P20" i="23"/>
  <c r="P15" i="23"/>
  <c r="P39" i="23"/>
  <c r="R41" i="23"/>
  <c r="Q44" i="23"/>
  <c r="Q15" i="23"/>
  <c r="P18" i="23"/>
  <c r="R20" i="23"/>
  <c r="Q23" i="23"/>
  <c r="P26" i="23"/>
  <c r="R28" i="23"/>
  <c r="Q31" i="23"/>
  <c r="P34" i="23"/>
  <c r="R36" i="23"/>
  <c r="Q39" i="23"/>
  <c r="P42" i="23"/>
  <c r="R44" i="23"/>
  <c r="Q47" i="23"/>
  <c r="P28" i="23"/>
  <c r="P36" i="23"/>
  <c r="P44" i="23"/>
  <c r="R17" i="23"/>
  <c r="Q20" i="23"/>
  <c r="P23" i="23"/>
  <c r="R25" i="23"/>
  <c r="Q28" i="23"/>
  <c r="P31" i="23"/>
  <c r="R33" i="23"/>
  <c r="Q36" i="23"/>
  <c r="P47" i="23"/>
  <c r="P13" i="23"/>
  <c r="R15" i="23"/>
  <c r="Q18" i="23"/>
  <c r="P21" i="23"/>
  <c r="R23" i="23"/>
  <c r="Q26" i="23"/>
  <c r="P29" i="23"/>
  <c r="R31" i="23"/>
  <c r="Q34" i="23"/>
  <c r="P37" i="23"/>
  <c r="R39" i="23"/>
  <c r="Q42" i="23"/>
  <c r="P45" i="23"/>
  <c r="R47" i="23"/>
  <c r="R18" i="23"/>
  <c r="R26" i="23"/>
  <c r="R34" i="23"/>
  <c r="R42" i="23"/>
  <c r="P36" i="22"/>
  <c r="P44" i="22"/>
  <c r="P15" i="22"/>
  <c r="P23" i="22"/>
  <c r="R25" i="22"/>
  <c r="Q28" i="22"/>
  <c r="P31" i="22"/>
  <c r="R33" i="22"/>
  <c r="Q36" i="22"/>
  <c r="P47" i="22"/>
  <c r="Q15" i="22"/>
  <c r="P18" i="22"/>
  <c r="R20" i="22"/>
  <c r="Q23" i="22"/>
  <c r="P26" i="22"/>
  <c r="R28" i="22"/>
  <c r="Q31" i="22"/>
  <c r="P34" i="22"/>
  <c r="R36" i="22"/>
  <c r="Q39" i="22"/>
  <c r="P42" i="22"/>
  <c r="R44" i="22"/>
  <c r="Q47" i="22"/>
  <c r="P20" i="22"/>
  <c r="P28" i="22"/>
  <c r="R17" i="22"/>
  <c r="Q20" i="22"/>
  <c r="P39" i="22"/>
  <c r="R41" i="22"/>
  <c r="Q44" i="22"/>
  <c r="P13" i="22"/>
  <c r="R15" i="22"/>
  <c r="Q18" i="22"/>
  <c r="P21" i="22"/>
  <c r="R23" i="22"/>
  <c r="Q26" i="22"/>
  <c r="P29" i="22"/>
  <c r="R31" i="22"/>
  <c r="Q34" i="22"/>
  <c r="P37" i="22"/>
  <c r="R39" i="22"/>
  <c r="Q42" i="22"/>
  <c r="P45" i="22"/>
  <c r="R47" i="22"/>
  <c r="R18" i="22"/>
  <c r="R26" i="22"/>
  <c r="R34" i="22"/>
  <c r="R42" i="22"/>
  <c r="R27" i="21"/>
  <c r="R35" i="21"/>
  <c r="R43" i="21"/>
  <c r="P20" i="21"/>
  <c r="R22" i="21"/>
  <c r="P44" i="21"/>
  <c r="R46" i="21"/>
  <c r="P15" i="21"/>
  <c r="Q20" i="21"/>
  <c r="P23" i="21"/>
  <c r="Q28" i="21"/>
  <c r="P31" i="21"/>
  <c r="Q36" i="21"/>
  <c r="P39" i="21"/>
  <c r="Q44" i="21"/>
  <c r="P47" i="21"/>
  <c r="R19" i="21"/>
  <c r="R14" i="21"/>
  <c r="P28" i="21"/>
  <c r="R30" i="21"/>
  <c r="P36" i="21"/>
  <c r="R38" i="21"/>
  <c r="Q15" i="21"/>
  <c r="P18" i="21"/>
  <c r="R20" i="21"/>
  <c r="Q23" i="21"/>
  <c r="P26" i="21"/>
  <c r="R28" i="21"/>
  <c r="Q31" i="21"/>
  <c r="P34" i="21"/>
  <c r="R36" i="21"/>
  <c r="Q39" i="21"/>
  <c r="P42" i="21"/>
  <c r="R44" i="21"/>
  <c r="Q47" i="21"/>
  <c r="P28" i="20"/>
  <c r="P15" i="20"/>
  <c r="R17" i="20"/>
  <c r="Q20" i="20"/>
  <c r="P23" i="20"/>
  <c r="R25" i="20"/>
  <c r="Q28" i="20"/>
  <c r="R41" i="20"/>
  <c r="Q44" i="20"/>
  <c r="P47" i="20"/>
  <c r="R49" i="20"/>
  <c r="Q15" i="20"/>
  <c r="P18" i="20"/>
  <c r="R20" i="20"/>
  <c r="Q23" i="20"/>
  <c r="P26" i="20"/>
  <c r="R28" i="20"/>
  <c r="Q31" i="20"/>
  <c r="P34" i="20"/>
  <c r="R36" i="20"/>
  <c r="Q39" i="20"/>
  <c r="P42" i="20"/>
  <c r="R44" i="20"/>
  <c r="Q47" i="20"/>
  <c r="P36" i="20"/>
  <c r="P44" i="20"/>
  <c r="P31" i="20"/>
  <c r="R33" i="20"/>
  <c r="Q36" i="20"/>
  <c r="P39" i="20"/>
  <c r="P13" i="20"/>
  <c r="R15" i="20"/>
  <c r="Q18" i="20"/>
  <c r="P21" i="20"/>
  <c r="R23" i="20"/>
  <c r="Q26" i="20"/>
  <c r="P29" i="20"/>
  <c r="R31" i="20"/>
  <c r="Q34" i="20"/>
  <c r="P37" i="20"/>
  <c r="R39" i="20"/>
  <c r="Q42" i="20"/>
  <c r="P45" i="20"/>
  <c r="R47" i="20"/>
  <c r="P20" i="20"/>
  <c r="R18" i="20"/>
  <c r="R26" i="20"/>
  <c r="R34" i="20"/>
  <c r="R42" i="20"/>
  <c r="P44" i="19"/>
  <c r="Q20" i="19"/>
  <c r="Q36" i="19"/>
  <c r="P39" i="19"/>
  <c r="Q44" i="19"/>
  <c r="P47" i="19"/>
  <c r="Q15" i="19"/>
  <c r="P18" i="19"/>
  <c r="R20" i="19"/>
  <c r="Q23" i="19"/>
  <c r="P26" i="19"/>
  <c r="R28" i="19"/>
  <c r="Q31" i="19"/>
  <c r="P34" i="19"/>
  <c r="R36" i="19"/>
  <c r="Q39" i="19"/>
  <c r="P42" i="19"/>
  <c r="R44" i="19"/>
  <c r="Q47" i="19"/>
  <c r="P28" i="19"/>
  <c r="P36" i="19"/>
  <c r="P23" i="19"/>
  <c r="Q28" i="19"/>
  <c r="P31" i="19"/>
  <c r="P13" i="19"/>
  <c r="R15" i="19"/>
  <c r="Q18" i="19"/>
  <c r="P21" i="19"/>
  <c r="R23" i="19"/>
  <c r="Q26" i="19"/>
  <c r="P37" i="19"/>
  <c r="R39" i="19"/>
  <c r="Q42" i="19"/>
  <c r="P45" i="19"/>
  <c r="R47" i="19"/>
  <c r="Q13" i="19"/>
  <c r="P16" i="19"/>
  <c r="R18" i="19"/>
  <c r="Q21" i="19"/>
  <c r="P24" i="19"/>
  <c r="R26" i="19"/>
  <c r="Q29" i="19"/>
  <c r="P32" i="19"/>
  <c r="R34" i="19"/>
  <c r="Q37" i="19"/>
  <c r="P40" i="19"/>
  <c r="R42" i="19"/>
  <c r="Q45" i="19"/>
  <c r="P48" i="19"/>
  <c r="P15" i="19"/>
  <c r="P29" i="19"/>
  <c r="R31" i="19"/>
  <c r="Q34" i="19"/>
  <c r="P44" i="17"/>
  <c r="R17" i="17"/>
  <c r="Q20" i="17"/>
  <c r="Q36" i="17"/>
  <c r="P39" i="17"/>
  <c r="Q44" i="17"/>
  <c r="P47" i="17"/>
  <c r="R49" i="17"/>
  <c r="Q15" i="17"/>
  <c r="P18" i="17"/>
  <c r="R20" i="17"/>
  <c r="Q23" i="17"/>
  <c r="P26" i="17"/>
  <c r="R28" i="17"/>
  <c r="Q31" i="17"/>
  <c r="P34" i="17"/>
  <c r="R36" i="17"/>
  <c r="Q39" i="17"/>
  <c r="P42" i="17"/>
  <c r="R44" i="17"/>
  <c r="Q47" i="17"/>
  <c r="P20" i="17"/>
  <c r="P28" i="17"/>
  <c r="P15" i="17"/>
  <c r="P23" i="17"/>
  <c r="R25" i="17"/>
  <c r="Q28" i="17"/>
  <c r="P31" i="17"/>
  <c r="P13" i="17"/>
  <c r="R15" i="17"/>
  <c r="Q18" i="17"/>
  <c r="P21" i="17"/>
  <c r="R23" i="17"/>
  <c r="Q26" i="17"/>
  <c r="P29" i="17"/>
  <c r="R31" i="17"/>
  <c r="Q34" i="17"/>
  <c r="P37" i="17"/>
  <c r="R39" i="17"/>
  <c r="Q42" i="17"/>
  <c r="P45" i="17"/>
  <c r="R47" i="17"/>
  <c r="P36" i="17"/>
  <c r="R18" i="17"/>
  <c r="R26" i="17"/>
  <c r="R34" i="17"/>
  <c r="R42" i="17"/>
  <c r="R39" i="16"/>
  <c r="Q39" i="16"/>
  <c r="P39" i="16"/>
  <c r="J50" i="16"/>
  <c r="W10" i="16" s="1"/>
  <c r="R20" i="16"/>
  <c r="Q20" i="16"/>
  <c r="R44" i="16"/>
  <c r="Q44" i="16"/>
  <c r="P44" i="16"/>
  <c r="R36" i="16"/>
  <c r="Q36" i="16"/>
  <c r="P36" i="16"/>
  <c r="P20" i="16"/>
  <c r="R28" i="16"/>
  <c r="Q28" i="16"/>
  <c r="P28" i="16"/>
  <c r="R13" i="16"/>
  <c r="R15" i="16"/>
  <c r="Q15" i="16"/>
  <c r="P15" i="16"/>
  <c r="R18" i="16"/>
  <c r="Q18" i="16"/>
  <c r="P18" i="16"/>
  <c r="R47" i="16"/>
  <c r="Q47" i="16"/>
  <c r="P47" i="16"/>
  <c r="R21" i="16"/>
  <c r="R23" i="16"/>
  <c r="Q23" i="16"/>
  <c r="P23" i="16"/>
  <c r="R31" i="16"/>
  <c r="Q31" i="16"/>
  <c r="P31" i="16"/>
  <c r="P26" i="16"/>
  <c r="P34" i="16"/>
  <c r="P42" i="16"/>
  <c r="Q26" i="16"/>
  <c r="Q34" i="16"/>
  <c r="Q42" i="16"/>
  <c r="Q13" i="16"/>
  <c r="Q21" i="16"/>
  <c r="R26" i="16"/>
  <c r="Q29" i="16"/>
  <c r="R34" i="16"/>
  <c r="Q37" i="16"/>
  <c r="R42" i="16"/>
  <c r="Q45" i="16"/>
  <c r="P21" i="15"/>
  <c r="P29" i="15"/>
  <c r="P36" i="15"/>
  <c r="P44" i="15"/>
  <c r="P24" i="15"/>
  <c r="Q29" i="15"/>
  <c r="P39" i="15"/>
  <c r="Q44" i="15"/>
  <c r="P47" i="15"/>
  <c r="Q15" i="15"/>
  <c r="P18" i="15"/>
  <c r="R21" i="15"/>
  <c r="Q24" i="15"/>
  <c r="P27" i="15"/>
  <c r="R29" i="15"/>
  <c r="Q31" i="15"/>
  <c r="P34" i="15"/>
  <c r="R36" i="15"/>
  <c r="Q39" i="15"/>
  <c r="P42" i="15"/>
  <c r="R44" i="15"/>
  <c r="Q47" i="15"/>
  <c r="P15" i="15"/>
  <c r="Q21" i="15"/>
  <c r="P31" i="15"/>
  <c r="Q36" i="15"/>
  <c r="P13" i="15"/>
  <c r="R15" i="15"/>
  <c r="Q18" i="15"/>
  <c r="P22" i="15"/>
  <c r="R24" i="15"/>
  <c r="Q27" i="15"/>
  <c r="P30" i="15"/>
  <c r="R31" i="15"/>
  <c r="Q34" i="15"/>
  <c r="P37" i="15"/>
  <c r="R39" i="15"/>
  <c r="Q42" i="15"/>
  <c r="P45" i="15"/>
  <c r="R47" i="15"/>
  <c r="R18" i="15"/>
  <c r="R27" i="15"/>
  <c r="R34" i="15"/>
  <c r="R42" i="15"/>
  <c r="N13" i="14"/>
  <c r="O13" i="14" s="1"/>
  <c r="M13" i="14"/>
  <c r="L13" i="14"/>
  <c r="J13" i="14"/>
  <c r="J50" i="14" s="1"/>
  <c r="W10" i="14" s="1"/>
  <c r="J49" i="13"/>
  <c r="J48" i="13"/>
  <c r="J47" i="13"/>
  <c r="J46" i="13"/>
  <c r="J45" i="13"/>
  <c r="J44" i="13"/>
  <c r="J43" i="13"/>
  <c r="J42" i="13"/>
  <c r="J41" i="13"/>
  <c r="J40" i="13"/>
  <c r="J39" i="13"/>
  <c r="J38" i="13"/>
  <c r="J37" i="13"/>
  <c r="J36" i="13"/>
  <c r="J35" i="13"/>
  <c r="J34" i="13"/>
  <c r="J33" i="13"/>
  <c r="J32" i="13"/>
  <c r="J31" i="13"/>
  <c r="J30" i="13"/>
  <c r="J29" i="13"/>
  <c r="N13" i="13"/>
  <c r="O13" i="13" s="1"/>
  <c r="M13" i="13"/>
  <c r="L13" i="13"/>
  <c r="F4" i="26"/>
  <c r="F9" i="26"/>
  <c r="F13" i="26"/>
  <c r="F7" i="26"/>
  <c r="F11" i="26"/>
  <c r="F10" i="26"/>
  <c r="F12" i="26"/>
  <c r="F3" i="26"/>
  <c r="F6" i="26"/>
  <c r="F5" i="26"/>
  <c r="F8" i="26"/>
  <c r="E5" i="26" l="1"/>
  <c r="E11" i="26"/>
  <c r="E12" i="26"/>
  <c r="E6" i="26"/>
  <c r="E13" i="26"/>
  <c r="E4" i="26"/>
  <c r="E8" i="26"/>
  <c r="E10" i="26"/>
  <c r="E3" i="26"/>
  <c r="E7" i="26"/>
  <c r="E9" i="26"/>
  <c r="R13" i="13"/>
  <c r="R13" i="14"/>
  <c r="J50" i="13"/>
  <c r="P13" i="13"/>
  <c r="Q13" i="14"/>
  <c r="P13" i="14"/>
  <c r="Q13" i="13"/>
  <c r="D2" i="2" l="1"/>
  <c r="D3" i="2"/>
  <c r="D4" i="2"/>
  <c r="D5" i="2"/>
  <c r="D8" i="2"/>
  <c r="D9" i="2"/>
  <c r="D10" i="2"/>
  <c r="D11" i="2"/>
  <c r="D12" i="2"/>
  <c r="D1" i="2"/>
  <c r="D7" i="2" l="1"/>
  <c r="D6" i="2"/>
  <c r="S14" i="14" l="1"/>
  <c r="I14" i="14" s="1"/>
  <c r="T14" i="14"/>
  <c r="S16" i="13"/>
  <c r="I16" i="13" s="1"/>
  <c r="T20" i="14"/>
  <c r="S29" i="13"/>
  <c r="I29" i="13" s="1"/>
  <c r="S33" i="13"/>
  <c r="I33" i="13" s="1"/>
  <c r="T36" i="13"/>
  <c r="T22" i="13"/>
  <c r="S26" i="14"/>
  <c r="I26" i="14" s="1"/>
  <c r="T31" i="13"/>
  <c r="T27" i="14"/>
  <c r="T22" i="14"/>
  <c r="S24" i="13"/>
  <c r="I24" i="13" s="1"/>
  <c r="T27" i="13"/>
  <c r="T19" i="14"/>
  <c r="S19" i="14"/>
  <c r="I19" i="14" s="1"/>
  <c r="S40" i="13"/>
  <c r="I40" i="13" s="1"/>
  <c r="S15" i="13"/>
  <c r="I15" i="13" s="1"/>
  <c r="T18" i="14"/>
  <c r="T29" i="14"/>
  <c r="T30" i="13"/>
  <c r="S38" i="14"/>
  <c r="I38" i="14" s="1"/>
  <c r="T44" i="13"/>
  <c r="S23" i="13"/>
  <c r="I23" i="13" s="1"/>
  <c r="T17" i="14"/>
  <c r="T41" i="13"/>
  <c r="T31" i="14"/>
  <c r="S31" i="14"/>
  <c r="I31" i="14" s="1"/>
  <c r="S21" i="13"/>
  <c r="I21" i="13" s="1"/>
  <c r="S20" i="14"/>
  <c r="I20" i="14" s="1"/>
  <c r="S41" i="14"/>
  <c r="I41" i="14" s="1"/>
  <c r="T39" i="14"/>
  <c r="S25" i="14"/>
  <c r="I25" i="14" s="1"/>
  <c r="S31" i="13"/>
  <c r="I31" i="13" s="1"/>
  <c r="S49" i="14"/>
  <c r="I49" i="14" s="1"/>
  <c r="S34" i="14"/>
  <c r="I34" i="14" s="1"/>
  <c r="T29" i="13"/>
  <c r="S24" i="19"/>
  <c r="I24" i="19" s="1"/>
  <c r="S46" i="16"/>
  <c r="I46" i="16" s="1"/>
  <c r="S45" i="24"/>
  <c r="I45" i="24" s="1"/>
  <c r="S42" i="23"/>
  <c r="I42" i="23" s="1"/>
  <c r="S37" i="17"/>
  <c r="I37" i="17" s="1"/>
  <c r="S30" i="15"/>
  <c r="I30" i="15" s="1"/>
  <c r="S32" i="19"/>
  <c r="I32" i="19" s="1"/>
  <c r="S49" i="20"/>
  <c r="I49" i="20" s="1"/>
  <c r="S45" i="22"/>
  <c r="I45" i="22" s="1"/>
  <c r="T43" i="17"/>
  <c r="T31" i="22"/>
  <c r="T48" i="23"/>
  <c r="T16" i="16"/>
  <c r="T25" i="22"/>
  <c r="S32" i="24"/>
  <c r="I32" i="24" s="1"/>
  <c r="T13" i="25"/>
  <c r="T41" i="20"/>
  <c r="T19" i="19"/>
  <c r="T37" i="17"/>
  <c r="T25" i="15"/>
  <c r="S25" i="16"/>
  <c r="I25" i="16" s="1"/>
  <c r="S34" i="24"/>
  <c r="I34" i="24" s="1"/>
  <c r="S17" i="16"/>
  <c r="I17" i="16" s="1"/>
  <c r="T45" i="25"/>
  <c r="S22" i="19"/>
  <c r="I22" i="19" s="1"/>
  <c r="S49" i="23"/>
  <c r="I49" i="23" s="1"/>
  <c r="S26" i="20"/>
  <c r="I26" i="20" s="1"/>
  <c r="S26" i="22"/>
  <c r="I26" i="22" s="1"/>
  <c r="S38" i="19"/>
  <c r="I38" i="19" s="1"/>
  <c r="S45" i="21"/>
  <c r="I45" i="21" s="1"/>
  <c r="T19" i="23"/>
  <c r="S43" i="19"/>
  <c r="I43" i="19" s="1"/>
  <c r="T28" i="15"/>
  <c r="T15" i="22"/>
  <c r="S29" i="23"/>
  <c r="I29" i="23" s="1"/>
  <c r="T21" i="25"/>
  <c r="T21" i="20"/>
  <c r="T22" i="19"/>
  <c r="S26" i="16"/>
  <c r="I26" i="16" s="1"/>
  <c r="S36" i="24"/>
  <c r="I36" i="24" s="1"/>
  <c r="S42" i="22"/>
  <c r="I42" i="22" s="1"/>
  <c r="S22" i="16"/>
  <c r="I22" i="16" s="1"/>
  <c r="S26" i="25"/>
  <c r="I26" i="25" s="1"/>
  <c r="S16" i="15"/>
  <c r="I16" i="15" s="1"/>
  <c r="S33" i="20"/>
  <c r="I33" i="20" s="1"/>
  <c r="S46" i="25"/>
  <c r="I46" i="25" s="1"/>
  <c r="T37" i="19"/>
  <c r="T47" i="21"/>
  <c r="T18" i="24"/>
  <c r="T32" i="20"/>
  <c r="S40" i="21"/>
  <c r="I40" i="21" s="1"/>
  <c r="S43" i="22"/>
  <c r="I43" i="22" s="1"/>
  <c r="S40" i="24"/>
  <c r="I40" i="24" s="1"/>
  <c r="T13" i="20"/>
  <c r="T41" i="19"/>
  <c r="S37" i="16"/>
  <c r="I37" i="16" s="1"/>
  <c r="T40" i="15"/>
  <c r="T32" i="16"/>
  <c r="T37" i="15"/>
  <c r="S49" i="25"/>
  <c r="I49" i="25" s="1"/>
  <c r="T44" i="19"/>
  <c r="T34" i="24"/>
  <c r="T26" i="20"/>
  <c r="T49" i="15"/>
  <c r="S21" i="17"/>
  <c r="I21" i="17" s="1"/>
  <c r="S35" i="19"/>
  <c r="I35" i="19" s="1"/>
  <c r="T40" i="16"/>
  <c r="T31" i="19"/>
  <c r="T41" i="15"/>
  <c r="S32" i="20"/>
  <c r="I32" i="20" s="1"/>
  <c r="T39" i="21"/>
  <c r="S19" i="23"/>
  <c r="I19" i="23" s="1"/>
  <c r="T19" i="22"/>
  <c r="S35" i="17"/>
  <c r="I35" i="17" s="1"/>
  <c r="T26" i="25"/>
  <c r="T29" i="25"/>
  <c r="T23" i="25"/>
  <c r="T16" i="15"/>
  <c r="T23" i="17"/>
  <c r="S14" i="19"/>
  <c r="I14" i="19" s="1"/>
  <c r="T21" i="17"/>
  <c r="S27" i="19"/>
  <c r="I27" i="19" s="1"/>
  <c r="T49" i="19"/>
  <c r="T40" i="21"/>
  <c r="T18" i="21"/>
  <c r="T15" i="20"/>
  <c r="T27" i="22"/>
  <c r="T23" i="23"/>
  <c r="T35" i="24"/>
  <c r="S25" i="25"/>
  <c r="I25" i="25" s="1"/>
  <c r="S21" i="25"/>
  <c r="I21" i="25" s="1"/>
  <c r="S37" i="19"/>
  <c r="I37" i="19" s="1"/>
  <c r="S16" i="16"/>
  <c r="I16" i="16" s="1"/>
  <c r="T17" i="17"/>
  <c r="T43" i="15"/>
  <c r="T25" i="17"/>
  <c r="T22" i="15"/>
  <c r="T40" i="17"/>
  <c r="S45" i="17"/>
  <c r="I45" i="17" s="1"/>
  <c r="T34" i="20"/>
  <c r="S48" i="21"/>
  <c r="I48" i="21" s="1"/>
  <c r="T37" i="22"/>
  <c r="T32" i="22"/>
  <c r="T17" i="20"/>
  <c r="T39" i="22"/>
  <c r="T42" i="23"/>
  <c r="S16" i="25"/>
  <c r="I16" i="25" s="1"/>
  <c r="S48" i="24"/>
  <c r="I48" i="24" s="1"/>
  <c r="T35" i="25"/>
  <c r="S43" i="15"/>
  <c r="I43" i="15" s="1"/>
  <c r="S16" i="20"/>
  <c r="I16" i="20" s="1"/>
  <c r="S48" i="25"/>
  <c r="I48" i="25" s="1"/>
  <c r="S40" i="23"/>
  <c r="I40" i="23" s="1"/>
  <c r="T16" i="17"/>
  <c r="S22" i="15"/>
  <c r="I22" i="15" s="1"/>
  <c r="T42" i="17"/>
  <c r="T24" i="16"/>
  <c r="S33" i="17"/>
  <c r="I33" i="17" s="1"/>
  <c r="T14" i="19"/>
  <c r="T35" i="20"/>
  <c r="T17" i="22"/>
  <c r="T25" i="20"/>
  <c r="T35" i="22"/>
  <c r="T46" i="19"/>
  <c r="T24" i="22"/>
  <c r="T43" i="23"/>
  <c r="T40" i="25"/>
  <c r="T27" i="24"/>
  <c r="T29" i="24"/>
  <c r="T20" i="25"/>
  <c r="T14" i="23"/>
  <c r="T46" i="23"/>
  <c r="S44" i="23"/>
  <c r="I44" i="23" s="1"/>
  <c r="T46" i="22"/>
  <c r="S41" i="13"/>
  <c r="I41" i="13" s="1"/>
  <c r="S36" i="13"/>
  <c r="I36" i="13" s="1"/>
  <c r="S42" i="13"/>
  <c r="I42" i="13" s="1"/>
  <c r="T16" i="14"/>
  <c r="S45" i="13"/>
  <c r="I45" i="13" s="1"/>
  <c r="S44" i="13"/>
  <c r="I44" i="13" s="1"/>
  <c r="S25" i="13"/>
  <c r="I25" i="13" s="1"/>
  <c r="S46" i="14"/>
  <c r="I46" i="14" s="1"/>
  <c r="T23" i="13"/>
  <c r="S43" i="14"/>
  <c r="I43" i="14" s="1"/>
  <c r="S49" i="13"/>
  <c r="I49" i="13" s="1"/>
  <c r="T18" i="13"/>
  <c r="T19" i="13"/>
  <c r="T15" i="14"/>
  <c r="S36" i="14"/>
  <c r="I36" i="14" s="1"/>
  <c r="S37" i="13"/>
  <c r="I37" i="13" s="1"/>
  <c r="T45" i="13"/>
  <c r="S45" i="14"/>
  <c r="I45" i="14" s="1"/>
  <c r="S33" i="14"/>
  <c r="I33" i="14" s="1"/>
  <c r="S30" i="13"/>
  <c r="I30" i="13" s="1"/>
  <c r="T36" i="14"/>
  <c r="T16" i="13"/>
  <c r="T28" i="13"/>
  <c r="T24" i="14"/>
  <c r="T33" i="13"/>
  <c r="S16" i="14"/>
  <c r="I16" i="14" s="1"/>
  <c r="T26" i="14"/>
  <c r="T20" i="13"/>
  <c r="S22" i="14"/>
  <c r="I22" i="14" s="1"/>
  <c r="S26" i="13"/>
  <c r="I26" i="13" s="1"/>
  <c r="T34" i="14"/>
  <c r="S17" i="14"/>
  <c r="I17" i="14" s="1"/>
  <c r="T40" i="13"/>
  <c r="T33" i="14"/>
  <c r="S34" i="13"/>
  <c r="I34" i="13" s="1"/>
  <c r="T23" i="14"/>
  <c r="S19" i="16"/>
  <c r="I19" i="16" s="1"/>
  <c r="S18" i="17"/>
  <c r="I18" i="17" s="1"/>
  <c r="S25" i="15"/>
  <c r="I25" i="15" s="1"/>
  <c r="S18" i="24"/>
  <c r="I18" i="24" s="1"/>
  <c r="S49" i="17"/>
  <c r="I49" i="17" s="1"/>
  <c r="T48" i="17"/>
  <c r="S46" i="19"/>
  <c r="I46" i="19" s="1"/>
  <c r="S33" i="21"/>
  <c r="I33" i="21" s="1"/>
  <c r="T32" i="23"/>
  <c r="T28" i="21"/>
  <c r="S24" i="23"/>
  <c r="I24" i="23" s="1"/>
  <c r="S19" i="25"/>
  <c r="I19" i="25" s="1"/>
  <c r="T33" i="21"/>
  <c r="T13" i="23"/>
  <c r="S16" i="24"/>
  <c r="I16" i="24" s="1"/>
  <c r="T31" i="25"/>
  <c r="T39" i="20"/>
  <c r="T15" i="17"/>
  <c r="T33" i="16"/>
  <c r="T39" i="15"/>
  <c r="S34" i="16"/>
  <c r="I34" i="16" s="1"/>
  <c r="S41" i="24"/>
  <c r="I41" i="24" s="1"/>
  <c r="S26" i="23"/>
  <c r="I26" i="23" s="1"/>
  <c r="S29" i="17"/>
  <c r="I29" i="17" s="1"/>
  <c r="S41" i="25"/>
  <c r="I41" i="25" s="1"/>
  <c r="S25" i="19"/>
  <c r="I25" i="19" s="1"/>
  <c r="S41" i="20"/>
  <c r="I41" i="20" s="1"/>
  <c r="T47" i="22"/>
  <c r="T49" i="16"/>
  <c r="T36" i="21"/>
  <c r="S25" i="23"/>
  <c r="I25" i="23" s="1"/>
  <c r="T35" i="19"/>
  <c r="T42" i="15"/>
  <c r="S25" i="22"/>
  <c r="I25" i="22" s="1"/>
  <c r="T33" i="23"/>
  <c r="S33" i="25"/>
  <c r="I33" i="25" s="1"/>
  <c r="S35" i="20"/>
  <c r="I35" i="20" s="1"/>
  <c r="T26" i="19"/>
  <c r="S38" i="16"/>
  <c r="I38" i="16" s="1"/>
  <c r="S42" i="24"/>
  <c r="I42" i="24" s="1"/>
  <c r="S34" i="23"/>
  <c r="I34" i="23" s="1"/>
  <c r="S34" i="17"/>
  <c r="I34" i="17" s="1"/>
  <c r="S42" i="25"/>
  <c r="I42" i="25" s="1"/>
  <c r="S26" i="19"/>
  <c r="I26" i="19" s="1"/>
  <c r="S42" i="20"/>
  <c r="I42" i="20" s="1"/>
  <c r="T19" i="15"/>
  <c r="T18" i="16"/>
  <c r="T29" i="22"/>
  <c r="T26" i="24"/>
  <c r="T32" i="17"/>
  <c r="S32" i="21"/>
  <c r="I32" i="21" s="1"/>
  <c r="T17" i="23"/>
  <c r="T22" i="25"/>
  <c r="T23" i="20"/>
  <c r="S29" i="19"/>
  <c r="I29" i="19" s="1"/>
  <c r="T48" i="15"/>
  <c r="T24" i="15"/>
  <c r="S29" i="16"/>
  <c r="I29" i="16" s="1"/>
  <c r="S30" i="25"/>
  <c r="I30" i="25" s="1"/>
  <c r="S19" i="20"/>
  <c r="I19" i="20" s="1"/>
  <c r="S16" i="21"/>
  <c r="I16" i="21" s="1"/>
  <c r="S48" i="19"/>
  <c r="I48" i="19" s="1"/>
  <c r="T38" i="19"/>
  <c r="T15" i="15"/>
  <c r="T27" i="17"/>
  <c r="S45" i="19"/>
  <c r="I45" i="19" s="1"/>
  <c r="T45" i="16"/>
  <c r="S25" i="20"/>
  <c r="I25" i="20" s="1"/>
  <c r="T42" i="19"/>
  <c r="T36" i="20"/>
  <c r="S17" i="22"/>
  <c r="I17" i="22" s="1"/>
  <c r="T27" i="20"/>
  <c r="S42" i="16"/>
  <c r="I42" i="16" s="1"/>
  <c r="S27" i="15"/>
  <c r="I27" i="15" s="1"/>
  <c r="S24" i="21"/>
  <c r="I24" i="21" s="1"/>
  <c r="T18" i="15"/>
  <c r="T30" i="25"/>
  <c r="T30" i="15"/>
  <c r="T28" i="17"/>
  <c r="T45" i="19"/>
  <c r="S32" i="17"/>
  <c r="I32" i="17" s="1"/>
  <c r="S16" i="17"/>
  <c r="I16" i="17" s="1"/>
  <c r="T33" i="20"/>
  <c r="S19" i="22"/>
  <c r="I19" i="22" s="1"/>
  <c r="S37" i="21"/>
  <c r="I37" i="21" s="1"/>
  <c r="T47" i="20"/>
  <c r="T43" i="22"/>
  <c r="T28" i="23"/>
  <c r="S24" i="25"/>
  <c r="I24" i="25" s="1"/>
  <c r="S46" i="24"/>
  <c r="I46" i="24" s="1"/>
  <c r="S48" i="14"/>
  <c r="I48" i="14" s="1"/>
  <c r="S18" i="14"/>
  <c r="I18" i="14" s="1"/>
  <c r="S38" i="13"/>
  <c r="I38" i="13" s="1"/>
  <c r="T41" i="14"/>
  <c r="T32" i="13"/>
  <c r="S22" i="13"/>
  <c r="I22" i="13" s="1"/>
  <c r="T26" i="13"/>
  <c r="T40" i="14"/>
  <c r="S17" i="13"/>
  <c r="I17" i="13" s="1"/>
  <c r="T38" i="14"/>
  <c r="S32" i="13"/>
  <c r="I32" i="13" s="1"/>
  <c r="T44" i="14"/>
  <c r="T14" i="13"/>
  <c r="T46" i="14"/>
  <c r="S30" i="14"/>
  <c r="I30" i="14" s="1"/>
  <c r="T37" i="14"/>
  <c r="T21" i="13"/>
  <c r="S28" i="14"/>
  <c r="I28" i="14" s="1"/>
  <c r="T49" i="14"/>
  <c r="T38" i="13"/>
  <c r="S48" i="13"/>
  <c r="I48" i="13" s="1"/>
  <c r="T46" i="13"/>
  <c r="T24" i="13"/>
  <c r="T47" i="13"/>
  <c r="T25" i="13"/>
  <c r="S47" i="14"/>
  <c r="I47" i="14" s="1"/>
  <c r="S15" i="14"/>
  <c r="I15" i="14" s="1"/>
  <c r="T28" i="14"/>
  <c r="S20" i="13"/>
  <c r="I20" i="13" s="1"/>
  <c r="T39" i="13"/>
  <c r="S44" i="14"/>
  <c r="I44" i="14" s="1"/>
  <c r="S39" i="13"/>
  <c r="I39" i="13" s="1"/>
  <c r="T42" i="13"/>
  <c r="S14" i="13"/>
  <c r="I14" i="13" s="1"/>
  <c r="S42" i="14"/>
  <c r="I42" i="14" s="1"/>
  <c r="S23" i="14"/>
  <c r="I23" i="14" s="1"/>
  <c r="S21" i="16"/>
  <c r="I21" i="16" s="1"/>
  <c r="S30" i="24"/>
  <c r="I30" i="24" s="1"/>
  <c r="S48" i="15"/>
  <c r="I48" i="15" s="1"/>
  <c r="T41" i="25"/>
  <c r="S21" i="19"/>
  <c r="I21" i="19" s="1"/>
  <c r="S18" i="23"/>
  <c r="I18" i="23" s="1"/>
  <c r="S17" i="20"/>
  <c r="I17" i="20" s="1"/>
  <c r="S18" i="22"/>
  <c r="I18" i="22" s="1"/>
  <c r="T49" i="24"/>
  <c r="S37" i="22"/>
  <c r="I37" i="22" s="1"/>
  <c r="T34" i="23"/>
  <c r="T37" i="20"/>
  <c r="T45" i="21"/>
  <c r="T16" i="23"/>
  <c r="T15" i="25"/>
  <c r="T48" i="25"/>
  <c r="T13" i="19"/>
  <c r="T20" i="17"/>
  <c r="T21" i="16"/>
  <c r="S35" i="15"/>
  <c r="I35" i="15" s="1"/>
  <c r="S49" i="16"/>
  <c r="I49" i="16" s="1"/>
  <c r="S13" i="25"/>
  <c r="I13" i="25" s="1"/>
  <c r="S45" i="23"/>
  <c r="I45" i="23" s="1"/>
  <c r="S42" i="17"/>
  <c r="I42" i="17" s="1"/>
  <c r="S42" i="15"/>
  <c r="I42" i="15" s="1"/>
  <c r="S34" i="19"/>
  <c r="I34" i="19" s="1"/>
  <c r="S18" i="21"/>
  <c r="I18" i="21" s="1"/>
  <c r="T47" i="24"/>
  <c r="T21" i="15"/>
  <c r="S24" i="22"/>
  <c r="I24" i="22" s="1"/>
  <c r="T42" i="24"/>
  <c r="T35" i="17"/>
  <c r="T20" i="21"/>
  <c r="S27" i="22"/>
  <c r="I27" i="22" s="1"/>
  <c r="S43" i="23"/>
  <c r="I43" i="23" s="1"/>
  <c r="T28" i="20"/>
  <c r="T27" i="19"/>
  <c r="T29" i="17"/>
  <c r="S13" i="17"/>
  <c r="I13" i="17" s="1"/>
  <c r="S18" i="25"/>
  <c r="I18" i="25" s="1"/>
  <c r="S14" i="24"/>
  <c r="I14" i="24" s="1"/>
  <c r="S43" i="17"/>
  <c r="I43" i="17" s="1"/>
  <c r="S45" i="15"/>
  <c r="I45" i="15" s="1"/>
  <c r="S36" i="19"/>
  <c r="I36" i="19" s="1"/>
  <c r="S25" i="21"/>
  <c r="I25" i="21" s="1"/>
  <c r="T42" i="20"/>
  <c r="T49" i="21"/>
  <c r="T20" i="22"/>
  <c r="T34" i="25"/>
  <c r="S40" i="16"/>
  <c r="I40" i="16" s="1"/>
  <c r="T18" i="22"/>
  <c r="T36" i="23"/>
  <c r="S40" i="25"/>
  <c r="I40" i="25" s="1"/>
  <c r="T17" i="19"/>
  <c r="T13" i="17"/>
  <c r="T17" i="15"/>
  <c r="T35" i="15"/>
  <c r="S37" i="24"/>
  <c r="I37" i="24" s="1"/>
  <c r="S18" i="15"/>
  <c r="I18" i="15" s="1"/>
  <c r="T48" i="16"/>
  <c r="T17" i="21"/>
  <c r="S29" i="24"/>
  <c r="I29" i="24" s="1"/>
  <c r="T34" i="17"/>
  <c r="T33" i="15"/>
  <c r="S13" i="19"/>
  <c r="I13" i="19" s="1"/>
  <c r="S40" i="15"/>
  <c r="I40" i="15" s="1"/>
  <c r="S19" i="17"/>
  <c r="I19" i="17" s="1"/>
  <c r="S41" i="16"/>
  <c r="I41" i="16" s="1"/>
  <c r="T47" i="17"/>
  <c r="T43" i="20"/>
  <c r="S33" i="22"/>
  <c r="I33" i="22" s="1"/>
  <c r="T13" i="21"/>
  <c r="S44" i="24"/>
  <c r="I44" i="24" s="1"/>
  <c r="S28" i="19"/>
  <c r="I28" i="19" s="1"/>
  <c r="S27" i="23"/>
  <c r="I27" i="23" s="1"/>
  <c r="T42" i="21"/>
  <c r="S21" i="20"/>
  <c r="I21" i="20" s="1"/>
  <c r="S27" i="16"/>
  <c r="I27" i="16" s="1"/>
  <c r="T36" i="17"/>
  <c r="T17" i="16"/>
  <c r="S38" i="17"/>
  <c r="I38" i="17" s="1"/>
  <c r="T33" i="19"/>
  <c r="S13" i="21"/>
  <c r="I13" i="21" s="1"/>
  <c r="S35" i="22"/>
  <c r="I35" i="22" s="1"/>
  <c r="T21" i="21"/>
  <c r="T15" i="21"/>
  <c r="T49" i="22"/>
  <c r="T40" i="23"/>
  <c r="T49" i="23"/>
  <c r="T31" i="24"/>
  <c r="S48" i="17"/>
  <c r="I48" i="17" s="1"/>
  <c r="T34" i="22"/>
  <c r="T20" i="23"/>
  <c r="T24" i="19"/>
  <c r="T36" i="15"/>
  <c r="T15" i="19"/>
  <c r="T24" i="17"/>
  <c r="T30" i="19"/>
  <c r="S40" i="19"/>
  <c r="I40" i="19" s="1"/>
  <c r="T16" i="21"/>
  <c r="T21" i="22"/>
  <c r="S43" i="20"/>
  <c r="I43" i="20" s="1"/>
  <c r="T29" i="21"/>
  <c r="T23" i="22"/>
  <c r="S32" i="23"/>
  <c r="I32" i="23" s="1"/>
  <c r="T23" i="24"/>
  <c r="T46" i="25"/>
  <c r="T49" i="25"/>
  <c r="S32" i="14"/>
  <c r="I32" i="14" s="1"/>
  <c r="S35" i="13"/>
  <c r="I35" i="13" s="1"/>
  <c r="T43" i="14"/>
  <c r="T35" i="14"/>
  <c r="S39" i="14"/>
  <c r="I39" i="14" s="1"/>
  <c r="T17" i="13"/>
  <c r="T47" i="14"/>
  <c r="T21" i="14"/>
  <c r="S37" i="14"/>
  <c r="I37" i="14" s="1"/>
  <c r="S33" i="16"/>
  <c r="I33" i="16" s="1"/>
  <c r="S34" i="25"/>
  <c r="I34" i="25" s="1"/>
  <c r="T48" i="19"/>
  <c r="S13" i="22"/>
  <c r="I13" i="22" s="1"/>
  <c r="T34" i="19"/>
  <c r="S24" i="17"/>
  <c r="I24" i="17" s="1"/>
  <c r="S34" i="22"/>
  <c r="I34" i="22" s="1"/>
  <c r="T41" i="21"/>
  <c r="T25" i="21"/>
  <c r="S41" i="19"/>
  <c r="I41" i="19" s="1"/>
  <c r="S22" i="24"/>
  <c r="I22" i="24" s="1"/>
  <c r="S42" i="21"/>
  <c r="I42" i="21" s="1"/>
  <c r="T39" i="25"/>
  <c r="T42" i="25"/>
  <c r="T26" i="16"/>
  <c r="T45" i="22"/>
  <c r="T16" i="19"/>
  <c r="T23" i="19"/>
  <c r="S41" i="23"/>
  <c r="I41" i="23" s="1"/>
  <c r="T29" i="16"/>
  <c r="S19" i="19"/>
  <c r="I19" i="19" s="1"/>
  <c r="S13" i="24"/>
  <c r="I13" i="24" s="1"/>
  <c r="T16" i="25"/>
  <c r="S26" i="21"/>
  <c r="I26" i="21" s="1"/>
  <c r="T47" i="23"/>
  <c r="T41" i="17"/>
  <c r="T25" i="19"/>
  <c r="T45" i="20"/>
  <c r="S24" i="20"/>
  <c r="I24" i="20" s="1"/>
  <c r="T49" i="20"/>
  <c r="T15" i="24"/>
  <c r="S27" i="25"/>
  <c r="I27" i="25" s="1"/>
  <c r="S26" i="24"/>
  <c r="I26" i="24" s="1"/>
  <c r="S49" i="21"/>
  <c r="I49" i="21" s="1"/>
  <c r="T45" i="15"/>
  <c r="T14" i="25"/>
  <c r="T32" i="15"/>
  <c r="T26" i="15"/>
  <c r="S30" i="16"/>
  <c r="I30" i="16" s="1"/>
  <c r="T47" i="19"/>
  <c r="T32" i="21"/>
  <c r="S48" i="23"/>
  <c r="I48" i="23" s="1"/>
  <c r="S35" i="23"/>
  <c r="I35" i="23" s="1"/>
  <c r="S29" i="20"/>
  <c r="I29" i="20" s="1"/>
  <c r="T26" i="23"/>
  <c r="S40" i="20"/>
  <c r="I40" i="20" s="1"/>
  <c r="T24" i="25"/>
  <c r="S29" i="25"/>
  <c r="I29" i="25" s="1"/>
  <c r="T22" i="23"/>
  <c r="S28" i="23"/>
  <c r="I28" i="23" s="1"/>
  <c r="T38" i="22"/>
  <c r="T43" i="21"/>
  <c r="T38" i="21"/>
  <c r="S14" i="20"/>
  <c r="I14" i="20" s="1"/>
  <c r="T38" i="20"/>
  <c r="T36" i="19"/>
  <c r="T47" i="16"/>
  <c r="S14" i="15"/>
  <c r="I14" i="15" s="1"/>
  <c r="S41" i="15"/>
  <c r="I41" i="15" s="1"/>
  <c r="T38" i="16"/>
  <c r="S47" i="17"/>
  <c r="I47" i="17" s="1"/>
  <c r="S46" i="15"/>
  <c r="I46" i="15" s="1"/>
  <c r="T48" i="21"/>
  <c r="S27" i="24"/>
  <c r="I27" i="24" s="1"/>
  <c r="T32" i="24"/>
  <c r="S15" i="25"/>
  <c r="I15" i="25" s="1"/>
  <c r="T28" i="24"/>
  <c r="S46" i="22"/>
  <c r="I46" i="22" s="1"/>
  <c r="S19" i="21"/>
  <c r="I19" i="21" s="1"/>
  <c r="S44" i="21"/>
  <c r="I44" i="21" s="1"/>
  <c r="S39" i="20"/>
  <c r="I39" i="20" s="1"/>
  <c r="S39" i="17"/>
  <c r="I39" i="17" s="1"/>
  <c r="S47" i="16"/>
  <c r="I47" i="16" s="1"/>
  <c r="T26" i="22"/>
  <c r="T43" i="24"/>
  <c r="S20" i="25"/>
  <c r="I20" i="25" s="1"/>
  <c r="T14" i="24"/>
  <c r="T46" i="24"/>
  <c r="S22" i="23"/>
  <c r="I22" i="23" s="1"/>
  <c r="S36" i="22"/>
  <c r="I36" i="22" s="1"/>
  <c r="S27" i="21"/>
  <c r="I27" i="21" s="1"/>
  <c r="S20" i="19"/>
  <c r="I20" i="19" s="1"/>
  <c r="S47" i="19"/>
  <c r="I47" i="19" s="1"/>
  <c r="T36" i="16"/>
  <c r="T14" i="15"/>
  <c r="S15" i="15"/>
  <c r="I15" i="15" s="1"/>
  <c r="S23" i="21"/>
  <c r="I23" i="21" s="1"/>
  <c r="T22" i="17"/>
  <c r="S15" i="17"/>
  <c r="I15" i="17" s="1"/>
  <c r="T37" i="24"/>
  <c r="S23" i="24"/>
  <c r="I23" i="24" s="1"/>
  <c r="S39" i="22"/>
  <c r="I39" i="22" s="1"/>
  <c r="T45" i="14"/>
  <c r="S19" i="13"/>
  <c r="I19" i="13" s="1"/>
  <c r="S27" i="14"/>
  <c r="I27" i="14" s="1"/>
  <c r="S35" i="14"/>
  <c r="I35" i="14" s="1"/>
  <c r="S40" i="14"/>
  <c r="I40" i="14" s="1"/>
  <c r="T48" i="13"/>
  <c r="T42" i="14"/>
  <c r="T37" i="13"/>
  <c r="T15" i="13"/>
  <c r="S38" i="24"/>
  <c r="I38" i="24" s="1"/>
  <c r="S19" i="15"/>
  <c r="I19" i="15" s="1"/>
  <c r="S41" i="22"/>
  <c r="I41" i="22" s="1"/>
  <c r="T17" i="24"/>
  <c r="T39" i="17"/>
  <c r="S28" i="15"/>
  <c r="I28" i="15" s="1"/>
  <c r="S49" i="19"/>
  <c r="I49" i="19" s="1"/>
  <c r="T31" i="23"/>
  <c r="T41" i="22"/>
  <c r="T44" i="17"/>
  <c r="S17" i="19"/>
  <c r="I17" i="19" s="1"/>
  <c r="T40" i="19"/>
  <c r="S37" i="15"/>
  <c r="I37" i="15" s="1"/>
  <c r="T29" i="19"/>
  <c r="S49" i="22"/>
  <c r="I49" i="22" s="1"/>
  <c r="S35" i="25"/>
  <c r="I35" i="25" s="1"/>
  <c r="T29" i="15"/>
  <c r="T48" i="20"/>
  <c r="S48" i="20"/>
  <c r="I48" i="20" s="1"/>
  <c r="T41" i="16"/>
  <c r="T49" i="17"/>
  <c r="S21" i="22"/>
  <c r="I21" i="22" s="1"/>
  <c r="S17" i="17"/>
  <c r="I17" i="17" s="1"/>
  <c r="T45" i="24"/>
  <c r="T18" i="17"/>
  <c r="S18" i="20"/>
  <c r="I18" i="20" s="1"/>
  <c r="T19" i="17"/>
  <c r="T31" i="21"/>
  <c r="S29" i="21"/>
  <c r="I29" i="21" s="1"/>
  <c r="T28" i="22"/>
  <c r="T41" i="24"/>
  <c r="T48" i="24"/>
  <c r="S25" i="24"/>
  <c r="I25" i="24" s="1"/>
  <c r="T32" i="19"/>
  <c r="T13" i="15"/>
  <c r="S27" i="17"/>
  <c r="I27" i="17" s="1"/>
  <c r="S24" i="16"/>
  <c r="I24" i="16" s="1"/>
  <c r="T47" i="15"/>
  <c r="T42" i="16"/>
  <c r="T16" i="20"/>
  <c r="S41" i="21"/>
  <c r="I41" i="21" s="1"/>
  <c r="S21" i="21"/>
  <c r="I21" i="21" s="1"/>
  <c r="T37" i="21"/>
  <c r="T44" i="21"/>
  <c r="T16" i="24"/>
  <c r="S37" i="23"/>
  <c r="I37" i="23" s="1"/>
  <c r="T41" i="23"/>
  <c r="S39" i="25"/>
  <c r="I39" i="25" s="1"/>
  <c r="T30" i="23"/>
  <c r="S36" i="23"/>
  <c r="I36" i="23" s="1"/>
  <c r="S14" i="22"/>
  <c r="I14" i="22" s="1"/>
  <c r="T14" i="21"/>
  <c r="T46" i="21"/>
  <c r="S22" i="20"/>
  <c r="I22" i="20" s="1"/>
  <c r="T46" i="20"/>
  <c r="S39" i="16"/>
  <c r="I39" i="16" s="1"/>
  <c r="S31" i="16"/>
  <c r="I31" i="16" s="1"/>
  <c r="S38" i="15"/>
  <c r="I38" i="15" s="1"/>
  <c r="T46" i="15"/>
  <c r="T20" i="15"/>
  <c r="S36" i="16"/>
  <c r="I36" i="16" s="1"/>
  <c r="S21" i="23"/>
  <c r="I21" i="23" s="1"/>
  <c r="T27" i="23"/>
  <c r="S14" i="25"/>
  <c r="I14" i="25" s="1"/>
  <c r="T40" i="24"/>
  <c r="T28" i="25"/>
  <c r="S14" i="23"/>
  <c r="I14" i="23" s="1"/>
  <c r="S15" i="22"/>
  <c r="I15" i="22" s="1"/>
  <c r="S30" i="21"/>
  <c r="I30" i="21" s="1"/>
  <c r="S39" i="21"/>
  <c r="I39" i="21" s="1"/>
  <c r="S44" i="19"/>
  <c r="I44" i="19" s="1"/>
  <c r="T20" i="16"/>
  <c r="T27" i="16"/>
  <c r="T42" i="22"/>
  <c r="T19" i="25"/>
  <c r="S28" i="25"/>
  <c r="I28" i="25" s="1"/>
  <c r="T22" i="24"/>
  <c r="S28" i="24"/>
  <c r="I28" i="24" s="1"/>
  <c r="S38" i="23"/>
  <c r="I38" i="23" s="1"/>
  <c r="S44" i="22"/>
  <c r="I44" i="22" s="1"/>
  <c r="S20" i="21"/>
  <c r="I20" i="21" s="1"/>
  <c r="S23" i="19"/>
  <c r="I23" i="19" s="1"/>
  <c r="S22" i="17"/>
  <c r="I22" i="17" s="1"/>
  <c r="T15" i="16"/>
  <c r="S26" i="15"/>
  <c r="I26" i="15" s="1"/>
  <c r="S31" i="15"/>
  <c r="I31" i="15" s="1"/>
  <c r="T14" i="20"/>
  <c r="S31" i="20"/>
  <c r="I31" i="20" s="1"/>
  <c r="T38" i="17"/>
  <c r="T39" i="16"/>
  <c r="T47" i="25"/>
  <c r="S37" i="25"/>
  <c r="I37" i="25" s="1"/>
  <c r="S31" i="25"/>
  <c r="I31" i="25" s="1"/>
  <c r="S31" i="24"/>
  <c r="I31" i="24" s="1"/>
  <c r="S31" i="23"/>
  <c r="I31" i="23" s="1"/>
  <c r="T30" i="22"/>
  <c r="S14" i="21"/>
  <c r="I14" i="21" s="1"/>
  <c r="S20" i="20"/>
  <c r="I20" i="20" s="1"/>
  <c r="S30" i="17"/>
  <c r="I30" i="17" s="1"/>
  <c r="S44" i="17"/>
  <c r="I44" i="17" s="1"/>
  <c r="S20" i="15"/>
  <c r="I20" i="15" s="1"/>
  <c r="S44" i="15"/>
  <c r="I44" i="15" s="1"/>
  <c r="T43" i="13"/>
  <c r="T49" i="13"/>
  <c r="S28" i="13"/>
  <c r="I28" i="13" s="1"/>
  <c r="S26" i="17"/>
  <c r="I26" i="17" s="1"/>
  <c r="T18" i="19"/>
  <c r="T27" i="15"/>
  <c r="T44" i="20"/>
  <c r="T40" i="20"/>
  <c r="S13" i="20"/>
  <c r="I13" i="20" s="1"/>
  <c r="S24" i="24"/>
  <c r="I24" i="24" s="1"/>
  <c r="S43" i="16"/>
  <c r="I43" i="16" s="1"/>
  <c r="T21" i="19"/>
  <c r="T36" i="22"/>
  <c r="T21" i="24"/>
  <c r="T39" i="19"/>
  <c r="T33" i="17"/>
  <c r="S32" i="22"/>
  <c r="I32" i="22" s="1"/>
  <c r="T24" i="23"/>
  <c r="S21" i="24"/>
  <c r="I21" i="24" s="1"/>
  <c r="T24" i="20"/>
  <c r="T34" i="15"/>
  <c r="S30" i="19"/>
  <c r="I30" i="19" s="1"/>
  <c r="T23" i="21"/>
  <c r="T16" i="22"/>
  <c r="T45" i="23"/>
  <c r="S33" i="24"/>
  <c r="I33" i="24" s="1"/>
  <c r="S47" i="24"/>
  <c r="I47" i="24" s="1"/>
  <c r="S38" i="22"/>
  <c r="I38" i="22" s="1"/>
  <c r="T30" i="21"/>
  <c r="S46" i="20"/>
  <c r="I46" i="20" s="1"/>
  <c r="S18" i="16"/>
  <c r="I18" i="16" s="1"/>
  <c r="S39" i="15"/>
  <c r="I39" i="15" s="1"/>
  <c r="T30" i="16"/>
  <c r="S43" i="25"/>
  <c r="I43" i="25" s="1"/>
  <c r="S32" i="25"/>
  <c r="I32" i="25" s="1"/>
  <c r="S39" i="23"/>
  <c r="I39" i="23" s="1"/>
  <c r="S35" i="21"/>
  <c r="I35" i="21" s="1"/>
  <c r="S23" i="17"/>
  <c r="I23" i="17" s="1"/>
  <c r="S49" i="24"/>
  <c r="I49" i="24" s="1"/>
  <c r="T36" i="25"/>
  <c r="T44" i="24"/>
  <c r="S46" i="21"/>
  <c r="I46" i="21" s="1"/>
  <c r="S44" i="16"/>
  <c r="I44" i="16" s="1"/>
  <c r="S49" i="15"/>
  <c r="I49" i="15" s="1"/>
  <c r="S28" i="20"/>
  <c r="I28" i="20" s="1"/>
  <c r="S28" i="17"/>
  <c r="I28" i="17" s="1"/>
  <c r="T27" i="25"/>
  <c r="S15" i="24"/>
  <c r="I15" i="24" s="1"/>
  <c r="T14" i="22"/>
  <c r="S28" i="21"/>
  <c r="I28" i="21" s="1"/>
  <c r="T30" i="17"/>
  <c r="S29" i="15"/>
  <c r="I29" i="15" s="1"/>
  <c r="S44" i="20"/>
  <c r="I44" i="20" s="1"/>
  <c r="T32" i="25"/>
  <c r="S44" i="25"/>
  <c r="I44" i="25" s="1"/>
  <c r="S15" i="23"/>
  <c r="I15" i="23" s="1"/>
  <c r="T22" i="20"/>
  <c r="S43" i="13"/>
  <c r="I43" i="13" s="1"/>
  <c r="T48" i="14"/>
  <c r="S46" i="13"/>
  <c r="I46" i="13" s="1"/>
  <c r="S21" i="14"/>
  <c r="I21" i="14" s="1"/>
  <c r="S29" i="14"/>
  <c r="I29" i="14" s="1"/>
  <c r="T32" i="14"/>
  <c r="S47" i="13"/>
  <c r="I47" i="13" s="1"/>
  <c r="S24" i="14"/>
  <c r="I24" i="14" s="1"/>
  <c r="S18" i="13"/>
  <c r="I18" i="13" s="1"/>
  <c r="S16" i="23"/>
  <c r="I16" i="23" s="1"/>
  <c r="S37" i="20"/>
  <c r="I37" i="20" s="1"/>
  <c r="T18" i="23"/>
  <c r="T37" i="25"/>
  <c r="S13" i="15"/>
  <c r="I13" i="15" s="1"/>
  <c r="S20" i="24"/>
  <c r="I20" i="24" s="1"/>
  <c r="S34" i="21"/>
  <c r="I34" i="21" s="1"/>
  <c r="S17" i="25"/>
  <c r="I17" i="25" s="1"/>
  <c r="T33" i="25"/>
  <c r="S25" i="17"/>
  <c r="I25" i="17" s="1"/>
  <c r="S48" i="22"/>
  <c r="I48" i="22" s="1"/>
  <c r="S17" i="21"/>
  <c r="I17" i="21" s="1"/>
  <c r="T13" i="22"/>
  <c r="T45" i="17"/>
  <c r="S34" i="20"/>
  <c r="I34" i="20" s="1"/>
  <c r="T37" i="16"/>
  <c r="T31" i="17"/>
  <c r="T15" i="23"/>
  <c r="T33" i="24"/>
  <c r="S40" i="17"/>
  <c r="I40" i="17" s="1"/>
  <c r="T24" i="21"/>
  <c r="T21" i="23"/>
  <c r="S17" i="24"/>
  <c r="I17" i="24" s="1"/>
  <c r="S17" i="23"/>
  <c r="I17" i="23" s="1"/>
  <c r="T31" i="15"/>
  <c r="S35" i="16"/>
  <c r="I35" i="16" s="1"/>
  <c r="T44" i="15"/>
  <c r="S16" i="22"/>
  <c r="I16" i="22" s="1"/>
  <c r="T48" i="22"/>
  <c r="T44" i="22"/>
  <c r="S38" i="25"/>
  <c r="I38" i="25" s="1"/>
  <c r="T25" i="23"/>
  <c r="S18" i="19"/>
  <c r="I18" i="19" s="1"/>
  <c r="S29" i="22"/>
  <c r="I29" i="22" s="1"/>
  <c r="T29" i="23"/>
  <c r="T25" i="16"/>
  <c r="T26" i="17"/>
  <c r="S41" i="17"/>
  <c r="I41" i="17" s="1"/>
  <c r="S33" i="19"/>
  <c r="I33" i="19" s="1"/>
  <c r="T29" i="20"/>
  <c r="T33" i="22"/>
  <c r="T34" i="21"/>
  <c r="T37" i="23"/>
  <c r="T40" i="22"/>
  <c r="T24" i="24"/>
  <c r="T39" i="23"/>
  <c r="T39" i="24"/>
  <c r="S39" i="24"/>
  <c r="I39" i="24" s="1"/>
  <c r="T38" i="23"/>
  <c r="S30" i="22"/>
  <c r="I30" i="22" s="1"/>
  <c r="S43" i="21"/>
  <c r="I43" i="21" s="1"/>
  <c r="T22" i="21"/>
  <c r="S36" i="21"/>
  <c r="I36" i="21" s="1"/>
  <c r="S30" i="20"/>
  <c r="I30" i="20" s="1"/>
  <c r="T20" i="19"/>
  <c r="T28" i="16"/>
  <c r="T19" i="16"/>
  <c r="S17" i="15"/>
  <c r="I17" i="15" s="1"/>
  <c r="S24" i="15"/>
  <c r="I24" i="15" s="1"/>
  <c r="S23" i="15"/>
  <c r="I23" i="15" s="1"/>
  <c r="S23" i="16"/>
  <c r="I23" i="16" s="1"/>
  <c r="T31" i="20"/>
  <c r="T44" i="23"/>
  <c r="T43" i="25"/>
  <c r="T18" i="25"/>
  <c r="S47" i="25"/>
  <c r="I47" i="25" s="1"/>
  <c r="S23" i="23"/>
  <c r="I23" i="23" s="1"/>
  <c r="S31" i="22"/>
  <c r="I31" i="22" s="1"/>
  <c r="S38" i="21"/>
  <c r="I38" i="21" s="1"/>
  <c r="S38" i="20"/>
  <c r="I38" i="20" s="1"/>
  <c r="S15" i="19"/>
  <c r="I15" i="19" s="1"/>
  <c r="T44" i="16"/>
  <c r="T22" i="16"/>
  <c r="S35" i="24"/>
  <c r="I35" i="24" s="1"/>
  <c r="T25" i="25"/>
  <c r="S23" i="25"/>
  <c r="I23" i="25" s="1"/>
  <c r="T30" i="24"/>
  <c r="T36" i="24"/>
  <c r="S20" i="22"/>
  <c r="I20" i="22" s="1"/>
  <c r="T19" i="21"/>
  <c r="S15" i="21"/>
  <c r="I15" i="21" s="1"/>
  <c r="T28" i="19"/>
  <c r="S20" i="16"/>
  <c r="I20" i="16" s="1"/>
  <c r="T23" i="16"/>
  <c r="T38" i="15"/>
  <c r="S47" i="15"/>
  <c r="I47" i="15" s="1"/>
  <c r="T30" i="20"/>
  <c r="S14" i="17"/>
  <c r="I14" i="17" s="1"/>
  <c r="S20" i="17"/>
  <c r="I20" i="17" s="1"/>
  <c r="T31" i="16"/>
  <c r="S22" i="25"/>
  <c r="I22" i="25" s="1"/>
  <c r="T13" i="16"/>
  <c r="T44" i="25"/>
  <c r="S30" i="23"/>
  <c r="I30" i="23" s="1"/>
  <c r="S47" i="23"/>
  <c r="I47" i="23" s="1"/>
  <c r="S22" i="22"/>
  <c r="I22" i="22" s="1"/>
  <c r="T27" i="21"/>
  <c r="S36" i="20"/>
  <c r="I36" i="20" s="1"/>
  <c r="T14" i="17"/>
  <c r="S31" i="17"/>
  <c r="I31" i="17" s="1"/>
  <c r="S21" i="15"/>
  <c r="I21" i="15" s="1"/>
  <c r="S33" i="15"/>
  <c r="I33" i="15" s="1"/>
  <c r="T25" i="14"/>
  <c r="T35" i="13"/>
  <c r="T34" i="13"/>
  <c r="S27" i="13"/>
  <c r="I27" i="13" s="1"/>
  <c r="T30" i="14"/>
  <c r="S45" i="25"/>
  <c r="I45" i="25" s="1"/>
  <c r="S40" i="22"/>
  <c r="I40" i="22" s="1"/>
  <c r="T38" i="25"/>
  <c r="S16" i="19"/>
  <c r="I16" i="19" s="1"/>
  <c r="T34" i="16"/>
  <c r="S34" i="15"/>
  <c r="I34" i="15" s="1"/>
  <c r="T35" i="23"/>
  <c r="S32" i="15"/>
  <c r="I32" i="15" s="1"/>
  <c r="S45" i="16"/>
  <c r="I45" i="16" s="1"/>
  <c r="T26" i="21"/>
  <c r="S32" i="16"/>
  <c r="I32" i="16" s="1"/>
  <c r="T43" i="19"/>
  <c r="S14" i="16"/>
  <c r="I14" i="16" s="1"/>
  <c r="S48" i="16"/>
  <c r="I48" i="16" s="1"/>
  <c r="S27" i="20"/>
  <c r="I27" i="20" s="1"/>
  <c r="T13" i="24"/>
  <c r="S19" i="24"/>
  <c r="I19" i="24" s="1"/>
  <c r="S13" i="23"/>
  <c r="I13" i="23" s="1"/>
  <c r="T25" i="24"/>
  <c r="T18" i="20"/>
  <c r="S42" i="19"/>
  <c r="I42" i="19" s="1"/>
  <c r="S33" i="23"/>
  <c r="I33" i="23" s="1"/>
  <c r="T19" i="20"/>
  <c r="S43" i="24"/>
  <c r="I43" i="24" s="1"/>
  <c r="T17" i="25"/>
  <c r="S20" i="23"/>
  <c r="I20" i="23" s="1"/>
  <c r="S22" i="21"/>
  <c r="I22" i="21" s="1"/>
  <c r="S31" i="21"/>
  <c r="I31" i="21" s="1"/>
  <c r="S31" i="19"/>
  <c r="I31" i="19" s="1"/>
  <c r="T14" i="16"/>
  <c r="T23" i="15"/>
  <c r="S36" i="17"/>
  <c r="I36" i="17" s="1"/>
  <c r="S45" i="20"/>
  <c r="I45" i="20" s="1"/>
  <c r="T19" i="24"/>
  <c r="T20" i="24"/>
  <c r="S47" i="22"/>
  <c r="I47" i="22" s="1"/>
  <c r="S23" i="20"/>
  <c r="I23" i="20" s="1"/>
  <c r="S28" i="16"/>
  <c r="I28" i="16" s="1"/>
  <c r="T20" i="20"/>
  <c r="S13" i="16"/>
  <c r="I13" i="16" s="1"/>
  <c r="T38" i="24"/>
  <c r="S28" i="22"/>
  <c r="I28" i="22" s="1"/>
  <c r="S47" i="21"/>
  <c r="I47" i="21" s="1"/>
  <c r="S39" i="19"/>
  <c r="I39" i="19" s="1"/>
  <c r="T35" i="16"/>
  <c r="T35" i="21"/>
  <c r="S46" i="17"/>
  <c r="I46" i="17" s="1"/>
  <c r="T46" i="16"/>
  <c r="S36" i="25"/>
  <c r="I36" i="25" s="1"/>
  <c r="S46" i="23"/>
  <c r="I46" i="23" s="1"/>
  <c r="S23" i="22"/>
  <c r="I23" i="22" s="1"/>
  <c r="S15" i="20"/>
  <c r="I15" i="20" s="1"/>
  <c r="S15" i="16"/>
  <c r="I15" i="16" s="1"/>
  <c r="T22" i="22"/>
  <c r="T46" i="17"/>
  <c r="S47" i="20"/>
  <c r="I47" i="20" s="1"/>
  <c r="S36" i="15"/>
  <c r="I36" i="15" s="1"/>
  <c r="T43" i="16"/>
  <c r="S13" i="13"/>
  <c r="I13" i="13" s="1"/>
  <c r="T13" i="14"/>
  <c r="T13" i="13"/>
  <c r="S13" i="14"/>
  <c r="I13" i="14" s="1"/>
  <c r="I50" i="23" l="1"/>
  <c r="I50" i="15"/>
  <c r="X16" i="15" s="1"/>
  <c r="I50" i="24"/>
  <c r="I50" i="21"/>
  <c r="I50" i="17"/>
  <c r="I50" i="25"/>
  <c r="I50" i="16"/>
  <c r="X16" i="16" s="1"/>
  <c r="I50" i="20"/>
  <c r="I50" i="22"/>
  <c r="I50" i="19"/>
  <c r="I50" i="13"/>
  <c r="I50" i="14"/>
  <c r="X16" i="14" s="1"/>
  <c r="Z16" i="14" s="1"/>
  <c r="W16" i="15" s="1"/>
  <c r="D8" i="26"/>
  <c r="D7" i="26"/>
  <c r="D13" i="26"/>
  <c r="D12" i="26"/>
  <c r="D3" i="26"/>
  <c r="D11" i="26"/>
  <c r="D6" i="26"/>
  <c r="D9" i="26"/>
  <c r="D10" i="26"/>
  <c r="D5" i="26"/>
  <c r="F2" i="26"/>
  <c r="D2" i="26"/>
  <c r="D4" i="26"/>
  <c r="Z16" i="15" l="1"/>
  <c r="W16" i="16" s="1"/>
  <c r="Z16" i="16" s="1"/>
  <c r="W16" i="17" s="1"/>
  <c r="Z16" i="17" s="1"/>
  <c r="W16" i="19" s="1"/>
  <c r="Z16" i="19" s="1"/>
  <c r="W16" i="20" s="1"/>
  <c r="Z16" i="20" s="1"/>
  <c r="W16" i="25" s="1"/>
  <c r="Z16" i="25" s="1"/>
  <c r="W16" i="24" s="1"/>
  <c r="Z16" i="24" s="1"/>
  <c r="W16" i="23" s="1"/>
  <c r="Z16" i="23" s="1"/>
  <c r="W16" i="22" s="1"/>
  <c r="Z16" i="22" s="1"/>
  <c r="W16" i="21" s="1"/>
  <c r="Z16" i="21" s="1"/>
  <c r="Z16" i="13"/>
  <c r="E2" i="26"/>
  <c r="E15" i="26" s="1"/>
  <c r="F15" i="26"/>
  <c r="C5" i="26"/>
  <c r="C12" i="26"/>
  <c r="C8" i="26"/>
  <c r="C13" i="26"/>
  <c r="C10" i="26"/>
  <c r="C7" i="26"/>
  <c r="C9" i="26"/>
  <c r="C4" i="26"/>
  <c r="C6" i="26"/>
  <c r="C11" i="26"/>
  <c r="C3" i="26"/>
  <c r="C2" i="26"/>
  <c r="D15" i="26"/>
  <c r="C15" i="26" l="1"/>
</calcChain>
</file>

<file path=xl/sharedStrings.xml><?xml version="1.0" encoding="utf-8"?>
<sst xmlns="http://schemas.openxmlformats.org/spreadsheetml/2006/main" count="740" uniqueCount="140">
  <si>
    <t>Date</t>
  </si>
  <si>
    <t>Service</t>
  </si>
  <si>
    <t>Horaire</t>
  </si>
  <si>
    <t>début</t>
  </si>
  <si>
    <t>Fin</t>
  </si>
  <si>
    <t>heures jour dimanche</t>
  </si>
  <si>
    <t>heures jour fériés</t>
  </si>
  <si>
    <t>Lundi de Pâques</t>
  </si>
  <si>
    <t>PP Début</t>
  </si>
  <si>
    <t>PP Fin</t>
  </si>
  <si>
    <t>PNP Début</t>
  </si>
  <si>
    <t>PNP Fin</t>
  </si>
  <si>
    <t>Heures totales payées</t>
  </si>
  <si>
    <t>début nuit</t>
  </si>
  <si>
    <t>fin nuit</t>
  </si>
  <si>
    <t>début dimanche &amp; JF</t>
  </si>
  <si>
    <t>fin dimanche &amp; JF</t>
  </si>
  <si>
    <t>Fin corrigée si nuit</t>
  </si>
  <si>
    <t>PNP Début corrigé</t>
  </si>
  <si>
    <t>PNP Fin corrigée</t>
  </si>
  <si>
    <t>Heures de nuit hors PNP</t>
  </si>
  <si>
    <t>Majoration</t>
  </si>
  <si>
    <t>Mois concerné</t>
  </si>
  <si>
    <t>Matricule:</t>
  </si>
  <si>
    <t>Département:</t>
  </si>
  <si>
    <t>Pause</t>
  </si>
  <si>
    <t>Payée</t>
  </si>
  <si>
    <t>Non payée</t>
  </si>
  <si>
    <t>Début</t>
  </si>
  <si>
    <t>TOTAUX</t>
  </si>
  <si>
    <t>Date et visa du collaborateur</t>
  </si>
  <si>
    <t>Date et visa planification</t>
  </si>
  <si>
    <t>Heures de nuit</t>
  </si>
  <si>
    <t>heures jour dimanche hors PNP</t>
  </si>
  <si>
    <t>heures jour fériés hors PNP</t>
  </si>
  <si>
    <t xml:space="preserve">                   DQ RH00008</t>
  </si>
  <si>
    <t xml:space="preserve">Prénom: </t>
  </si>
  <si>
    <t xml:space="preserve">      RELEVE MENSUEL DES HEURES EFFECTUEES</t>
  </si>
  <si>
    <t>Vendredi Saint</t>
  </si>
  <si>
    <t>Restauration republique</t>
  </si>
  <si>
    <t>RESERVE</t>
  </si>
  <si>
    <t>Nouvel An</t>
  </si>
  <si>
    <t>Jeudi ascension</t>
  </si>
  <si>
    <t>Lundi de pentecote</t>
  </si>
  <si>
    <t>Fete nationale</t>
  </si>
  <si>
    <t>jeune Genevois</t>
  </si>
  <si>
    <t xml:space="preserve">Noel </t>
  </si>
  <si>
    <t xml:space="preserve">Nom:    </t>
  </si>
  <si>
    <t>MOIS</t>
  </si>
  <si>
    <t>Janvier</t>
  </si>
  <si>
    <t>Février</t>
  </si>
  <si>
    <t>Mars</t>
  </si>
  <si>
    <t>Avril</t>
  </si>
  <si>
    <t>Mai</t>
  </si>
  <si>
    <t>Juin</t>
  </si>
  <si>
    <t>Juillet</t>
  </si>
  <si>
    <t>Août</t>
  </si>
  <si>
    <t>Septembre</t>
  </si>
  <si>
    <t>Octobre</t>
  </si>
  <si>
    <t>Novembre</t>
  </si>
  <si>
    <t>Décembre</t>
  </si>
  <si>
    <t>TOTAUX ANNUEL</t>
  </si>
  <si>
    <t>Maladie</t>
  </si>
  <si>
    <t>Totaux
sans
majoration</t>
  </si>
  <si>
    <t>MAJORATIONS</t>
  </si>
  <si>
    <t xml:space="preserve">TOTAL DE JOURS TRAVAILLES </t>
  </si>
  <si>
    <t>HEURES</t>
  </si>
  <si>
    <t xml:space="preserve">TOTAL SANS MAJORATION </t>
  </si>
  <si>
    <t>CCT</t>
  </si>
  <si>
    <t>Admin</t>
  </si>
  <si>
    <t>17J</t>
  </si>
  <si>
    <t>17N</t>
  </si>
  <si>
    <t>18N</t>
  </si>
  <si>
    <t>19J</t>
  </si>
  <si>
    <t>19N</t>
  </si>
  <si>
    <t>20J</t>
  </si>
  <si>
    <t>20N</t>
  </si>
  <si>
    <t>21J</t>
  </si>
  <si>
    <t>21N</t>
  </si>
  <si>
    <t>22J</t>
  </si>
  <si>
    <t>22N</t>
  </si>
  <si>
    <t>23N</t>
  </si>
  <si>
    <t>24J</t>
  </si>
  <si>
    <t>24N</t>
  </si>
  <si>
    <t>25J</t>
  </si>
  <si>
    <t>25N</t>
  </si>
  <si>
    <t>26N</t>
  </si>
  <si>
    <t>27N</t>
  </si>
  <si>
    <t>28J</t>
  </si>
  <si>
    <t>28N</t>
  </si>
  <si>
    <t>29N</t>
  </si>
  <si>
    <t>31N</t>
  </si>
  <si>
    <t>32N</t>
  </si>
  <si>
    <t>36N</t>
  </si>
  <si>
    <t>37N</t>
  </si>
  <si>
    <t>38N</t>
  </si>
  <si>
    <t>39N</t>
  </si>
  <si>
    <t>40N</t>
  </si>
  <si>
    <t>42N</t>
  </si>
  <si>
    <t>43N</t>
  </si>
  <si>
    <t>44N</t>
  </si>
  <si>
    <t>46N</t>
  </si>
  <si>
    <t>47N</t>
  </si>
  <si>
    <t>48N</t>
  </si>
  <si>
    <t>49N</t>
  </si>
  <si>
    <t>51N</t>
  </si>
  <si>
    <t xml:space="preserve">           DQ RH00008</t>
  </si>
  <si>
    <t>Nom:</t>
  </si>
  <si>
    <t>debut</t>
  </si>
  <si>
    <t>fin</t>
  </si>
  <si>
    <t>Services</t>
  </si>
  <si>
    <t>16N</t>
  </si>
  <si>
    <t>27J.SD</t>
  </si>
  <si>
    <t>27J.LV</t>
  </si>
  <si>
    <t>40J.SD</t>
  </si>
  <si>
    <t>40J.LV</t>
  </si>
  <si>
    <t>41N.V</t>
  </si>
  <si>
    <t>45N.LV</t>
  </si>
  <si>
    <t>45N.SD</t>
  </si>
  <si>
    <t>41N.C</t>
  </si>
  <si>
    <t>maladie</t>
  </si>
  <si>
    <t>réunion</t>
  </si>
  <si>
    <t>form Quadri</t>
  </si>
  <si>
    <t>form annuel</t>
  </si>
  <si>
    <t>tir</t>
  </si>
  <si>
    <t>récuperations</t>
  </si>
  <si>
    <t>vacances 173</t>
  </si>
  <si>
    <t>vacances 150</t>
  </si>
  <si>
    <t>vacances  150</t>
  </si>
  <si>
    <t>vacances  173</t>
  </si>
  <si>
    <t>non</t>
  </si>
  <si>
    <t>majoration dim &amp; JF</t>
  </si>
  <si>
    <t>Horaire de travail</t>
  </si>
  <si>
    <t>Heures travaillées</t>
  </si>
  <si>
    <t>Décompte des heures</t>
  </si>
  <si>
    <t>heures de nuit fin de mois</t>
  </si>
  <si>
    <t>Reportées</t>
  </si>
  <si>
    <t>Résultat</t>
  </si>
  <si>
    <t>Déduites</t>
  </si>
  <si>
    <t>Décomptées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</si>
</sst>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 _€_-;\-* #,##0.00\ _€_-;_-* &quot;-&quot;??\ _€_-;_-@_-"/>
    <numFmt numFmtId="164" formatCode="[$-F800]dddd\,\ mmmm\ dd\,\ yyyy"/>
    <numFmt numFmtId="165" formatCode="h:mm;@"/>
    <numFmt numFmtId="166" formatCode="ddd\ dd/mm/yyyy"/>
    <numFmt numFmtId="167" formatCode="d\ hh:mm"/>
    <numFmt numFmtId="168" formatCode="[$-40C]mmmm\-yy;@"/>
    <numFmt numFmtId="169" formatCode="[h]:mm:ss;@"/>
  </numFmts>
  <fonts count="28" x14ac:knownFonts="1">
    <font>
      <sz val="11"/>
      <color theme="1"/>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b/>
      <sz val="10"/>
      <name val="Calibri"/>
      <family val="2"/>
      <scheme val="minor"/>
    </font>
    <font>
      <sz val="11"/>
      <color theme="1"/>
      <name val="Calibri"/>
      <family val="2"/>
      <scheme val="minor"/>
    </font>
    <font>
      <b/>
      <sz val="12"/>
      <color rgb="FF000000"/>
      <name val="Arial"/>
      <family val="2"/>
    </font>
    <font>
      <b/>
      <sz val="10"/>
      <color theme="1"/>
      <name val="Arial"/>
      <family val="2"/>
    </font>
    <font>
      <b/>
      <sz val="20"/>
      <color theme="1"/>
      <name val="Impact"/>
      <family val="2"/>
    </font>
    <font>
      <b/>
      <sz val="12"/>
      <color theme="1"/>
      <name val="Calibri"/>
      <family val="2"/>
      <scheme val="minor"/>
    </font>
    <font>
      <b/>
      <sz val="12"/>
      <color rgb="FFFF0000"/>
      <name val="Calibri"/>
      <family val="2"/>
      <scheme val="minor"/>
    </font>
    <font>
      <sz val="11"/>
      <color theme="1"/>
      <name val="Arial"/>
      <family val="2"/>
    </font>
    <font>
      <sz val="10"/>
      <color theme="1"/>
      <name val="Calibri"/>
      <family val="2"/>
      <scheme val="minor"/>
    </font>
    <font>
      <b/>
      <sz val="11"/>
      <color rgb="FF0070C0"/>
      <name val="Arial"/>
      <family val="2"/>
    </font>
    <font>
      <b/>
      <sz val="12"/>
      <color rgb="FF0070C0"/>
      <name val="Arial"/>
      <family val="2"/>
    </font>
    <font>
      <sz val="12"/>
      <color theme="1"/>
      <name val="Arial"/>
      <family val="2"/>
    </font>
    <font>
      <sz val="16"/>
      <color theme="1"/>
      <name val="Calibri"/>
      <family val="2"/>
      <scheme val="minor"/>
    </font>
    <font>
      <b/>
      <sz val="11"/>
      <color theme="0"/>
      <name val="Calibri"/>
      <family val="2"/>
      <scheme val="minor"/>
    </font>
    <font>
      <b/>
      <u/>
      <sz val="14"/>
      <color rgb="FFFF0000"/>
      <name val="Calibri"/>
      <family val="2"/>
      <scheme val="minor"/>
    </font>
    <font>
      <b/>
      <sz val="14"/>
      <color rgb="FFFF0000"/>
      <name val="Calibri"/>
      <family val="2"/>
      <scheme val="minor"/>
    </font>
    <font>
      <b/>
      <sz val="18"/>
      <color rgb="FF0070C0"/>
      <name val="Calibri"/>
      <family val="2"/>
      <scheme val="minor"/>
    </font>
    <font>
      <sz val="11"/>
      <color rgb="FF0070C0"/>
      <name val="Calibri"/>
      <family val="2"/>
      <scheme val="minor"/>
    </font>
    <font>
      <b/>
      <sz val="14"/>
      <color rgb="FF0070C0"/>
      <name val="Calibri"/>
      <family val="2"/>
      <scheme val="minor"/>
    </font>
    <font>
      <b/>
      <sz val="11"/>
      <color theme="1"/>
      <name val="Arial"/>
      <family val="2"/>
    </font>
    <font>
      <sz val="18"/>
      <color rgb="FFFF0000"/>
      <name val="Calibri"/>
      <family val="2"/>
    </font>
    <font>
      <sz val="14"/>
      <color rgb="FFFF0000"/>
      <name val="Calibri"/>
      <family val="2"/>
    </font>
    <font>
      <sz val="10"/>
      <name val="Calibri"/>
      <family val="2"/>
      <scheme val="minor"/>
    </font>
    <font>
      <b/>
      <sz val="10"/>
      <name val="Arial"/>
      <family val="2"/>
    </font>
  </fonts>
  <fills count="11">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5" tint="0.79998168889431442"/>
        <bgColor indexed="64"/>
      </patternFill>
    </fill>
    <fill>
      <patternFill patternType="solid">
        <fgColor rgb="FFFFFF00"/>
        <bgColor indexed="64"/>
      </patternFill>
    </fill>
    <fill>
      <patternFill patternType="solid">
        <fgColor rgb="FF00B0F0"/>
        <bgColor indexed="64"/>
      </patternFill>
    </fill>
    <fill>
      <patternFill patternType="solid">
        <fgColor theme="1"/>
        <bgColor indexed="64"/>
      </patternFill>
    </fill>
    <fill>
      <patternFill patternType="solid">
        <fgColor theme="9" tint="0.39997558519241921"/>
        <bgColor indexed="64"/>
      </patternFill>
    </fill>
    <fill>
      <patternFill patternType="solid">
        <fgColor rgb="FF92D050"/>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right/>
      <top style="thin">
        <color indexed="64"/>
      </top>
      <bottom style="thin">
        <color indexed="64"/>
      </bottom>
      <diagonal/>
    </border>
    <border>
      <left/>
      <right/>
      <top style="medium">
        <color indexed="64"/>
      </top>
      <bottom style="thin">
        <color theme="0" tint="-0.249977111117893"/>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43" fontId="5" fillId="0" borderId="0" applyFont="0" applyFill="0" applyBorder="0" applyAlignment="0" applyProtection="0"/>
  </cellStyleXfs>
  <cellXfs count="170">
    <xf numFmtId="0" fontId="0" fillId="0" borderId="0" xfId="0"/>
    <xf numFmtId="0" fontId="0" fillId="0" borderId="1" xfId="0" applyFont="1" applyBorder="1" applyAlignment="1" applyProtection="1">
      <alignment horizontal="center" vertical="center"/>
      <protection locked="0"/>
    </xf>
    <xf numFmtId="165" fontId="3" fillId="0" borderId="1" xfId="0" applyNumberFormat="1" applyFont="1" applyBorder="1" applyAlignment="1" applyProtection="1">
      <alignment horizontal="center" vertical="center"/>
      <protection locked="0"/>
    </xf>
    <xf numFmtId="165" fontId="3" fillId="2" borderId="1" xfId="0" applyNumberFormat="1" applyFont="1" applyFill="1" applyBorder="1" applyAlignment="1" applyProtection="1">
      <alignment horizontal="center" vertical="center"/>
      <protection locked="0"/>
    </xf>
    <xf numFmtId="164" fontId="2" fillId="0" borderId="2" xfId="0" applyNumberFormat="1" applyFont="1" applyBorder="1" applyAlignment="1" applyProtection="1">
      <alignment horizontal="center" vertical="center"/>
      <protection locked="0"/>
    </xf>
    <xf numFmtId="165" fontId="3" fillId="2" borderId="7" xfId="0" applyNumberFormat="1" applyFont="1" applyFill="1" applyBorder="1" applyAlignment="1" applyProtection="1">
      <alignment horizontal="center" vertical="center"/>
      <protection locked="0"/>
    </xf>
    <xf numFmtId="0" fontId="0" fillId="0" borderId="0" xfId="0" applyFill="1" applyAlignment="1">
      <alignment horizontal="center" vertical="center" wrapText="1"/>
    </xf>
    <xf numFmtId="20" fontId="0" fillId="0" borderId="0" xfId="0" applyNumberFormat="1"/>
    <xf numFmtId="167" fontId="0" fillId="0" borderId="0" xfId="0" applyNumberFormat="1"/>
    <xf numFmtId="165" fontId="12" fillId="2" borderId="1" xfId="0" applyNumberFormat="1" applyFont="1" applyFill="1" applyBorder="1" applyAlignment="1" applyProtection="1">
      <alignment horizontal="center" vertical="center"/>
      <protection locked="0"/>
    </xf>
    <xf numFmtId="165" fontId="12" fillId="2" borderId="7" xfId="0" applyNumberFormat="1" applyFont="1" applyFill="1" applyBorder="1" applyAlignment="1" applyProtection="1">
      <alignment horizontal="center" vertical="center"/>
      <protection locked="0"/>
    </xf>
    <xf numFmtId="0" fontId="0" fillId="0" borderId="0" xfId="0" applyAlignment="1">
      <alignment horizontal="center"/>
    </xf>
    <xf numFmtId="0" fontId="0" fillId="0" borderId="0" xfId="0" applyAlignment="1" applyProtection="1"/>
    <xf numFmtId="0" fontId="1" fillId="0" borderId="0" xfId="0" applyFont="1" applyAlignment="1" applyProtection="1"/>
    <xf numFmtId="0" fontId="7" fillId="0" borderId="0" xfId="0" applyFont="1" applyAlignment="1" applyProtection="1"/>
    <xf numFmtId="0" fontId="0" fillId="0" borderId="0" xfId="0" applyProtection="1"/>
    <xf numFmtId="0" fontId="0" fillId="0" borderId="0" xfId="0" applyAlignment="1" applyProtection="1">
      <alignment horizontal="center"/>
    </xf>
    <xf numFmtId="0" fontId="11" fillId="0" borderId="11" xfId="0" applyFont="1" applyBorder="1" applyAlignment="1" applyProtection="1">
      <alignment vertical="center"/>
    </xf>
    <xf numFmtId="0" fontId="15" fillId="0" borderId="13" xfId="0" applyFont="1" applyBorder="1" applyAlignment="1" applyProtection="1">
      <alignment horizontal="left"/>
    </xf>
    <xf numFmtId="0" fontId="15" fillId="0" borderId="0" xfId="0" applyFont="1" applyBorder="1" applyAlignment="1" applyProtection="1">
      <alignment horizontal="left"/>
    </xf>
    <xf numFmtId="0" fontId="15" fillId="0" borderId="14" xfId="0" applyFont="1" applyBorder="1" applyAlignment="1" applyProtection="1">
      <alignment horizontal="center"/>
    </xf>
    <xf numFmtId="0" fontId="11" fillId="0" borderId="16" xfId="0" applyFont="1" applyBorder="1" applyAlignment="1" applyProtection="1">
      <alignment horizontal="left"/>
    </xf>
    <xf numFmtId="0" fontId="11" fillId="0" borderId="17" xfId="0" applyFont="1" applyBorder="1" applyAlignment="1" applyProtection="1">
      <alignment horizontal="center"/>
    </xf>
    <xf numFmtId="0" fontId="0" fillId="0" borderId="0" xfId="0" applyFill="1" applyBorder="1" applyAlignment="1" applyProtection="1">
      <alignment horizontal="center"/>
    </xf>
    <xf numFmtId="0" fontId="1" fillId="0" borderId="4"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xf>
    <xf numFmtId="0" fontId="1" fillId="5" borderId="5" xfId="0" applyFont="1" applyFill="1" applyBorder="1" applyAlignment="1" applyProtection="1">
      <alignment horizontal="center" vertical="center" wrapText="1"/>
    </xf>
    <xf numFmtId="0" fontId="1" fillId="0" borderId="6" xfId="0" applyFont="1" applyFill="1" applyBorder="1" applyAlignment="1" applyProtection="1">
      <alignment horizontal="center" vertical="center" wrapText="1"/>
    </xf>
    <xf numFmtId="43" fontId="3" fillId="5" borderId="1" xfId="1" applyFont="1" applyFill="1" applyBorder="1" applyAlignment="1" applyProtection="1">
      <alignment horizontal="center" vertical="center"/>
    </xf>
    <xf numFmtId="43" fontId="3" fillId="0" borderId="1" xfId="1" applyFont="1" applyFill="1" applyBorder="1" applyAlignment="1" applyProtection="1">
      <alignment horizontal="center" vertical="center"/>
    </xf>
    <xf numFmtId="167" fontId="3" fillId="3" borderId="1" xfId="0" applyNumberFormat="1" applyFont="1" applyFill="1" applyBorder="1" applyAlignment="1" applyProtection="1">
      <alignment horizontal="center" vertical="center"/>
    </xf>
    <xf numFmtId="43" fontId="3" fillId="3" borderId="1" xfId="1" applyFont="1" applyFill="1" applyBorder="1" applyAlignment="1" applyProtection="1">
      <alignment horizontal="center" vertical="center"/>
    </xf>
    <xf numFmtId="43" fontId="3" fillId="3" borderId="3" xfId="1" applyFont="1" applyFill="1" applyBorder="1" applyAlignment="1" applyProtection="1">
      <alignment horizontal="center" vertical="center"/>
    </xf>
    <xf numFmtId="43" fontId="3" fillId="0" borderId="7" xfId="1" applyFont="1" applyFill="1" applyBorder="1" applyAlignment="1" applyProtection="1">
      <alignment horizontal="center" vertical="center"/>
    </xf>
    <xf numFmtId="167" fontId="3" fillId="3" borderId="7" xfId="0" applyNumberFormat="1" applyFont="1" applyFill="1" applyBorder="1" applyAlignment="1" applyProtection="1">
      <alignment horizontal="center" vertical="center"/>
    </xf>
    <xf numFmtId="43" fontId="3" fillId="3" borderId="7" xfId="1" applyFont="1" applyFill="1" applyBorder="1" applyAlignment="1" applyProtection="1">
      <alignment horizontal="center" vertical="center"/>
    </xf>
    <xf numFmtId="43" fontId="3" fillId="3" borderId="8" xfId="1" applyFont="1" applyFill="1" applyBorder="1" applyAlignment="1" applyProtection="1">
      <alignment horizontal="center" vertical="center"/>
    </xf>
    <xf numFmtId="43" fontId="12" fillId="5" borderId="1" xfId="1" applyNumberFormat="1" applyFont="1" applyFill="1" applyBorder="1" applyAlignment="1" applyProtection="1">
      <alignment horizontal="center" vertical="center"/>
    </xf>
    <xf numFmtId="43" fontId="12" fillId="0" borderId="1" xfId="1" applyNumberFormat="1" applyFont="1" applyFill="1" applyBorder="1" applyAlignment="1" applyProtection="1">
      <alignment horizontal="center" vertical="center"/>
    </xf>
    <xf numFmtId="167" fontId="12" fillId="3" borderId="3" xfId="0" applyNumberFormat="1" applyFont="1" applyFill="1" applyBorder="1" applyAlignment="1" applyProtection="1">
      <alignment horizontal="center" vertical="center"/>
    </xf>
    <xf numFmtId="167" fontId="12" fillId="3" borderId="30" xfId="0" applyNumberFormat="1" applyFont="1" applyFill="1" applyBorder="1" applyAlignment="1" applyProtection="1">
      <alignment horizontal="center" vertical="center"/>
    </xf>
    <xf numFmtId="43" fontId="12" fillId="3" borderId="30" xfId="1" applyNumberFormat="1" applyFont="1" applyFill="1" applyBorder="1" applyAlignment="1" applyProtection="1">
      <alignment horizontal="center" vertical="center"/>
    </xf>
    <xf numFmtId="43" fontId="12" fillId="5" borderId="7" xfId="1" applyNumberFormat="1" applyFont="1" applyFill="1" applyBorder="1" applyAlignment="1" applyProtection="1">
      <alignment horizontal="center" vertical="center"/>
    </xf>
    <xf numFmtId="43" fontId="12" fillId="0" borderId="7" xfId="1" applyNumberFormat="1" applyFont="1" applyFill="1" applyBorder="1" applyAlignment="1" applyProtection="1">
      <alignment horizontal="center" vertical="center"/>
    </xf>
    <xf numFmtId="167" fontId="12" fillId="3" borderId="8" xfId="0" applyNumberFormat="1" applyFont="1" applyFill="1" applyBorder="1" applyAlignment="1" applyProtection="1">
      <alignment horizontal="center" vertical="center"/>
    </xf>
    <xf numFmtId="167" fontId="12" fillId="3" borderId="9" xfId="0" applyNumberFormat="1" applyFont="1" applyFill="1" applyBorder="1" applyAlignment="1" applyProtection="1">
      <alignment horizontal="center" vertical="center"/>
    </xf>
    <xf numFmtId="43" fontId="12" fillId="3" borderId="9" xfId="1" applyNumberFormat="1" applyFont="1" applyFill="1" applyBorder="1" applyAlignment="1" applyProtection="1">
      <alignment horizontal="center" vertical="center"/>
    </xf>
    <xf numFmtId="43" fontId="3" fillId="5" borderId="1" xfId="1" applyNumberFormat="1" applyFont="1" applyFill="1" applyBorder="1" applyAlignment="1" applyProtection="1">
      <alignment horizontal="center" vertical="center"/>
    </xf>
    <xf numFmtId="43" fontId="3" fillId="0" borderId="1" xfId="1" applyNumberFormat="1" applyFont="1" applyFill="1" applyBorder="1" applyAlignment="1" applyProtection="1">
      <alignment horizontal="center" vertical="center"/>
    </xf>
    <xf numFmtId="167" fontId="3" fillId="3" borderId="3" xfId="0" applyNumberFormat="1" applyFont="1" applyFill="1" applyBorder="1" applyAlignment="1" applyProtection="1">
      <alignment horizontal="center" vertical="center"/>
    </xf>
    <xf numFmtId="167" fontId="3" fillId="3" borderId="30" xfId="0" applyNumberFormat="1" applyFont="1" applyFill="1" applyBorder="1" applyAlignment="1" applyProtection="1">
      <alignment horizontal="center" vertical="center"/>
    </xf>
    <xf numFmtId="43" fontId="3" fillId="3" borderId="30" xfId="1" applyNumberFormat="1" applyFont="1" applyFill="1" applyBorder="1" applyAlignment="1" applyProtection="1">
      <alignment horizontal="center" vertical="center"/>
    </xf>
    <xf numFmtId="0" fontId="0" fillId="0" borderId="0" xfId="0" applyBorder="1" applyProtection="1"/>
    <xf numFmtId="2" fontId="9" fillId="5" borderId="21" xfId="0" applyNumberFormat="1" applyFont="1" applyFill="1" applyBorder="1" applyAlignment="1" applyProtection="1">
      <alignment horizontal="center" vertical="center"/>
    </xf>
    <xf numFmtId="2" fontId="10" fillId="0" borderId="21" xfId="0" applyNumberFormat="1" applyFont="1" applyBorder="1" applyAlignment="1" applyProtection="1">
      <alignment horizontal="center" vertical="center"/>
    </xf>
    <xf numFmtId="0" fontId="11" fillId="0" borderId="15" xfId="0" applyFont="1" applyBorder="1" applyAlignment="1" applyProtection="1">
      <alignment vertical="center"/>
    </xf>
    <xf numFmtId="0" fontId="0" fillId="0" borderId="0" xfId="0" applyBorder="1" applyAlignment="1" applyProtection="1">
      <alignment horizontal="center"/>
    </xf>
    <xf numFmtId="0" fontId="0" fillId="0" borderId="0" xfId="0" applyBorder="1" applyAlignment="1" applyProtection="1">
      <alignment horizontal="center"/>
    </xf>
    <xf numFmtId="0" fontId="0" fillId="0" borderId="0" xfId="0" applyAlignment="1">
      <alignment horizontal="center" vertical="center"/>
    </xf>
    <xf numFmtId="168" fontId="14" fillId="0" borderId="11" xfId="0" applyNumberFormat="1" applyFont="1" applyBorder="1" applyAlignment="1" applyProtection="1"/>
    <xf numFmtId="0" fontId="0" fillId="2" borderId="1" xfId="0" applyFont="1" applyFill="1" applyBorder="1" applyAlignment="1" applyProtection="1">
      <alignment horizontal="center" vertical="center"/>
    </xf>
    <xf numFmtId="0" fontId="0" fillId="0" borderId="0" xfId="0" applyFill="1" applyBorder="1" applyAlignment="1">
      <alignment horizontal="center" vertical="center"/>
    </xf>
    <xf numFmtId="0" fontId="20" fillId="0" borderId="0" xfId="0" applyFont="1" applyFill="1" applyBorder="1" applyAlignment="1">
      <alignment horizontal="center" vertical="center"/>
    </xf>
    <xf numFmtId="169" fontId="20" fillId="0" borderId="0" xfId="0" applyNumberFormat="1" applyFont="1" applyFill="1" applyBorder="1" applyAlignment="1">
      <alignment horizontal="center" vertical="center"/>
    </xf>
    <xf numFmtId="0" fontId="0" fillId="0" borderId="0" xfId="0" applyFill="1" applyBorder="1"/>
    <xf numFmtId="0" fontId="1" fillId="0" borderId="32" xfId="0" applyFont="1" applyFill="1" applyBorder="1" applyAlignment="1">
      <alignment horizontal="center" vertical="center" wrapText="1"/>
    </xf>
    <xf numFmtId="0" fontId="0" fillId="0" borderId="33" xfId="0" applyNumberFormat="1" applyFill="1" applyBorder="1" applyAlignment="1">
      <alignment horizontal="center" vertical="center"/>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wrapText="1"/>
    </xf>
    <xf numFmtId="165" fontId="21" fillId="0" borderId="36" xfId="0" applyNumberFormat="1" applyFont="1" applyFill="1" applyBorder="1" applyAlignment="1">
      <alignment horizontal="center" vertical="center"/>
    </xf>
    <xf numFmtId="2" fontId="0" fillId="0" borderId="37" xfId="0" applyNumberFormat="1" applyFill="1" applyBorder="1" applyAlignment="1">
      <alignment horizontal="center" vertical="center"/>
    </xf>
    <xf numFmtId="0" fontId="1" fillId="0" borderId="33" xfId="0" applyFont="1" applyFill="1" applyBorder="1" applyAlignment="1">
      <alignment horizontal="center" vertical="center"/>
    </xf>
    <xf numFmtId="0" fontId="18" fillId="0" borderId="21" xfId="0" applyFont="1" applyFill="1" applyBorder="1" applyAlignment="1">
      <alignment horizontal="center" vertical="center"/>
    </xf>
    <xf numFmtId="0" fontId="19" fillId="0" borderId="21" xfId="0" applyNumberFormat="1" applyFont="1" applyFill="1" applyBorder="1" applyAlignment="1">
      <alignment horizontal="center" vertical="center"/>
    </xf>
    <xf numFmtId="169" fontId="22" fillId="0" borderId="43" xfId="0" applyNumberFormat="1" applyFont="1" applyFill="1" applyBorder="1" applyAlignment="1">
      <alignment horizontal="center" vertical="center"/>
    </xf>
    <xf numFmtId="2" fontId="19" fillId="0" borderId="44" xfId="0" applyNumberFormat="1" applyFont="1" applyFill="1" applyBorder="1" applyAlignment="1">
      <alignment horizontal="center" vertical="center"/>
    </xf>
    <xf numFmtId="0" fontId="0" fillId="8" borderId="39" xfId="0" applyFill="1" applyBorder="1" applyAlignment="1">
      <alignment horizontal="center" vertical="center"/>
    </xf>
    <xf numFmtId="0" fontId="0" fillId="8" borderId="40" xfId="0" applyFill="1" applyBorder="1" applyAlignment="1">
      <alignment horizontal="center" vertical="center"/>
    </xf>
    <xf numFmtId="0" fontId="0" fillId="8" borderId="41" xfId="0" applyFill="1" applyBorder="1" applyAlignment="1">
      <alignment horizontal="center" vertical="center"/>
    </xf>
    <xf numFmtId="0" fontId="0" fillId="8" borderId="42" xfId="0" applyFill="1" applyBorder="1" applyAlignment="1">
      <alignment horizontal="center" vertical="center"/>
    </xf>
    <xf numFmtId="0" fontId="11" fillId="0" borderId="10" xfId="0" applyFont="1" applyBorder="1" applyAlignment="1" applyProtection="1">
      <alignment vertical="center"/>
    </xf>
    <xf numFmtId="0" fontId="13" fillId="0" borderId="11" xfId="0" applyFont="1" applyBorder="1" applyAlignment="1" applyProtection="1">
      <alignment horizontal="left" vertical="center"/>
    </xf>
    <xf numFmtId="168" fontId="14" fillId="0" borderId="12" xfId="0" applyNumberFormat="1" applyFont="1" applyBorder="1" applyAlignment="1" applyProtection="1"/>
    <xf numFmtId="0" fontId="13" fillId="0" borderId="16" xfId="0" applyFont="1" applyBorder="1" applyAlignment="1" applyProtection="1">
      <alignment horizontal="left" vertical="center"/>
    </xf>
    <xf numFmtId="0" fontId="16" fillId="6" borderId="21" xfId="0" applyFont="1" applyFill="1" applyBorder="1" applyAlignment="1" applyProtection="1">
      <alignment horizontal="center" vertical="center"/>
      <protection locked="0"/>
    </xf>
    <xf numFmtId="0" fontId="4" fillId="0" borderId="1" xfId="0" applyFont="1" applyFill="1" applyBorder="1" applyAlignment="1" applyProtection="1">
      <alignment horizontal="center"/>
      <protection locked="0"/>
    </xf>
    <xf numFmtId="0" fontId="3" fillId="0" borderId="1" xfId="0" applyFont="1" applyBorder="1" applyAlignment="1" applyProtection="1">
      <alignment horizontal="right" indent="1"/>
    </xf>
    <xf numFmtId="166" fontId="3" fillId="0" borderId="1" xfId="0" applyNumberFormat="1" applyFont="1" applyFill="1" applyBorder="1" applyAlignment="1" applyProtection="1">
      <alignment horizontal="center"/>
    </xf>
    <xf numFmtId="166" fontId="3" fillId="3" borderId="1" xfId="0" applyNumberFormat="1" applyFont="1" applyFill="1" applyBorder="1" applyAlignment="1" applyProtection="1">
      <alignment horizontal="center"/>
    </xf>
    <xf numFmtId="0" fontId="3" fillId="0" borderId="1" xfId="0" applyFont="1" applyBorder="1" applyAlignment="1" applyProtection="1">
      <alignment horizontal="center"/>
    </xf>
    <xf numFmtId="0" fontId="0" fillId="0" borderId="0" xfId="0" applyAlignment="1" applyProtection="1">
      <alignment horizontal="right" indent="1"/>
    </xf>
    <xf numFmtId="20" fontId="0" fillId="0" borderId="0" xfId="0" applyNumberFormat="1" applyProtection="1"/>
    <xf numFmtId="0" fontId="17" fillId="7" borderId="1" xfId="0" applyFont="1" applyFill="1" applyBorder="1" applyAlignment="1" applyProtection="1">
      <alignment horizontal="center" vertical="center"/>
    </xf>
    <xf numFmtId="0" fontId="0" fillId="9" borderId="1" xfId="0" applyFill="1" applyBorder="1" applyAlignment="1" applyProtection="1">
      <alignment horizontal="center" vertical="center"/>
    </xf>
    <xf numFmtId="20" fontId="0" fillId="9" borderId="1" xfId="0" applyNumberFormat="1" applyFill="1" applyBorder="1" applyAlignment="1" applyProtection="1">
      <alignment horizontal="center" vertical="center"/>
    </xf>
    <xf numFmtId="0" fontId="0" fillId="9" borderId="7" xfId="0" applyFill="1" applyBorder="1" applyAlignment="1" applyProtection="1">
      <alignment horizontal="center" vertical="center"/>
    </xf>
    <xf numFmtId="20" fontId="0" fillId="9" borderId="7" xfId="0" applyNumberFormat="1" applyFill="1" applyBorder="1" applyAlignment="1" applyProtection="1">
      <alignment horizontal="center" vertical="center"/>
    </xf>
    <xf numFmtId="0" fontId="13" fillId="0" borderId="11" xfId="0" applyFont="1" applyBorder="1" applyAlignment="1" applyProtection="1">
      <alignment vertical="center"/>
      <protection locked="0"/>
    </xf>
    <xf numFmtId="0" fontId="13" fillId="0" borderId="16" xfId="0" applyFont="1" applyBorder="1" applyAlignment="1" applyProtection="1">
      <alignment horizontal="left" vertical="center"/>
      <protection locked="0"/>
    </xf>
    <xf numFmtId="169" fontId="21" fillId="0" borderId="36" xfId="0" applyNumberFormat="1" applyFont="1" applyFill="1" applyBorder="1" applyAlignment="1">
      <alignment horizontal="center" vertical="center"/>
    </xf>
    <xf numFmtId="169" fontId="21" fillId="0" borderId="38" xfId="0" applyNumberFormat="1" applyFont="1" applyFill="1" applyBorder="1" applyAlignment="1">
      <alignment horizontal="center" vertical="center"/>
    </xf>
    <xf numFmtId="0" fontId="0" fillId="0" borderId="0" xfId="0" applyBorder="1" applyAlignment="1" applyProtection="1">
      <alignment horizontal="center"/>
    </xf>
    <xf numFmtId="0" fontId="8" fillId="0" borderId="0" xfId="0" applyFont="1" applyAlignment="1" applyProtection="1">
      <alignment horizontal="center" vertical="center"/>
    </xf>
    <xf numFmtId="0" fontId="23" fillId="0" borderId="0" xfId="0" applyFont="1" applyAlignment="1" applyProtection="1">
      <alignment horizontal="left" vertical="center"/>
    </xf>
    <xf numFmtId="0" fontId="17" fillId="7" borderId="0" xfId="0" applyFont="1" applyFill="1" applyAlignment="1" applyProtection="1">
      <alignment horizontal="center" vertical="center"/>
    </xf>
    <xf numFmtId="20" fontId="17" fillId="7" borderId="0" xfId="0" applyNumberFormat="1" applyFont="1" applyFill="1" applyAlignment="1" applyProtection="1">
      <alignment horizontal="center" vertical="center"/>
    </xf>
    <xf numFmtId="20" fontId="17" fillId="7" borderId="1" xfId="0" applyNumberFormat="1" applyFont="1" applyFill="1" applyBorder="1" applyAlignment="1" applyProtection="1">
      <alignment horizontal="center" vertical="center"/>
    </xf>
    <xf numFmtId="168" fontId="13" fillId="0" borderId="11" xfId="0" applyNumberFormat="1" applyFont="1" applyBorder="1" applyAlignment="1" applyProtection="1"/>
    <xf numFmtId="0" fontId="0" fillId="6" borderId="7" xfId="0" applyFill="1" applyBorder="1" applyAlignment="1" applyProtection="1">
      <alignment horizontal="center" vertical="center"/>
    </xf>
    <xf numFmtId="20" fontId="0" fillId="6" borderId="7" xfId="0" applyNumberFormat="1" applyFill="1" applyBorder="1" applyAlignment="1" applyProtection="1">
      <alignment horizontal="center" vertical="center"/>
    </xf>
    <xf numFmtId="0" fontId="0" fillId="10" borderId="7" xfId="0" applyFill="1" applyBorder="1" applyAlignment="1" applyProtection="1">
      <alignment horizontal="center" vertical="center"/>
    </xf>
    <xf numFmtId="20" fontId="0" fillId="10" borderId="7" xfId="0" applyNumberFormat="1" applyFill="1" applyBorder="1" applyAlignment="1" applyProtection="1">
      <alignment horizontal="center" vertical="center"/>
    </xf>
    <xf numFmtId="0" fontId="0" fillId="10" borderId="7" xfId="0" applyNumberFormat="1" applyFill="1" applyBorder="1" applyAlignment="1" applyProtection="1">
      <alignment horizontal="center" vertical="center"/>
    </xf>
    <xf numFmtId="165" fontId="26" fillId="0" borderId="1" xfId="0" applyNumberFormat="1" applyFont="1" applyBorder="1" applyAlignment="1" applyProtection="1">
      <alignment horizontal="center" vertical="center"/>
      <protection locked="0"/>
    </xf>
    <xf numFmtId="0" fontId="8" fillId="0" borderId="0" xfId="0" applyFont="1" applyBorder="1" applyAlignment="1" applyProtection="1">
      <alignment horizontal="center" vertical="center"/>
    </xf>
    <xf numFmtId="168" fontId="14" fillId="0" borderId="0" xfId="0" applyNumberFormat="1" applyFont="1" applyBorder="1" applyAlignment="1" applyProtection="1"/>
    <xf numFmtId="0" fontId="15" fillId="0" borderId="0" xfId="0" applyFont="1" applyBorder="1" applyAlignment="1" applyProtection="1">
      <alignment horizontal="center"/>
    </xf>
    <xf numFmtId="0" fontId="11" fillId="0" borderId="0" xfId="0" applyFont="1" applyBorder="1" applyAlignment="1" applyProtection="1">
      <alignment horizontal="center"/>
    </xf>
    <xf numFmtId="0" fontId="0" fillId="4" borderId="0" xfId="0" applyFont="1" applyFill="1" applyBorder="1" applyAlignment="1" applyProtection="1">
      <alignment horizontal="center" vertical="center" wrapText="1"/>
    </xf>
    <xf numFmtId="43" fontId="3" fillId="0" borderId="3" xfId="1" applyNumberFormat="1" applyFont="1" applyFill="1" applyBorder="1" applyAlignment="1" applyProtection="1">
      <alignment horizontal="center" vertical="center"/>
    </xf>
    <xf numFmtId="43" fontId="3" fillId="0" borderId="8" xfId="1" applyNumberFormat="1" applyFont="1" applyFill="1" applyBorder="1" applyAlignment="1" applyProtection="1">
      <alignment horizontal="center" vertical="center"/>
    </xf>
    <xf numFmtId="2" fontId="10" fillId="0" borderId="0" xfId="0" applyNumberFormat="1" applyFont="1" applyBorder="1" applyAlignment="1" applyProtection="1">
      <alignment horizontal="center" vertical="center"/>
    </xf>
    <xf numFmtId="43" fontId="12" fillId="0" borderId="3" xfId="1" applyNumberFormat="1" applyFont="1" applyFill="1" applyBorder="1" applyAlignment="1" applyProtection="1">
      <alignment horizontal="center" vertical="center"/>
    </xf>
    <xf numFmtId="43" fontId="12" fillId="0" borderId="8" xfId="1" applyNumberFormat="1" applyFont="1" applyFill="1" applyBorder="1" applyAlignment="1" applyProtection="1">
      <alignment horizontal="center" vertical="center"/>
    </xf>
    <xf numFmtId="0" fontId="0" fillId="0" borderId="0" xfId="0" applyNumberFormat="1"/>
    <xf numFmtId="0" fontId="0" fillId="0" borderId="0" xfId="0" applyNumberFormat="1" applyFill="1" applyAlignment="1">
      <alignment horizontal="center" vertical="center" wrapText="1"/>
    </xf>
    <xf numFmtId="2" fontId="0" fillId="0" borderId="0" xfId="0" applyNumberFormat="1"/>
    <xf numFmtId="0" fontId="1" fillId="0" borderId="1" xfId="0" applyNumberFormat="1" applyFont="1" applyBorder="1" applyAlignment="1">
      <alignment horizontal="center" vertical="center"/>
    </xf>
    <xf numFmtId="2" fontId="0" fillId="0" borderId="1" xfId="0" applyNumberFormat="1" applyBorder="1" applyAlignment="1">
      <alignment horizontal="center" vertical="center"/>
    </xf>
    <xf numFmtId="0" fontId="0" fillId="0" borderId="1" xfId="0" applyNumberFormat="1" applyBorder="1" applyAlignment="1">
      <alignment horizontal="center" vertical="center"/>
    </xf>
    <xf numFmtId="0" fontId="7" fillId="0" borderId="0" xfId="0" applyFont="1" applyAlignment="1" applyProtection="1">
      <alignment horizontal="left"/>
    </xf>
    <xf numFmtId="0" fontId="27" fillId="0" borderId="0" xfId="0" applyFont="1" applyAlignment="1" applyProtection="1"/>
    <xf numFmtId="0" fontId="6" fillId="0" borderId="0" xfId="0" applyFont="1" applyAlignment="1" applyProtection="1">
      <alignment horizontal="left" vertical="center" wrapText="1"/>
    </xf>
    <xf numFmtId="0" fontId="8" fillId="0" borderId="0" xfId="0" applyFont="1" applyAlignment="1" applyProtection="1">
      <alignment horizontal="center" vertical="center"/>
    </xf>
    <xf numFmtId="0" fontId="8" fillId="0" borderId="16" xfId="0" applyFont="1" applyBorder="1" applyAlignment="1" applyProtection="1">
      <alignment horizontal="center" vertical="center"/>
    </xf>
    <xf numFmtId="0" fontId="13" fillId="0" borderId="11"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1" xfId="0" applyFont="1" applyBorder="1" applyAlignment="1" applyProtection="1">
      <alignment horizontal="left"/>
    </xf>
    <xf numFmtId="0" fontId="23" fillId="0" borderId="0" xfId="0" applyFont="1" applyAlignment="1" applyProtection="1">
      <alignment horizontal="left" vertical="center"/>
    </xf>
    <xf numFmtId="0" fontId="0" fillId="4" borderId="1" xfId="0" applyFont="1" applyFill="1" applyBorder="1" applyAlignment="1" applyProtection="1">
      <alignment horizontal="center" vertical="center" wrapText="1"/>
    </xf>
    <xf numFmtId="0" fontId="0" fillId="0" borderId="1" xfId="0" applyFont="1" applyBorder="1" applyAlignment="1" applyProtection="1">
      <alignment horizontal="center" vertical="top"/>
    </xf>
    <xf numFmtId="0" fontId="0" fillId="2" borderId="1" xfId="0" applyFont="1" applyFill="1" applyBorder="1" applyAlignment="1" applyProtection="1">
      <alignment horizontal="center" vertical="center"/>
    </xf>
    <xf numFmtId="0" fontId="0" fillId="0" borderId="1" xfId="0" applyFont="1" applyBorder="1" applyAlignment="1" applyProtection="1">
      <alignment horizontal="center" vertical="center"/>
    </xf>
    <xf numFmtId="2" fontId="0" fillId="5" borderId="1" xfId="0" applyNumberFormat="1" applyFont="1" applyFill="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0" xfId="0" applyFont="1" applyBorder="1" applyAlignment="1" applyProtection="1">
      <alignment horizontal="center" vertical="center"/>
    </xf>
    <xf numFmtId="0" fontId="11" fillId="0" borderId="28" xfId="0" applyFont="1" applyBorder="1" applyAlignment="1" applyProtection="1">
      <alignment horizontal="center"/>
    </xf>
    <xf numFmtId="0" fontId="11" fillId="0" borderId="31" xfId="0" applyFont="1" applyBorder="1" applyAlignment="1" applyProtection="1">
      <alignment horizontal="center"/>
    </xf>
    <xf numFmtId="0" fontId="0" fillId="0" borderId="22" xfId="0" applyBorder="1" applyAlignment="1" applyProtection="1">
      <alignment horizontal="center"/>
      <protection locked="0"/>
    </xf>
    <xf numFmtId="0" fontId="0" fillId="0" borderId="23" xfId="0" applyBorder="1" applyAlignment="1" applyProtection="1">
      <alignment horizontal="center"/>
      <protection locked="0"/>
    </xf>
    <xf numFmtId="0" fontId="0" fillId="0" borderId="24" xfId="0" applyBorder="1" applyAlignment="1" applyProtection="1">
      <alignment horizontal="center"/>
      <protection locked="0"/>
    </xf>
    <xf numFmtId="0" fontId="0" fillId="0" borderId="25" xfId="0" applyBorder="1" applyAlignment="1" applyProtection="1">
      <alignment horizontal="center"/>
      <protection locked="0"/>
    </xf>
    <xf numFmtId="0" fontId="0" fillId="0" borderId="0" xfId="0" applyBorder="1" applyAlignment="1" applyProtection="1">
      <alignment horizontal="center"/>
      <protection locked="0"/>
    </xf>
    <xf numFmtId="0" fontId="0" fillId="0" borderId="26" xfId="0" applyBorder="1" applyAlignment="1" applyProtection="1">
      <alignment horizontal="center"/>
      <protection locked="0"/>
    </xf>
    <xf numFmtId="0" fontId="0" fillId="0" borderId="27" xfId="0" applyBorder="1" applyAlignment="1" applyProtection="1">
      <alignment horizontal="center"/>
      <protection locked="0"/>
    </xf>
    <xf numFmtId="0" fontId="0" fillId="0" borderId="28" xfId="0" applyBorder="1" applyAlignment="1" applyProtection="1">
      <alignment horizontal="center"/>
      <protection locked="0"/>
    </xf>
    <xf numFmtId="0" fontId="0" fillId="0" borderId="29" xfId="0" applyBorder="1" applyAlignment="1" applyProtection="1">
      <alignment horizontal="center"/>
      <protection locked="0"/>
    </xf>
    <xf numFmtId="0" fontId="0" fillId="0" borderId="22" xfId="0" applyBorder="1" applyAlignment="1" applyProtection="1">
      <alignment horizontal="center"/>
    </xf>
    <xf numFmtId="0" fontId="0" fillId="0" borderId="23" xfId="0" applyBorder="1" applyAlignment="1" applyProtection="1">
      <alignment horizontal="center"/>
    </xf>
    <xf numFmtId="0" fontId="0" fillId="0" borderId="25" xfId="0" applyBorder="1" applyAlignment="1" applyProtection="1">
      <alignment horizontal="center"/>
    </xf>
    <xf numFmtId="0" fontId="0" fillId="0" borderId="0" xfId="0" applyBorder="1" applyAlignment="1" applyProtection="1">
      <alignment horizontal="center"/>
    </xf>
    <xf numFmtId="0" fontId="0" fillId="0" borderId="27" xfId="0" applyBorder="1" applyAlignment="1" applyProtection="1">
      <alignment horizontal="center"/>
    </xf>
    <xf numFmtId="0" fontId="0" fillId="0" borderId="28" xfId="0" applyBorder="1" applyAlignment="1" applyProtection="1">
      <alignment horizontal="center"/>
    </xf>
    <xf numFmtId="0" fontId="13" fillId="0" borderId="11" xfId="0" applyFont="1" applyBorder="1" applyAlignment="1" applyProtection="1">
      <alignment horizontal="center" vertical="center"/>
    </xf>
    <xf numFmtId="0" fontId="11" fillId="0" borderId="11" xfId="0" applyFont="1" applyBorder="1" applyAlignment="1" applyProtection="1">
      <alignment horizontal="center" vertical="center"/>
    </xf>
    <xf numFmtId="0" fontId="0" fillId="0" borderId="24" xfId="0" applyBorder="1" applyAlignment="1" applyProtection="1">
      <alignment horizontal="center"/>
    </xf>
    <xf numFmtId="0" fontId="0" fillId="0" borderId="26" xfId="0" applyBorder="1" applyAlignment="1" applyProtection="1">
      <alignment horizontal="center"/>
    </xf>
    <xf numFmtId="0" fontId="0" fillId="0" borderId="29" xfId="0" applyBorder="1" applyAlignment="1" applyProtection="1">
      <alignment horizontal="center"/>
    </xf>
    <xf numFmtId="2" fontId="0" fillId="6" borderId="1" xfId="0" applyNumberFormat="1" applyFill="1" applyBorder="1" applyAlignment="1">
      <alignment horizontal="center" vertical="center"/>
    </xf>
  </cellXfs>
  <cellStyles count="2">
    <cellStyle name="Milliers" xfId="1" builtinId="3"/>
    <cellStyle name="Normal" xfId="0" builtinId="0"/>
  </cellStyles>
  <dxfs count="319">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7" formatCode="d\ hh:mm"/>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35" formatCode="_-* #,##0.00\ _€_-;\-* #,##0.00\ _€_-;_-* &quot;-&quot;??\ _€_-;_-@_-"/>
      <fill>
        <patternFill patternType="solid">
          <fgColor indexed="64"/>
          <bgColor theme="5"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fill>
        <patternFill patternType="solid">
          <fgColor indexed="64"/>
          <bgColor theme="0" tint="-4.9989318521683403E-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0"/>
        <color theme="1"/>
        <name val="Calibri"/>
        <scheme val="minor"/>
      </font>
      <numFmt numFmtId="165" formatCode="h:mm;@"/>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Calibri"/>
        <scheme val="minor"/>
      </font>
      <numFmt numFmtId="164" formatCode="[$-F800]dddd\,\ mmmm\ dd\,\ yyyy"/>
      <alignment horizontal="center"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Calibri"/>
        <scheme val="none"/>
      </font>
      <fill>
        <patternFill patternType="solid">
          <fgColor rgb="FF000000"/>
          <bgColor rgb="FFF2F2F2"/>
        </patternFill>
      </fill>
      <alignment horizontal="center" vertical="center" textRotation="0" wrapText="0" indent="0" justifyLastLine="0" shrinkToFit="0" readingOrder="0"/>
      <protection locked="1" hidden="0"/>
    </dxf>
    <dxf>
      <border outline="0">
        <bottom style="thin">
          <color rgb="FF000000"/>
        </bottom>
      </border>
    </dxf>
    <dxf>
      <font>
        <b/>
        <i val="0"/>
        <strike val="0"/>
        <condense val="0"/>
        <extend val="0"/>
        <outline val="0"/>
        <shadow val="0"/>
        <u val="none"/>
        <vertAlign val="baseline"/>
        <sz val="11"/>
        <color theme="1"/>
        <name val="Calibri"/>
        <scheme val="minor"/>
      </font>
      <fill>
        <patternFill patternType="none">
          <fgColor indexed="64"/>
          <bgColor auto="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hidden="0"/>
    </dxf>
    <dxf>
      <font>
        <color theme="0"/>
      </font>
    </dxf>
    <dxf>
      <fill>
        <patternFill patternType="solid">
          <fgColor indexed="64"/>
          <bgColor rgb="FF92D05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numFmt numFmtId="25" formatCode="hh:mm"/>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numFmt numFmtId="25" formatCode="hh:mm"/>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ill>
        <patternFill patternType="solid">
          <fgColor indexed="64"/>
          <bgColor theme="9" tint="0.3999755851924192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bottom style="thin">
          <color indexed="64"/>
        </bottom>
      </border>
    </dxf>
    <dxf>
      <protection locked="1" hidden="0"/>
    </dxf>
    <dxf>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1813560</xdr:colOff>
          <xdr:row>16</xdr:row>
          <xdr:rowOff>0</xdr:rowOff>
        </xdr:from>
        <xdr:to>
          <xdr:col>3</xdr:col>
          <xdr:colOff>1409700</xdr:colOff>
          <xdr:row>19</xdr:row>
          <xdr:rowOff>15240</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0" i="0" u="none" strike="noStrike" baseline="0">
                  <a:solidFill>
                    <a:srgbClr val="FF0000"/>
                  </a:solidFill>
                  <a:latin typeface="Calibri"/>
                </a:rPr>
                <a:t>Impression Totaux</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3</xdr:col>
      <xdr:colOff>120650</xdr:colOff>
      <xdr:row>2</xdr:row>
      <xdr:rowOff>6350</xdr:rowOff>
    </xdr:from>
    <xdr:to>
      <xdr:col>5</xdr:col>
      <xdr:colOff>381000</xdr:colOff>
      <xdr:row>4</xdr:row>
      <xdr:rowOff>133350</xdr:rowOff>
    </xdr:to>
    <xdr:sp macro="" textlink="">
      <xdr:nvSpPr>
        <xdr:cNvPr id="2" name="Rectangle à coins arrondis 1"/>
        <xdr:cNvSpPr/>
      </xdr:nvSpPr>
      <xdr:spPr>
        <a:xfrm>
          <a:off x="3162300" y="374650"/>
          <a:ext cx="1784350" cy="495300"/>
        </a:xfrm>
        <a:prstGeom prst="wedgeRoundRectCallout">
          <a:avLst>
            <a:gd name="adj1" fmla="val -91191"/>
            <a:gd name="adj2" fmla="val -5766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 1 indique le jour d'après pour faciliter les calculs</a:t>
          </a:r>
        </a:p>
      </xdr:txBody>
    </xdr:sp>
    <xdr:clientData/>
  </xdr:twoCellAnchor>
  <mc:AlternateContent xmlns:mc="http://schemas.openxmlformats.org/markup-compatibility/2006">
    <mc:Choice xmlns:a14="http://schemas.microsoft.com/office/drawing/2010/main" Requires="a14">
      <xdr:twoCellAnchor>
        <xdr:from>
          <xdr:col>0</xdr:col>
          <xdr:colOff>342900</xdr:colOff>
          <xdr:row>7</xdr:row>
          <xdr:rowOff>7620</xdr:rowOff>
        </xdr:from>
        <xdr:to>
          <xdr:col>3</xdr:col>
          <xdr:colOff>746760</xdr:colOff>
          <xdr:row>10</xdr:row>
          <xdr:rowOff>22860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800" b="0" i="0" u="none" strike="noStrike" baseline="0">
                  <a:solidFill>
                    <a:srgbClr val="FF0000"/>
                  </a:solidFill>
                  <a:latin typeface="Calibri"/>
                </a:rPr>
                <a:t>REINITIALISATION DU CLASSEUR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3</xdr:col>
      <xdr:colOff>781050</xdr:colOff>
      <xdr:row>23</xdr:row>
      <xdr:rowOff>25400</xdr:rowOff>
    </xdr:from>
    <xdr:to>
      <xdr:col>6</xdr:col>
      <xdr:colOff>501650</xdr:colOff>
      <xdr:row>29</xdr:row>
      <xdr:rowOff>6350</xdr:rowOff>
    </xdr:to>
    <xdr:sp macro="" textlink="">
      <xdr:nvSpPr>
        <xdr:cNvPr id="2" name="Rectangle à coins arrondis 1"/>
        <xdr:cNvSpPr/>
      </xdr:nvSpPr>
      <xdr:spPr>
        <a:xfrm>
          <a:off x="4286250" y="4260850"/>
          <a:ext cx="2584450" cy="1085850"/>
        </a:xfrm>
        <a:prstGeom prst="wedgeRoundRectCallout">
          <a:avLst>
            <a:gd name="adj1" fmla="val -77835"/>
            <a:gd name="adj2" fmla="val -20541"/>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pas la peine de mettre de</a:t>
          </a:r>
          <a:r>
            <a:rPr lang="fr-FR" sz="1100" baseline="0"/>
            <a:t> RESERVE </a:t>
          </a:r>
        </a:p>
        <a:p>
          <a:pPr algn="l"/>
          <a:r>
            <a:rPr lang="fr-FR" sz="1100" baseline="0"/>
            <a:t>j'ai mis en tableau, les nouveaux éléments seront pris en compte automatiquement</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723900</xdr:colOff>
          <xdr:row>0</xdr:row>
          <xdr:rowOff>106680</xdr:rowOff>
        </xdr:from>
        <xdr:to>
          <xdr:col>21</xdr:col>
          <xdr:colOff>7620</xdr:colOff>
          <xdr:row>3</xdr:row>
          <xdr:rowOff>220980</xdr:rowOff>
        </xdr:to>
        <xdr:sp macro="" textlink="">
          <xdr:nvSpPr>
            <xdr:cNvPr id="4097" name="Command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21</xdr:col>
      <xdr:colOff>342900</xdr:colOff>
      <xdr:row>20</xdr:row>
      <xdr:rowOff>160020</xdr:rowOff>
    </xdr:from>
    <xdr:to>
      <xdr:col>22</xdr:col>
      <xdr:colOff>525780</xdr:colOff>
      <xdr:row>27</xdr:row>
      <xdr:rowOff>129540</xdr:rowOff>
    </xdr:to>
    <xdr:sp macro="" textlink="">
      <xdr:nvSpPr>
        <xdr:cNvPr id="3" name="Légende encadrée 1 2"/>
        <xdr:cNvSpPr/>
      </xdr:nvSpPr>
      <xdr:spPr>
        <a:xfrm>
          <a:off x="7094220" y="3695700"/>
          <a:ext cx="1706880" cy="1249680"/>
        </a:xfrm>
        <a:prstGeom prst="borderCallout1">
          <a:avLst>
            <a:gd name="adj1" fmla="val 18750"/>
            <a:gd name="adj2" fmla="val -8333"/>
            <a:gd name="adj3" fmla="val -75305"/>
            <a:gd name="adj4" fmla="val 91131"/>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report en Heures en centieme de la cellule Z16 du mois precedent</a:t>
          </a:r>
          <a:endParaRPr lang="fr-FR" sz="1100" baseline="0"/>
        </a:p>
        <a:p>
          <a:pPr algn="l"/>
          <a:r>
            <a:rPr lang="fr-FR" sz="1100" baseline="0"/>
            <a:t> </a:t>
          </a:r>
          <a:r>
            <a:rPr lang="fr-FR" sz="1100" baseline="0">
              <a:solidFill>
                <a:srgbClr val="FF0000"/>
              </a:solidFill>
            </a:rPr>
            <a:t>mois de janvier pris pour reference pour les mois suivant</a:t>
          </a:r>
          <a:endParaRPr lang="fr-FR" sz="1100">
            <a:solidFill>
              <a:srgbClr val="FF0000"/>
            </a:solidFill>
          </a:endParaRPr>
        </a:p>
      </xdr:txBody>
    </xdr:sp>
    <xdr:clientData/>
  </xdr:twoCellAnchor>
  <xdr:twoCellAnchor>
    <xdr:from>
      <xdr:col>23</xdr:col>
      <xdr:colOff>251460</xdr:colOff>
      <xdr:row>18</xdr:row>
      <xdr:rowOff>152400</xdr:rowOff>
    </xdr:from>
    <xdr:to>
      <xdr:col>23</xdr:col>
      <xdr:colOff>891540</xdr:colOff>
      <xdr:row>22</xdr:row>
      <xdr:rowOff>91440</xdr:rowOff>
    </xdr:to>
    <xdr:sp macro="" textlink="">
      <xdr:nvSpPr>
        <xdr:cNvPr id="5" name="Légende encadrée 1 4"/>
        <xdr:cNvSpPr/>
      </xdr:nvSpPr>
      <xdr:spPr>
        <a:xfrm>
          <a:off x="9608820" y="3322320"/>
          <a:ext cx="640080" cy="670560"/>
        </a:xfrm>
        <a:prstGeom prst="borderCallout1">
          <a:avLst>
            <a:gd name="adj1" fmla="val 18750"/>
            <a:gd name="adj2" fmla="val -8333"/>
            <a:gd name="adj3" fmla="val -93209"/>
            <a:gd name="adj4" fmla="val -306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cellule  i50 </a:t>
          </a:r>
          <a:endParaRPr lang="fr-FR" sz="1100">
            <a:solidFill>
              <a:srgbClr val="FF0000"/>
            </a:solidFill>
          </a:endParaRPr>
        </a:p>
      </xdr:txBody>
    </xdr:sp>
    <xdr:clientData/>
  </xdr:twoCellAnchor>
  <xdr:twoCellAnchor>
    <xdr:from>
      <xdr:col>25</xdr:col>
      <xdr:colOff>807720</xdr:colOff>
      <xdr:row>21</xdr:row>
      <xdr:rowOff>152400</xdr:rowOff>
    </xdr:from>
    <xdr:to>
      <xdr:col>27</xdr:col>
      <xdr:colOff>45720</xdr:colOff>
      <xdr:row>28</xdr:row>
      <xdr:rowOff>83820</xdr:rowOff>
    </xdr:to>
    <xdr:sp macro="" textlink="">
      <xdr:nvSpPr>
        <xdr:cNvPr id="6" name="Légende encadrée 1 5"/>
        <xdr:cNvSpPr/>
      </xdr:nvSpPr>
      <xdr:spPr>
        <a:xfrm>
          <a:off x="12329160" y="3870960"/>
          <a:ext cx="1402080" cy="1211580"/>
        </a:xfrm>
        <a:prstGeom prst="borderCallout1">
          <a:avLst>
            <a:gd name="adj1" fmla="val 18750"/>
            <a:gd name="adj2" fmla="val -8333"/>
            <a:gd name="adj3" fmla="val -93209"/>
            <a:gd name="adj4" fmla="val -3066"/>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Resultat en centieme à reporter sur la feuille du mois suivant dans la Cellule W16</a:t>
          </a:r>
          <a:endParaRPr lang="fr-FR" sz="1100">
            <a:solidFill>
              <a:srgbClr val="FF0000"/>
            </a:solidFill>
          </a:endParaRPr>
        </a:p>
      </xdr:txBody>
    </xdr:sp>
    <xdr:clientData/>
  </xdr:twoCellAnchor>
  <xdr:twoCellAnchor>
    <xdr:from>
      <xdr:col>23</xdr:col>
      <xdr:colOff>228600</xdr:colOff>
      <xdr:row>9</xdr:row>
      <xdr:rowOff>22860</xdr:rowOff>
    </xdr:from>
    <xdr:to>
      <xdr:col>23</xdr:col>
      <xdr:colOff>807720</xdr:colOff>
      <xdr:row>13</xdr:row>
      <xdr:rowOff>160020</xdr:rowOff>
    </xdr:to>
    <xdr:sp macro="" textlink="">
      <xdr:nvSpPr>
        <xdr:cNvPr id="7" name="Légende encadrée 1 6"/>
        <xdr:cNvSpPr/>
      </xdr:nvSpPr>
      <xdr:spPr>
        <a:xfrm>
          <a:off x="9585960" y="1729740"/>
          <a:ext cx="579120" cy="685800"/>
        </a:xfrm>
        <a:prstGeom prst="borderCallout1">
          <a:avLst>
            <a:gd name="adj1" fmla="val 18750"/>
            <a:gd name="adj2" fmla="val -8333"/>
            <a:gd name="adj3" fmla="val 9265"/>
            <a:gd name="adj4" fmla="val -8415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 cellule J50</a:t>
          </a:r>
          <a:r>
            <a:rPr lang="fr-FR" sz="1100" baseline="0"/>
            <a:t> </a:t>
          </a:r>
          <a:endParaRPr lang="fr-FR" sz="1100">
            <a:solidFill>
              <a:srgbClr val="FF0000"/>
            </a:solidFill>
          </a:endParaRPr>
        </a:p>
      </xdr:txBody>
    </xdr:sp>
    <xdr:clientData/>
  </xdr:twoCellAnchor>
  <xdr:twoCellAnchor>
    <xdr:from>
      <xdr:col>23</xdr:col>
      <xdr:colOff>746760</xdr:colOff>
      <xdr:row>1</xdr:row>
      <xdr:rowOff>15240</xdr:rowOff>
    </xdr:from>
    <xdr:to>
      <xdr:col>25</xdr:col>
      <xdr:colOff>426720</xdr:colOff>
      <xdr:row>6</xdr:row>
      <xdr:rowOff>175260</xdr:rowOff>
    </xdr:to>
    <xdr:sp macro="" textlink="">
      <xdr:nvSpPr>
        <xdr:cNvPr id="8" name="Légende encadrée 1 7"/>
        <xdr:cNvSpPr/>
      </xdr:nvSpPr>
      <xdr:spPr>
        <a:xfrm>
          <a:off x="10104120" y="213360"/>
          <a:ext cx="1844040" cy="1143000"/>
        </a:xfrm>
        <a:prstGeom prst="borderCallout1">
          <a:avLst>
            <a:gd name="adj1" fmla="val 18750"/>
            <a:gd name="adj2" fmla="val -8333"/>
            <a:gd name="adj3" fmla="val 121710"/>
            <a:gd name="adj4" fmla="val -5562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Horaire de base de calcul en centieme du contrat horaire mensuel.</a:t>
          </a:r>
          <a:r>
            <a:rPr lang="fr-FR" sz="1100" baseline="0"/>
            <a:t> Il doit pouvoir etre changé en fonction du contrat du collaborateur</a:t>
          </a:r>
          <a:endParaRPr lang="fr-FR" sz="1100">
            <a:solidFill>
              <a:srgbClr val="FF0000"/>
            </a:solidFill>
          </a:endParaRPr>
        </a:p>
      </xdr:txBody>
    </xdr:sp>
    <xdr:clientData/>
  </xdr:twoCellAnchor>
  <xdr:twoCellAnchor>
    <xdr:from>
      <xdr:col>21</xdr:col>
      <xdr:colOff>1363980</xdr:colOff>
      <xdr:row>30</xdr:row>
      <xdr:rowOff>45720</xdr:rowOff>
    </xdr:from>
    <xdr:to>
      <xdr:col>26</xdr:col>
      <xdr:colOff>1028700</xdr:colOff>
      <xdr:row>49</xdr:row>
      <xdr:rowOff>152400</xdr:rowOff>
    </xdr:to>
    <xdr:sp macro="" textlink="">
      <xdr:nvSpPr>
        <xdr:cNvPr id="4" name="ZoneTexte 3"/>
        <xdr:cNvSpPr txBox="1"/>
      </xdr:nvSpPr>
      <xdr:spPr>
        <a:xfrm>
          <a:off x="8115300" y="5410200"/>
          <a:ext cx="5516880" cy="35890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faire simple,</a:t>
          </a:r>
        </a:p>
        <a:p>
          <a:r>
            <a:rPr lang="fr-FR" sz="1100"/>
            <a:t>La majoration</a:t>
          </a:r>
          <a:r>
            <a:rPr lang="fr-FR" sz="1100" baseline="0"/>
            <a:t> en X16 est mise en credit tous les mois et elle est rajoutée au solde reportée en W16 de chaque mois et dont resultat total apres tous les calculs est affiché dans resultat en Z16 de chaque mois.</a:t>
          </a:r>
        </a:p>
        <a:p>
          <a:r>
            <a:rPr lang="fr-FR" sz="1100" baseline="0"/>
            <a:t>Pour la case deduites en Y16, si les heures travaillées en W10  sont egal ou depasse mon contrat horaire mensuel en W9 rien de doit etre inscrit en Y16 ( attention je dois pouvoir changer le contrat mensuel car nous avons plusieurs contrat dans la Ste) puisque si j'ai fait plus que mon contrat les heures en dessus me seront remunérées,</a:t>
          </a:r>
        </a:p>
        <a:p>
          <a:r>
            <a:rPr lang="fr-FR" sz="1100" baseline="0"/>
            <a:t>Par contre si mes heures travaillées en W10 sont inferieures a W9 la difference doit etre inscrite dans Y16 et se resultat sera enlevé du resultat en Z16</a:t>
          </a:r>
        </a:p>
        <a:p>
          <a:r>
            <a:rPr lang="fr-FR" sz="1100" baseline="0">
              <a:solidFill>
                <a:srgbClr val="FF0000"/>
              </a:solidFill>
            </a:rPr>
            <a:t>TOUT CES CALCULS SONT EN CENTIEMES D'HEURES</a:t>
          </a:r>
        </a:p>
        <a:p>
          <a:endParaRPr lang="fr-FR" sz="1100" baseline="0"/>
        </a:p>
        <a:p>
          <a:r>
            <a:rPr lang="fr-FR" sz="1100" baseline="0"/>
            <a:t>DANS MON EXEMPLE</a:t>
          </a:r>
        </a:p>
        <a:p>
          <a:r>
            <a:rPr lang="fr-FR" sz="1100" baseline="0"/>
            <a:t>en decembre 2017 j'avais 10,00 de credit (W16) et qui sont inscrit en W10 et je rajoute les majoration que j'ai faite ce mois ci (X16), ce qui doit me faire un total de 20,10 , mais comme j'ai fait 6h00 de moins que mon contrat (W9), la société au lieu de m'enlever sur ma paye ces heures ,elle me prend 6h00 sur mon credit (Z16) pour completer mon contrat horaire.</a:t>
          </a:r>
        </a:p>
        <a:p>
          <a:r>
            <a:rPr lang="fr-FR" sz="1100" baseline="0"/>
            <a:t> je devrais avoir donc affiché en Y16 =06,00 et </a:t>
          </a:r>
          <a:r>
            <a:rPr lang="fr-FR" sz="1100" baseline="0">
              <a:solidFill>
                <a:schemeClr val="dk1"/>
              </a:solidFill>
              <a:effectLst/>
              <a:latin typeface="+mn-lt"/>
              <a:ea typeface="+mn-ea"/>
              <a:cs typeface="+mn-cs"/>
            </a:rPr>
            <a:t>en Z16 = 14,10 </a:t>
          </a:r>
          <a:r>
            <a:rPr lang="fr-FR" sz="1100" baseline="0"/>
            <a:t> </a:t>
          </a:r>
        </a:p>
        <a:p>
          <a:endParaRPr lang="fr-FR" sz="1100" baseline="0"/>
        </a:p>
        <a:p>
          <a:r>
            <a:rPr lang="fr-FR" sz="1100" baseline="0"/>
            <a:t>LE PROBLEME que je rencontre, j'ai reussi a faire tous les report sauf celui en Y16 car je n'arrive pas a ne prendre en compte uniquement les heures manquantes qui doivent etre inscrites. lors de mon calcul meme les heures positive s'incrivent dans la cellule Y16</a:t>
          </a:r>
        </a:p>
        <a:p>
          <a:endParaRPr lang="fr-FR" sz="1100"/>
        </a:p>
      </xdr:txBody>
    </xdr:sp>
    <xdr:clientData/>
  </xdr:twoCellAnchor>
  <xdr:twoCellAnchor>
    <xdr:from>
      <xdr:col>24</xdr:col>
      <xdr:colOff>167640</xdr:colOff>
      <xdr:row>18</xdr:row>
      <xdr:rowOff>137160</xdr:rowOff>
    </xdr:from>
    <xdr:to>
      <xdr:col>25</xdr:col>
      <xdr:colOff>487680</xdr:colOff>
      <xdr:row>24</xdr:row>
      <xdr:rowOff>38100</xdr:rowOff>
    </xdr:to>
    <xdr:sp macro="" textlink="">
      <xdr:nvSpPr>
        <xdr:cNvPr id="9" name="Légende encadrée 1 8"/>
        <xdr:cNvSpPr/>
      </xdr:nvSpPr>
      <xdr:spPr>
        <a:xfrm>
          <a:off x="10607040" y="3307080"/>
          <a:ext cx="1402080" cy="998220"/>
        </a:xfrm>
        <a:prstGeom prst="borderCallout1">
          <a:avLst>
            <a:gd name="adj1" fmla="val 18750"/>
            <a:gd name="adj2" fmla="val -8333"/>
            <a:gd name="adj3" fmla="val -57989"/>
            <a:gd name="adj4" fmla="val -1979"/>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rgbClr val="FF0000"/>
              </a:solidFill>
            </a:rPr>
            <a:t>Ne doit etre inscrit ici que la</a:t>
          </a:r>
          <a:r>
            <a:rPr lang="fr-FR" sz="1100" baseline="0">
              <a:solidFill>
                <a:srgbClr val="FF0000"/>
              </a:solidFill>
            </a:rPr>
            <a:t> differences entre mon contrat mensuel et les heures travaillées</a:t>
          </a:r>
          <a:endParaRPr lang="fr-FR"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297180</xdr:colOff>
          <xdr:row>0</xdr:row>
          <xdr:rowOff>83820</xdr:rowOff>
        </xdr:from>
        <xdr:to>
          <xdr:col>21</xdr:col>
          <xdr:colOff>312420</xdr:colOff>
          <xdr:row>3</xdr:row>
          <xdr:rowOff>213360</xdr:rowOff>
        </xdr:to>
        <xdr:sp macro="" textlink="">
          <xdr:nvSpPr>
            <xdr:cNvPr id="5121" name="CommandButton1" hidden="1">
              <a:extLst>
                <a:ext uri="{63B3BB69-23CF-44E3-9099-C40C66FF867C}">
                  <a14:compatExt spid="_x0000_s5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472440</xdr:colOff>
          <xdr:row>0</xdr:row>
          <xdr:rowOff>99060</xdr:rowOff>
        </xdr:from>
        <xdr:to>
          <xdr:col>9</xdr:col>
          <xdr:colOff>1264920</xdr:colOff>
          <xdr:row>3</xdr:row>
          <xdr:rowOff>213360</xdr:rowOff>
        </xdr:to>
        <xdr:sp macro="" textlink="">
          <xdr:nvSpPr>
            <xdr:cNvPr id="6145" name="CommandButton1" hidden="1">
              <a:extLst>
                <a:ext uri="{63B3BB69-23CF-44E3-9099-C40C66FF867C}">
                  <a14:compatExt spid="_x0000_s61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480060</xdr:colOff>
          <xdr:row>0</xdr:row>
          <xdr:rowOff>83820</xdr:rowOff>
        </xdr:from>
        <xdr:to>
          <xdr:col>9</xdr:col>
          <xdr:colOff>1264920</xdr:colOff>
          <xdr:row>3</xdr:row>
          <xdr:rowOff>198120</xdr:rowOff>
        </xdr:to>
        <xdr:sp macro="" textlink="">
          <xdr:nvSpPr>
            <xdr:cNvPr id="7169" name="CommandButton1" hidden="1">
              <a:extLst>
                <a:ext uri="{63B3BB69-23CF-44E3-9099-C40C66FF867C}">
                  <a14:compatExt spid="_x0000_s716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472440</xdr:colOff>
          <xdr:row>0</xdr:row>
          <xdr:rowOff>83820</xdr:rowOff>
        </xdr:from>
        <xdr:to>
          <xdr:col>9</xdr:col>
          <xdr:colOff>1264920</xdr:colOff>
          <xdr:row>3</xdr:row>
          <xdr:rowOff>198120</xdr:rowOff>
        </xdr:to>
        <xdr:sp macro="" textlink="">
          <xdr:nvSpPr>
            <xdr:cNvPr id="8193" name="CommandButton1" hidden="1">
              <a:extLst>
                <a:ext uri="{63B3BB69-23CF-44E3-9099-C40C66FF867C}">
                  <a14:compatExt spid="_x0000_s8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480060</xdr:colOff>
          <xdr:row>0</xdr:row>
          <xdr:rowOff>83820</xdr:rowOff>
        </xdr:from>
        <xdr:to>
          <xdr:col>9</xdr:col>
          <xdr:colOff>1272540</xdr:colOff>
          <xdr:row>3</xdr:row>
          <xdr:rowOff>198120</xdr:rowOff>
        </xdr:to>
        <xdr:sp macro="" textlink="">
          <xdr:nvSpPr>
            <xdr:cNvPr id="9217" name="CommandButton1" hidden="1">
              <a:extLst>
                <a:ext uri="{63B3BB69-23CF-44E3-9099-C40C66FF867C}">
                  <a14:compatExt spid="_x0000_s92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480060</xdr:colOff>
          <xdr:row>0</xdr:row>
          <xdr:rowOff>76200</xdr:rowOff>
        </xdr:from>
        <xdr:to>
          <xdr:col>9</xdr:col>
          <xdr:colOff>1264920</xdr:colOff>
          <xdr:row>3</xdr:row>
          <xdr:rowOff>198120</xdr:rowOff>
        </xdr:to>
        <xdr:sp macro="" textlink="">
          <xdr:nvSpPr>
            <xdr:cNvPr id="10241" name="CommandButton1" hidden="1">
              <a:extLst>
                <a:ext uri="{63B3BB69-23CF-44E3-9099-C40C66FF867C}">
                  <a14:compatExt spid="_x0000_s102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449580</xdr:colOff>
          <xdr:row>0</xdr:row>
          <xdr:rowOff>83820</xdr:rowOff>
        </xdr:from>
        <xdr:to>
          <xdr:col>9</xdr:col>
          <xdr:colOff>1234440</xdr:colOff>
          <xdr:row>3</xdr:row>
          <xdr:rowOff>198120</xdr:rowOff>
        </xdr:to>
        <xdr:sp macro="" textlink="">
          <xdr:nvSpPr>
            <xdr:cNvPr id="11265" name="CommandButton1" hidden="1">
              <a:extLst>
                <a:ext uri="{63B3BB69-23CF-44E3-9099-C40C66FF867C}">
                  <a14:compatExt spid="_x0000_s112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480060</xdr:colOff>
          <xdr:row>0</xdr:row>
          <xdr:rowOff>83820</xdr:rowOff>
        </xdr:from>
        <xdr:to>
          <xdr:col>9</xdr:col>
          <xdr:colOff>1264920</xdr:colOff>
          <xdr:row>3</xdr:row>
          <xdr:rowOff>198120</xdr:rowOff>
        </xdr:to>
        <xdr:sp macro="" textlink="">
          <xdr:nvSpPr>
            <xdr:cNvPr id="12289" name="CommandButton1" hidden="1">
              <a:extLst>
                <a:ext uri="{63B3BB69-23CF-44E3-9099-C40C66FF867C}">
                  <a14:compatExt spid="_x0000_s1228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495300</xdr:colOff>
          <xdr:row>0</xdr:row>
          <xdr:rowOff>99060</xdr:rowOff>
        </xdr:from>
        <xdr:to>
          <xdr:col>9</xdr:col>
          <xdr:colOff>1280160</xdr:colOff>
          <xdr:row>3</xdr:row>
          <xdr:rowOff>213360</xdr:rowOff>
        </xdr:to>
        <xdr:sp macro="" textlink="">
          <xdr:nvSpPr>
            <xdr:cNvPr id="13313" name="CommandButton1" hidden="1">
              <a:extLst>
                <a:ext uri="{63B3BB69-23CF-44E3-9099-C40C66FF867C}">
                  <a14:compatExt spid="_x0000_s13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480060</xdr:colOff>
          <xdr:row>0</xdr:row>
          <xdr:rowOff>68580</xdr:rowOff>
        </xdr:from>
        <xdr:to>
          <xdr:col>9</xdr:col>
          <xdr:colOff>1272540</xdr:colOff>
          <xdr:row>3</xdr:row>
          <xdr:rowOff>190500</xdr:rowOff>
        </xdr:to>
        <xdr:sp macro="" textlink="">
          <xdr:nvSpPr>
            <xdr:cNvPr id="14337" name="CommandButton1" hidden="1">
              <a:extLst>
                <a:ext uri="{63B3BB69-23CF-44E3-9099-C40C66FF867C}">
                  <a14:compatExt spid="_x0000_s1433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487680</xdr:colOff>
          <xdr:row>0</xdr:row>
          <xdr:rowOff>53340</xdr:rowOff>
        </xdr:from>
        <xdr:to>
          <xdr:col>9</xdr:col>
          <xdr:colOff>1272540</xdr:colOff>
          <xdr:row>3</xdr:row>
          <xdr:rowOff>175260</xdr:rowOff>
        </xdr:to>
        <xdr:sp macro="" textlink="">
          <xdr:nvSpPr>
            <xdr:cNvPr id="15361" name="CommandButton1" hidden="1">
              <a:extLst>
                <a:ext uri="{63B3BB69-23CF-44E3-9099-C40C66FF867C}">
                  <a14:compatExt spid="_x0000_s1536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ables/table1.xml><?xml version="1.0" encoding="utf-8"?>
<table xmlns="http://schemas.openxmlformats.org/spreadsheetml/2006/main" id="1" name="Codes" displayName="Codes" ref="A22:D78" totalsRowShown="0" headerRowDxfId="318" dataDxfId="317" tableBorderDxfId="316">
  <autoFilter ref="A22:D78"/>
  <sortState ref="A23:C71">
    <sortCondition ref="A22:A71"/>
  </sortState>
  <tableColumns count="4">
    <tableColumn id="1" name="Services" dataDxfId="315"/>
    <tableColumn id="2" name="debut" dataDxfId="314"/>
    <tableColumn id="3" name="fin" dataDxfId="313"/>
    <tableColumn id="4" name="majoration dim &amp; JF" dataDxfId="312"/>
  </tableColumns>
  <tableStyleInfo name="TableStyleMedium14" showFirstColumn="0" showLastColumn="0" showRowStripes="1" showColumnStripes="0"/>
</table>
</file>

<file path=xl/tables/table2.xml><?xml version="1.0" encoding="utf-8"?>
<table xmlns="http://schemas.openxmlformats.org/spreadsheetml/2006/main" id="5" name="H_Janv" displayName="H_Janv" ref="A12:T49" totalsRowShown="0" headerRowDxfId="310" dataDxfId="308" headerRowBorderDxfId="309" tableBorderDxfId="307" totalsRowBorderDxfId="306">
  <autoFilter ref="A12:T49"/>
  <tableColumns count="20">
    <tableColumn id="1" name="Date" dataDxfId="305"/>
    <tableColumn id="2" name="Service" dataDxfId="304"/>
    <tableColumn id="3" name="début" dataDxfId="303"/>
    <tableColumn id="4" name="Fin" dataDxfId="302"/>
    <tableColumn id="5" name="PP Début" dataDxfId="301"/>
    <tableColumn id="6" name="PP Fin" dataDxfId="300"/>
    <tableColumn id="7" name="PNP Début" dataDxfId="299"/>
    <tableColumn id="8" name="PNP Fin" dataDxfId="298"/>
    <tableColumn id="10" name="Majoration" dataDxfId="297" dataCellStyle="Milliers">
      <calculatedColumnFormula>0.1*(H_Janv[[#This Row],[Heures de nuit]]+IF(H_Janv[[#This Row],[majoration dim &amp; JF]]="non",0,H_Janv[[#This Row],[heures jour dimanche]]+H_Janv[[#This Row],[heures jour fériés]]))</calculatedColumnFormula>
    </tableColumn>
    <tableColumn id="9" name="Heures totales payées" dataDxfId="296" dataCellStyle="Milliers">
      <calculatedColumnFormula>(MOD(H_Janv[[#This Row],[Fin]]-H_Janv[[#This Row],[début]],1)-MOD(H_Janv[[#This Row],[PNP Fin]]-H_Janv[[#This Row],[PNP Début]],1))*24</calculatedColumnFormula>
    </tableColumn>
    <tableColumn id="21" name="majoration dim &amp; JF" dataDxfId="295" dataCellStyle="Milliers">
      <calculatedColumnFormula>IFERROR(VLOOKUP(H_Janv[[#This Row],[Service]],Codes[],4,0),"")</calculatedColumnFormula>
    </tableColumn>
    <tableColumn id="15" name="PNP Début corrigé" dataDxfId="294">
      <calculatedColumnFormula>IF(H_Janv[[#This Row],[PNP Début]]=0,0,IF(H_Janv[[#This Row],[PNP Début]]&lt;H_Janv[[#This Row],[début]],1,0)+H_Janv[[#This Row],[PNP Début]])</calculatedColumnFormula>
    </tableColumn>
    <tableColumn id="16" name="PNP Fin corrigée" dataDxfId="293">
      <calculatedColumnFormula>IF(H_Janv[[#This Row],[PNP Fin]]=0,0,IF(H_Janv[[#This Row],[PNP Fin]]&lt;H_Janv[[#This Row],[début]],1,0)+H_Janv[[#This Row],[PNP Fin]])</calculatedColumnFormula>
    </tableColumn>
    <tableColumn id="14" name="Fin corrigée si nuit" dataDxfId="292">
      <calculatedColumnFormula>IF(H_Janv[[#This Row],[Fin]]&lt;H_Janv[[#This Row],[début]],1,0)+H_Janv[[#This Row],[Fin]]</calculatedColumnFormula>
    </tableColumn>
    <tableColumn id="13" name="Heures de nuit" dataDxfId="291" dataCellStyle="Milliers">
      <calculatedColumnFormula>IF(H_Janv[[#This Row],[Fin]]&lt;H_Janv[[#This Row],[début]],MAX(0,MIN(H_Janv[[#This Row],[Fin corrigée si nuit]],fin_nuit)-MAX(H_Janv[[#This Row],[début]],deb_nuit))*24,(MAX(deb_nuit,H_Janv[[#This Row],[Fin]])-MAX(deb_nuit,H_Janv[[#This Row],[début]])+MAX(MIN(fin_nuit-1,H_Janv[[#This Row],[Fin]])-MIN(fin_nuit-1,H_Janv[[#This Row],[début]]),0))*24)</calculatedColumnFormula>
    </tableColumn>
    <tableColumn id="17" name="Heures de nuit hors PNP" dataDxfId="290" dataCellStyle="Milliers">
      <calculatedColumnFormula>(MAX(0,MIN(H_Janv[[#This Row],[Fin corrigée si nuit]],fin_nuit)-MAX(H_Janv[[#This Row],[début]],deb_nuit))-IF(H_Janv[[#This Row],[PNP Début]]=0,0,MIN(H_Janv[[#This Row],[PNP Fin corrigée]],fin_nuit)-MAX(H_Janv[[#This Row],[PNP Début corrigé]],deb_nuit)))*24</calculatedColumnFormula>
    </tableColumn>
    <tableColumn id="18" name="heures jour dimanche" dataDxfId="289" dataCellStyle="Milliers">
      <calculatedColumnFormula>(IF(WEEKDAY(H_Janv[[#This Row],[Date]],2)=7,MAX(0,MIN(fin_dimJF,H_Janv[[#This Row],[Fin corrigée si nuit]])-MAX(deb_dimJF,H_Janv[[#This Row],[début]])),0)+IF(WEEKDAY(H_Janv[[#This Row],[Date]],2)=6,MAX(0,H_Janv[[#This Row],[Fin corrigée si nuit]]-(1+deb_dimJF)),0))*24</calculatedColumnFormula>
    </tableColumn>
    <tableColumn id="11" name="heures jour dimanche hors PNP" dataDxfId="288" dataCellStyle="Milliers">
      <calculatedColumnFormula>(IF(WEEKDAY(H_Janv[[#This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calculatedColumnFormula>
    </tableColumn>
    <tableColumn id="19" name="heures jour fériés" dataDxfId="287" dataCellStyle="Milliers">
      <calculatedColumnFormula>(IF(COUNTIF(JF,H_Janv[[#This Row],[Date]]),MAX(0,MIN(fin_dimJF,H_Janv[[#This Row],[Fin corrigée si nuit]])-MAX(deb_dimJF,H_Janv[[#This Row],[début]])),0)+IF(COUNTIF(JF,H_Janv[[#This Row],[Date]]+1),MAX(0,H_Janv[[#This Row],[Fin corrigée si nuit]]-(1+deb_dimJF)),0))*24</calculatedColumnFormula>
    </tableColumn>
    <tableColumn id="12" name="heures jour fériés hors PNP" dataDxfId="286" dataCellStyle="Milliers">
      <calculatedColumnFormula>(IF(COUNTIF(JF,H_Janv[[#This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calculatedColumnFormula>
    </tableColumn>
  </tableColumns>
  <tableStyleInfo name="TableStyleLight9" showFirstColumn="0" showLastColumn="0" showRowStripes="1" showColumnStripes="0"/>
</table>
</file>

<file path=xl/tables/table3.xml><?xml version="1.0" encoding="utf-8"?>
<table xmlns="http://schemas.openxmlformats.org/spreadsheetml/2006/main" id="6" name="H_Fev" displayName="H_Fev" ref="A12:T49" totalsRowShown="0" headerRowDxfId="284" dataDxfId="282" headerRowBorderDxfId="283" tableBorderDxfId="281" totalsRowBorderDxfId="280">
  <autoFilter ref="A12:T49"/>
  <tableColumns count="20">
    <tableColumn id="1" name="Date" dataDxfId="279"/>
    <tableColumn id="2" name="Service" dataDxfId="278"/>
    <tableColumn id="3" name="début" dataDxfId="277"/>
    <tableColumn id="4" name="Fin" dataDxfId="276"/>
    <tableColumn id="5" name="PP Début" dataDxfId="275"/>
    <tableColumn id="6" name="PP Fin" dataDxfId="274"/>
    <tableColumn id="7" name="PNP Début" dataDxfId="273"/>
    <tableColumn id="8" name="PNP Fin" dataDxfId="272"/>
    <tableColumn id="10" name="Majoration" dataDxfId="271" dataCellStyle="Milliers">
      <calculatedColumnFormula>0.1*(H_Fev[[#This Row],[Heures de nuit]]+IF(H_Fev[[#This Row],[majoration dim &amp; JF]]="non",0,H_Fev[[#This Row],[heures jour dimanche]]+H_Fev[[#This Row],[heures jour fériés]]))</calculatedColumnFormula>
    </tableColumn>
    <tableColumn id="9" name="Heures totales payées" dataDxfId="270" dataCellStyle="Milliers">
      <calculatedColumnFormula>(MOD(H_Fev[[#This Row],[Fin]]-H_Fev[[#This Row],[début]],1)-MOD(H_Fev[[#This Row],[PNP Fin]]-H_Fev[[#This Row],[PNP Début]],1))*24</calculatedColumnFormula>
    </tableColumn>
    <tableColumn id="20" name="majoration dim &amp; JF" dataDxfId="269" dataCellStyle="Milliers">
      <calculatedColumnFormula>IFERROR(VLOOKUP(H_Fev[[#This Row],[Service]],Codes[],4,0),"")</calculatedColumnFormula>
    </tableColumn>
    <tableColumn id="15" name="PNP Début corrigé" dataDxfId="268">
      <calculatedColumnFormula>IF(H_Fev[[#This Row],[PNP Début]]=0,0,IF(H_Fev[[#This Row],[PNP Début]]&lt;H_Fev[[#This Row],[début]],1,0)+H_Fev[[#This Row],[PNP Début]])</calculatedColumnFormula>
    </tableColumn>
    <tableColumn id="16" name="PNP Fin corrigée" dataDxfId="267">
      <calculatedColumnFormula>IF(H_Fev[[#This Row],[PNP Fin]]=0,0,IF(H_Fev[[#This Row],[PNP Fin]]&lt;H_Fev[[#This Row],[début]],1,0)+H_Fev[[#This Row],[PNP Fin]])</calculatedColumnFormula>
    </tableColumn>
    <tableColumn id="14" name="Fin corrigée si nuit" dataDxfId="266">
      <calculatedColumnFormula>IF(H_Fev[[#This Row],[Fin]]&lt;H_Fev[[#This Row],[début]],1,0)+H_Fev[[#This Row],[Fin]]</calculatedColumnFormula>
    </tableColumn>
    <tableColumn id="13" name="Heures de nuit" dataDxfId="265" dataCellStyle="Milliers">
      <calculatedColumnFormula>IF(H_Fev[[#This Row],[Fin]]&lt;H_Fev[[#This Row],[début]],MAX(0,MIN(H_Fev[[#This Row],[Fin corrigée si nuit]],fin_nuit)-MAX(H_Fev[[#This Row],[début]],deb_nuit))*24,(MAX(deb_nuit,H_Fev[[#This Row],[Fin]])-MAX(deb_nuit,H_Fev[[#This Row],[début]])+MAX(MIN(fin_nuit-1,H_Fev[[#This Row],[Fin]])-MIN(fin_nuit-1,H_Fev[[#This Row],[début]]),0))*24)</calculatedColumnFormula>
    </tableColumn>
    <tableColumn id="17" name="Heures de nuit hors PNP" dataDxfId="264" dataCellStyle="Milliers">
      <calculatedColumnFormula>(MAX(0,MIN(H_Fev[[#This Row],[Fin corrigée si nuit]],fin_nuit)-MAX(H_Fev[[#This Row],[début]],deb_nuit))-IF(H_Fev[[#This Row],[PNP Début]]=0,0,MIN(H_Fev[[#This Row],[PNP Fin corrigée]],fin_nuit)-MAX(H_Fev[[#This Row],[PNP Début corrigé]],deb_nuit)))*24</calculatedColumnFormula>
    </tableColumn>
    <tableColumn id="18" name="heures jour dimanche" dataDxfId="263" dataCellStyle="Milliers">
      <calculatedColumnFormula>(IF(WEEKDAY(H_Fev[[#This Row],[Date]],2)=7,MAX(0,MIN(fin_dimJF,H_Fev[[#This Row],[Fin corrigée si nuit]])-MAX(deb_dimJF,H_Fev[[#This Row],[début]])),0)+IF(WEEKDAY(H_Fev[[#This Row],[Date]],2)=6,MAX(0,H_Fev[[#This Row],[Fin corrigée si nuit]]-(1+deb_dimJF)),0))*24</calculatedColumnFormula>
    </tableColumn>
    <tableColumn id="11" name="heures jour dimanche hors PNP" dataDxfId="262" dataCellStyle="Milliers">
      <calculatedColumnFormula>(IF(WEEKDAY(H_Fev[[#This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calculatedColumnFormula>
    </tableColumn>
    <tableColumn id="19" name="heures jour fériés" dataDxfId="261" dataCellStyle="Milliers">
      <calculatedColumnFormula>(IF(COUNTIF(JF,H_Fev[[#This Row],[Date]]),MAX(0,MIN(fin_dimJF,H_Fev[[#This Row],[Fin corrigée si nuit]])-MAX(deb_dimJF,H_Fev[[#This Row],[début]])),0)+IF(COUNTIF(JF,H_Fev[[#This Row],[Date]]+1),MAX(0,H_Fev[[#This Row],[Fin corrigée si nuit]]-(1+deb_dimJF)),0))*24</calculatedColumnFormula>
    </tableColumn>
    <tableColumn id="12" name="heures jour fériés hors PNP" dataDxfId="260" dataCellStyle="Milliers">
      <calculatedColumnFormula>(IF(COUNTIF(JF,H_Fev[[#This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calculatedColumnFormula>
    </tableColumn>
  </tableColumns>
  <tableStyleInfo name="TableStyleLight9" showFirstColumn="0" showLastColumn="0" showRowStripes="1" showColumnStripes="0"/>
</table>
</file>

<file path=xl/tables/table4.xml><?xml version="1.0" encoding="utf-8"?>
<table xmlns="http://schemas.openxmlformats.org/spreadsheetml/2006/main" id="2" name="H_Mars" displayName="H_Mars" ref="A12:T49" totalsRowShown="0" headerRowDxfId="258" dataDxfId="256" headerRowBorderDxfId="257" tableBorderDxfId="255" totalsRowBorderDxfId="254">
  <autoFilter ref="A12:T49"/>
  <sortState ref="A13:S49">
    <sortCondition ref="A13"/>
  </sortState>
  <tableColumns count="20">
    <tableColumn id="1" name="Date" dataDxfId="253"/>
    <tableColumn id="2" name="Service" dataDxfId="252"/>
    <tableColumn id="3" name="début" dataDxfId="251"/>
    <tableColumn id="4" name="Fin" dataDxfId="250"/>
    <tableColumn id="5" name="PP Début" dataDxfId="249"/>
    <tableColumn id="6" name="PP Fin" dataDxfId="248"/>
    <tableColumn id="7" name="PNP Début" dataDxfId="247"/>
    <tableColumn id="8" name="PNP Fin" dataDxfId="246"/>
    <tableColumn id="10" name="Majoration" dataDxfId="245" dataCellStyle="Milliers">
      <calculatedColumnFormula>0.1*(H_Mars[[#This Row],[Heures de nuit]]+IF(H_Mars[[#This Row],[majoration dim &amp; JF]]="non",0,H_Mars[[#This Row],[heures jour dimanche]]+H_Mars[[#This Row],[heures jour fériés]]))</calculatedColumnFormula>
    </tableColumn>
    <tableColumn id="9" name="Heures totales payées" dataDxfId="244" dataCellStyle="Milliers">
      <calculatedColumnFormula>(MOD(H_Mars[[#This Row],[Fin]]-H_Mars[[#This Row],[début]],1)-MOD(H_Mars[[#This Row],[PNP Fin]]-H_Mars[[#This Row],[PNP Début]],1))*24</calculatedColumnFormula>
    </tableColumn>
    <tableColumn id="20" name="majoration dim &amp; JF" dataDxfId="243" dataCellStyle="Milliers">
      <calculatedColumnFormula>IFERROR(VLOOKUP(H_Mars[[#This Row],[Service]],Codes[],4,0),"")</calculatedColumnFormula>
    </tableColumn>
    <tableColumn id="15" name="PNP Début corrigé" dataDxfId="242">
      <calculatedColumnFormula>IF(H_Mars[[#This Row],[PNP Début]]=0,0,IF(H_Mars[[#This Row],[PNP Début]]&lt;H_Mars[[#This Row],[début]],1,0)+H_Mars[[#This Row],[PNP Début]])</calculatedColumnFormula>
    </tableColumn>
    <tableColumn id="16" name="PNP Fin corrigée" dataDxfId="241">
      <calculatedColumnFormula>IF(H_Mars[[#This Row],[PNP Fin]]=0,0,IF(H_Mars[[#This Row],[PNP Fin]]&lt;H_Mars[[#This Row],[début]],1,0)+H_Mars[[#This Row],[PNP Fin]])</calculatedColumnFormula>
    </tableColumn>
    <tableColumn id="14" name="Fin corrigée si nuit" dataDxfId="240">
      <calculatedColumnFormula>IF(H_Mars[[#This Row],[Fin]]&lt;H_Mars[[#This Row],[début]],1,0)+H_Mars[[#This Row],[Fin]]</calculatedColumnFormula>
    </tableColumn>
    <tableColumn id="13" name="Heures de nuit" dataDxfId="239" dataCellStyle="Milliers">
      <calculatedColumnFormula>IF(H_Mars[[#This Row],[Fin]]&lt;H_Mars[[#This Row],[début]],MAX(0,MIN(H_Mars[[#This Row],[Fin corrigée si nuit]],fin_nuit)-MAX(H_Mars[[#This Row],[début]],deb_nuit))*24,(MAX(deb_nuit,H_Mars[[#This Row],[Fin]])-MAX(deb_nuit,H_Mars[[#This Row],[début]])+MAX(MIN(fin_nuit-1,H_Mars[[#This Row],[Fin]])-MIN(fin_nuit-1,H_Mars[[#This Row],[début]]),0))*24)</calculatedColumnFormula>
    </tableColumn>
    <tableColumn id="17" name="Heures de nuit hors PNP" dataDxfId="238" dataCellStyle="Milliers">
      <calculatedColumnFormula>(MAX(0,MIN(H_Mars[[#This Row],[Fin corrigée si nuit]],fin_nuit)-MAX(H_Mars[[#This Row],[début]],deb_nuit))-IF(H_Mars[[#This Row],[PNP Début]]=0,0,MIN(H_Mars[[#This Row],[PNP Fin corrigée]],fin_nuit)-MAX(H_Mars[[#This Row],[PNP Début corrigé]],deb_nuit)))*24</calculatedColumnFormula>
    </tableColumn>
    <tableColumn id="18" name="heures jour dimanche" dataDxfId="237" dataCellStyle="Milliers">
      <calculatedColumnFormula>(IF(WEEKDAY(H_Mars[[#This Row],[Date]],2)=7,MAX(0,MIN(fin_dimJF,H_Mars[[#This Row],[Fin corrigée si nuit]])-MAX(deb_dimJF,H_Mars[[#This Row],[début]])),0)+IF(WEEKDAY(H_Mars[[#This Row],[Date]],2)=6,MAX(0,H_Mars[[#This Row],[Fin corrigée si nuit]]-(1+deb_dimJF)),0))*24</calculatedColumnFormula>
    </tableColumn>
    <tableColumn id="11" name="heures jour dimanche hors PNP" dataDxfId="236" dataCellStyle="Milliers">
      <calculatedColumnFormula>(IF(WEEKDAY(H_Mars[[#This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calculatedColumnFormula>
    </tableColumn>
    <tableColumn id="19" name="heures jour fériés" dataDxfId="235" dataCellStyle="Milliers">
      <calculatedColumnFormula>(IF(COUNTIF(JF,H_Mars[[#This Row],[Date]]),MAX(0,MIN(fin_dimJF,H_Mars[[#This Row],[Fin corrigée si nuit]])-MAX(deb_dimJF,H_Mars[[#This Row],[début]])),0)+IF(COUNTIF(JF,H_Mars[[#This Row],[Date]]+1),MAX(0,H_Mars[[#This Row],[Fin corrigée si nuit]]-(1+deb_dimJF)),0))*24</calculatedColumnFormula>
    </tableColumn>
    <tableColumn id="12" name="heures jour fériés hors PNP" dataDxfId="234" dataCellStyle="Milliers">
      <calculatedColumnFormula>(IF(COUNTIF(JF,H_Mars[[#This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calculatedColumnFormula>
    </tableColumn>
  </tableColumns>
  <tableStyleInfo name="TableStyleLight9" showFirstColumn="0" showLastColumn="0" showRowStripes="1" showColumnStripes="0"/>
</table>
</file>

<file path=xl/tables/table5.xml><?xml version="1.0" encoding="utf-8"?>
<table xmlns="http://schemas.openxmlformats.org/spreadsheetml/2006/main" id="3" name="H_Avr" displayName="H_Avr" ref="A12:T49" totalsRowShown="0" headerRowDxfId="232" dataDxfId="230" headerRowBorderDxfId="231" tableBorderDxfId="229" totalsRowBorderDxfId="228">
  <autoFilter ref="A12:T49"/>
  <tableColumns count="20">
    <tableColumn id="1" name="Date" dataDxfId="227"/>
    <tableColumn id="2" name="Service" dataDxfId="226"/>
    <tableColumn id="3" name="début" dataDxfId="225"/>
    <tableColumn id="4" name="Fin" dataDxfId="224"/>
    <tableColumn id="5" name="PP Début" dataDxfId="223"/>
    <tableColumn id="6" name="PP Fin" dataDxfId="222"/>
    <tableColumn id="7" name="PNP Début" dataDxfId="221"/>
    <tableColumn id="8" name="PNP Fin" dataDxfId="220"/>
    <tableColumn id="10" name="Majoration" dataDxfId="219" dataCellStyle="Milliers">
      <calculatedColumnFormula>0.1*(H_Avr[[#This Row],[Heures de nuit]]+IF(H_Avr[[#This Row],[majoration dim &amp; JF]]="non",0,H_Avr[[#This Row],[heures jour dimanche]]+H_Avr[[#This Row],[heures jour fériés]]))</calculatedColumnFormula>
    </tableColumn>
    <tableColumn id="9" name="Heures totales payées" dataDxfId="218" dataCellStyle="Milliers">
      <calculatedColumnFormula>(MOD(H_Avr[[#This Row],[Fin]]-H_Avr[[#This Row],[début]],1)-MOD(H_Avr[[#This Row],[PNP Fin]]-H_Avr[[#This Row],[PNP Début]],1))*24</calculatedColumnFormula>
    </tableColumn>
    <tableColumn id="20" name="majoration dim &amp; JF" dataDxfId="217" dataCellStyle="Milliers">
      <calculatedColumnFormula>IFERROR(VLOOKUP(H_Avr[[#This Row],[Service]],Codes[],4,0),"")</calculatedColumnFormula>
    </tableColumn>
    <tableColumn id="15" name="PNP Début corrigé" dataDxfId="216">
      <calculatedColumnFormula>IF(H_Avr[[#This Row],[PNP Début]]=0,0,IF(H_Avr[[#This Row],[PNP Début]]&lt;H_Avr[[#This Row],[début]],1,0)+H_Avr[[#This Row],[PNP Début]])</calculatedColumnFormula>
    </tableColumn>
    <tableColumn id="16" name="PNP Fin corrigée" dataDxfId="215">
      <calculatedColumnFormula>IF(H_Avr[[#This Row],[PNP Fin]]=0,0,IF(H_Avr[[#This Row],[PNP Fin]]&lt;H_Avr[[#This Row],[début]],1,0)+H_Avr[[#This Row],[PNP Fin]])</calculatedColumnFormula>
    </tableColumn>
    <tableColumn id="14" name="Fin corrigée si nuit" dataDxfId="214">
      <calculatedColumnFormula>IF(H_Avr[[#This Row],[Fin]]&lt;H_Avr[[#This Row],[début]],1,0)+H_Avr[[#This Row],[Fin]]</calculatedColumnFormula>
    </tableColumn>
    <tableColumn id="13" name="Heures de nuit" dataDxfId="213" dataCellStyle="Milliers">
      <calculatedColumnFormula>IF(H_Avr[[#This Row],[Fin]]&lt;H_Avr[[#This Row],[début]],MAX(0,MIN(H_Avr[[#This Row],[Fin corrigée si nuit]],fin_nuit)-MAX(H_Avr[[#This Row],[début]],deb_nuit))*24,(MAX(deb_nuit,H_Avr[[#This Row],[Fin]])-MAX(deb_nuit,H_Avr[[#This Row],[début]])+MAX(MIN(fin_nuit-1,H_Avr[[#This Row],[Fin]])-MIN(fin_nuit-1,H_Avr[[#This Row],[début]]),0))*24)</calculatedColumnFormula>
    </tableColumn>
    <tableColumn id="17" name="Heures de nuit hors PNP" dataDxfId="212" dataCellStyle="Milliers">
      <calculatedColumnFormula>(MAX(0,MIN(H_Avr[[#This Row],[Fin corrigée si nuit]],fin_nuit)-MAX(H_Avr[[#This Row],[début]],deb_nuit))-IF(H_Avr[[#This Row],[PNP Début]]=0,0,MIN(H_Avr[[#This Row],[PNP Fin corrigée]],fin_nuit)-MAX(H_Avr[[#This Row],[PNP Début corrigé]],deb_nuit)))*24</calculatedColumnFormula>
    </tableColumn>
    <tableColumn id="18" name="heures jour dimanche" dataDxfId="211" dataCellStyle="Milliers">
      <calculatedColumnFormula>(IF(WEEKDAY(H_Avr[[#This Row],[Date]],2)=7,MAX(0,MIN(fin_dimJF,H_Avr[[#This Row],[Fin corrigée si nuit]])-MAX(deb_dimJF,H_Avr[[#This Row],[début]])),0)+IF(WEEKDAY(H_Avr[[#This Row],[Date]],2)=6,MAX(0,H_Avr[[#This Row],[Fin corrigée si nuit]]-(1+deb_dimJF)),0))*24</calculatedColumnFormula>
    </tableColumn>
    <tableColumn id="11" name="heures jour dimanche hors PNP" dataDxfId="210" dataCellStyle="Milliers">
      <calculatedColumnFormula>(IF(WEEKDAY(H_Avr[[#This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calculatedColumnFormula>
    </tableColumn>
    <tableColumn id="19" name="heures jour fériés" dataDxfId="209" dataCellStyle="Milliers">
      <calculatedColumnFormula>(IF(COUNTIF(JF,H_Avr[[#This Row],[Date]]),MAX(0,MIN(fin_dimJF,H_Avr[[#This Row],[Fin corrigée si nuit]])-MAX(deb_dimJF,H_Avr[[#This Row],[début]])),0)+IF(COUNTIF(JF,H_Avr[[#This Row],[Date]]+1),MAX(0,H_Avr[[#This Row],[Fin corrigée si nuit]]-(1+deb_dimJF)),0))*24</calculatedColumnFormula>
    </tableColumn>
    <tableColumn id="12" name="heures jour fériés hors PNP" dataDxfId="208" dataCellStyle="Milliers">
      <calculatedColumnFormula>(IF(COUNTIF(JF,H_Avr[[#This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calculatedColumnFormula>
    </tableColumn>
  </tableColumns>
  <tableStyleInfo name="TableStyleLight9" showFirstColumn="0" showLastColumn="0" showRowStripes="1" showColumnStripes="0"/>
</table>
</file>

<file path=xl/tables/table6.xml><?xml version="1.0" encoding="utf-8"?>
<table xmlns="http://schemas.openxmlformats.org/spreadsheetml/2006/main" id="4" name="H_Mai" displayName="H_Mai" ref="A12:T49" totalsRowShown="0" headerRowDxfId="206" dataDxfId="204" headerRowBorderDxfId="205" tableBorderDxfId="203" totalsRowBorderDxfId="202">
  <autoFilter ref="A12:T49"/>
  <tableColumns count="20">
    <tableColumn id="1" name="Date" dataDxfId="201"/>
    <tableColumn id="2" name="Service" dataDxfId="200"/>
    <tableColumn id="3" name="début" dataDxfId="199"/>
    <tableColumn id="4" name="Fin" dataDxfId="198"/>
    <tableColumn id="5" name="PP Début" dataDxfId="197"/>
    <tableColumn id="6" name="PP Fin" dataDxfId="196"/>
    <tableColumn id="7" name="PNP Début" dataDxfId="195"/>
    <tableColumn id="8" name="PNP Fin" dataDxfId="194"/>
    <tableColumn id="10" name="Majoration" dataDxfId="193" dataCellStyle="Milliers">
      <calculatedColumnFormula>0.1*(H_Mai[[#This Row],[Heures de nuit]]+IF(H_Mai[[#This Row],[majoration dim &amp; JF]]="non",0,H_Mai[[#This Row],[heures jour dimanche]]+H_Mai[[#This Row],[heures jour fériés]]))</calculatedColumnFormula>
    </tableColumn>
    <tableColumn id="9" name="Heures totales payées" dataDxfId="192" dataCellStyle="Milliers">
      <calculatedColumnFormula>(MOD(H_Mai[[#This Row],[Fin]]-H_Mai[[#This Row],[début]],1)-MOD(H_Mai[[#This Row],[PNP Fin]]-H_Mai[[#This Row],[PNP Début]],1))*24</calculatedColumnFormula>
    </tableColumn>
    <tableColumn id="20" name="majoration dim &amp; JF" dataDxfId="191" dataCellStyle="Milliers">
      <calculatedColumnFormula>IFERROR(VLOOKUP(H_Mai[[#This Row],[Service]],Codes[],4,0),"")</calculatedColumnFormula>
    </tableColumn>
    <tableColumn id="15" name="PNP Début corrigé" dataDxfId="190">
      <calculatedColumnFormula>IF(H_Mai[[#This Row],[PNP Début]]=0,0,IF(H_Mai[[#This Row],[PNP Début]]&lt;H_Mai[[#This Row],[début]],1,0)+H_Mai[[#This Row],[PNP Début]])</calculatedColumnFormula>
    </tableColumn>
    <tableColumn id="16" name="PNP Fin corrigée" dataDxfId="189">
      <calculatedColumnFormula>IF(H_Mai[[#This Row],[PNP Fin]]=0,0,IF(H_Mai[[#This Row],[PNP Fin]]&lt;H_Mai[[#This Row],[début]],1,0)+H_Mai[[#This Row],[PNP Fin]])</calculatedColumnFormula>
    </tableColumn>
    <tableColumn id="14" name="Fin corrigée si nuit" dataDxfId="188">
      <calculatedColumnFormula>IF(H_Mai[[#This Row],[Fin]]&lt;H_Mai[[#This Row],[début]],1,0)+H_Mai[[#This Row],[Fin]]</calculatedColumnFormula>
    </tableColumn>
    <tableColumn id="13" name="Heures de nuit" dataDxfId="187" dataCellStyle="Milliers">
      <calculatedColumnFormula>IF(H_Mai[[#This Row],[Fin]]&lt;H_Mai[[#This Row],[début]],MAX(0,MIN(H_Mai[[#This Row],[Fin corrigée si nuit]],fin_nuit)-MAX(H_Mai[[#This Row],[début]],deb_nuit))*24,(MAX(deb_nuit,H_Mai[[#This Row],[Fin]])-MAX(deb_nuit,H_Mai[[#This Row],[début]])+MAX(MIN(fin_nuit-1,H_Mai[[#This Row],[Fin]])-MIN(fin_nuit-1,H_Mai[[#This Row],[début]]),0))*24)</calculatedColumnFormula>
    </tableColumn>
    <tableColumn id="17" name="Heures de nuit hors PNP" dataDxfId="186" dataCellStyle="Milliers">
      <calculatedColumnFormula>(MAX(0,MIN(H_Mai[[#This Row],[Fin corrigée si nuit]],fin_nuit)-MAX(H_Mai[[#This Row],[début]],deb_nuit))-IF(H_Mai[[#This Row],[PNP Début]]=0,0,MIN(H_Mai[[#This Row],[PNP Fin corrigée]],fin_nuit)-MAX(H_Mai[[#This Row],[PNP Début corrigé]],deb_nuit)))*24</calculatedColumnFormula>
    </tableColumn>
    <tableColumn id="18" name="heures jour dimanche" dataDxfId="185" dataCellStyle="Milliers">
      <calculatedColumnFormula>(IF(WEEKDAY(H_Mai[[#This Row],[Date]],2)=7,MAX(0,MIN(fin_dimJF,H_Mai[[#This Row],[Fin corrigée si nuit]])-MAX(deb_dimJF,H_Mai[[#This Row],[début]])),0)+IF(WEEKDAY(H_Mai[[#This Row],[Date]],2)=6,MAX(0,H_Mai[[#This Row],[Fin corrigée si nuit]]-(1+deb_dimJF)),0))*24</calculatedColumnFormula>
    </tableColumn>
    <tableColumn id="11" name="heures jour dimanche hors PNP" dataDxfId="184" dataCellStyle="Milliers">
      <calculatedColumnFormula>(IF(WEEKDAY(H_Mai[[#This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calculatedColumnFormula>
    </tableColumn>
    <tableColumn id="19" name="heures jour fériés" dataDxfId="183" dataCellStyle="Milliers">
      <calculatedColumnFormula>(IF(COUNTIF(JF,H_Mai[[#This Row],[Date]]),MAX(0,MIN(fin_dimJF,H_Mai[[#This Row],[Fin corrigée si nuit]])-MAX(deb_dimJF,H_Mai[[#This Row],[début]])),0)+IF(COUNTIF(JF,H_Mai[[#This Row],[Date]]+1),MAX(0,H_Mai[[#This Row],[Fin corrigée si nuit]]-(1+deb_dimJF)),0))*24</calculatedColumnFormula>
    </tableColumn>
    <tableColumn id="12" name="heures jour fériés hors PNP" dataDxfId="182" dataCellStyle="Milliers">
      <calculatedColumnFormula>(IF(COUNTIF(JF,H_Mai[[#This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calculatedColumnFormula>
    </tableColumn>
  </tableColumns>
  <tableStyleInfo name="TableStyleLight9" showFirstColumn="0" showLastColumn="0" showRowStripes="1" showColumnStripes="0"/>
</table>
</file>

<file path=xl/tables/table7.xml><?xml version="1.0" encoding="utf-8"?>
<table xmlns="http://schemas.openxmlformats.org/spreadsheetml/2006/main" id="8" name="H_Juin" displayName="H_Juin" ref="A12:T49" totalsRowShown="0" headerRowDxfId="180" dataDxfId="178" headerRowBorderDxfId="179" tableBorderDxfId="177" totalsRowBorderDxfId="176">
  <autoFilter ref="A12:T49"/>
  <tableColumns count="20">
    <tableColumn id="1" name="Date" dataDxfId="175"/>
    <tableColumn id="2" name="Service" dataDxfId="174"/>
    <tableColumn id="3" name="début" dataDxfId="173"/>
    <tableColumn id="4" name="Fin" dataDxfId="172"/>
    <tableColumn id="5" name="PP Début" dataDxfId="171"/>
    <tableColumn id="6" name="PP Fin" dataDxfId="170"/>
    <tableColumn id="7" name="PNP Début" dataDxfId="169"/>
    <tableColumn id="8" name="PNP Fin" dataDxfId="168"/>
    <tableColumn id="10" name="Majoration" dataDxfId="167" dataCellStyle="Milliers">
      <calculatedColumnFormula>0.1*(H_Juin[[#This Row],[Heures de nuit]]+IF(H_Juin[[#This Row],[majoration dim &amp; JF]]="non",0,H_Juin[[#This Row],[heures jour dimanche]]+H_Juin[[#This Row],[heures jour fériés]]))</calculatedColumnFormula>
    </tableColumn>
    <tableColumn id="9" name="Heures totales payées" dataDxfId="166" dataCellStyle="Milliers">
      <calculatedColumnFormula>(MOD(H_Juin[[#This Row],[Fin]]-H_Juin[[#This Row],[début]],1)-MOD(H_Juin[[#This Row],[PNP Fin]]-H_Juin[[#This Row],[PNP Début]],1))*24</calculatedColumnFormula>
    </tableColumn>
    <tableColumn id="20" name="majoration dim &amp; JF" dataDxfId="165" dataCellStyle="Milliers">
      <calculatedColumnFormula>IFERROR(VLOOKUP(H_Juin[[#This Row],[Service]],Codes[],4,0),"")</calculatedColumnFormula>
    </tableColumn>
    <tableColumn id="15" name="PNP Début corrigé" dataDxfId="164">
      <calculatedColumnFormula>IF(H_Juin[[#This Row],[PNP Début]]=0,0,IF(H_Juin[[#This Row],[PNP Début]]&lt;H_Juin[[#This Row],[début]],1,0)+H_Juin[[#This Row],[PNP Début]])</calculatedColumnFormula>
    </tableColumn>
    <tableColumn id="16" name="PNP Fin corrigée" dataDxfId="163">
      <calculatedColumnFormula>IF(H_Juin[[#This Row],[PNP Fin]]=0,0,IF(H_Juin[[#This Row],[PNP Fin]]&lt;H_Juin[[#This Row],[début]],1,0)+H_Juin[[#This Row],[PNP Fin]])</calculatedColumnFormula>
    </tableColumn>
    <tableColumn id="14" name="Fin corrigée si nuit" dataDxfId="162">
      <calculatedColumnFormula>IF(H_Juin[[#This Row],[Fin]]&lt;H_Juin[[#This Row],[début]],1,0)+H_Juin[[#This Row],[Fin]]</calculatedColumnFormula>
    </tableColumn>
    <tableColumn id="13" name="Heures de nuit" dataDxfId="161" dataCellStyle="Milliers">
      <calculatedColumnFormula>IF(H_Juin[[#This Row],[Fin]]&lt;H_Juin[[#This Row],[début]],MAX(0,MIN(H_Juin[[#This Row],[Fin corrigée si nuit]],fin_nuit)-MAX(H_Juin[[#This Row],[début]],deb_nuit))*24,(MAX(deb_nuit,H_Juin[[#This Row],[Fin]])-MAX(deb_nuit,H_Juin[[#This Row],[début]])+MAX(MIN(fin_nuit-1,H_Juin[[#This Row],[Fin]])-MIN(fin_nuit-1,H_Juin[[#This Row],[début]]),0))*24)</calculatedColumnFormula>
    </tableColumn>
    <tableColumn id="17" name="Heures de nuit hors PNP" dataDxfId="160" dataCellStyle="Milliers">
      <calculatedColumnFormula>(MAX(0,MIN(H_Juin[[#This Row],[Fin corrigée si nuit]],fin_nuit)-MAX(H_Juin[[#This Row],[début]],deb_nuit))-IF(H_Juin[[#This Row],[PNP Début]]=0,0,MIN(H_Juin[[#This Row],[PNP Fin corrigée]],fin_nuit)-MAX(H_Juin[[#This Row],[PNP Début corrigé]],deb_nuit)))*24</calculatedColumnFormula>
    </tableColumn>
    <tableColumn id="18" name="heures jour dimanche" dataDxfId="159" dataCellStyle="Milliers">
      <calculatedColumnFormula>(IF(WEEKDAY(H_Juin[[#This Row],[Date]],2)=7,MAX(0,MIN(fin_dimJF,H_Juin[[#This Row],[Fin corrigée si nuit]])-MAX(deb_dimJF,H_Juin[[#This Row],[début]])),0)+IF(WEEKDAY(H_Juin[[#This Row],[Date]],2)=6,MAX(0,H_Juin[[#This Row],[Fin corrigée si nuit]]-(1+deb_dimJF)),0))*24</calculatedColumnFormula>
    </tableColumn>
    <tableColumn id="11" name="heures jour dimanche hors PNP" dataDxfId="158" dataCellStyle="Milliers">
      <calculatedColumnFormula>(IF(WEEKDAY(H_Juin[[#This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calculatedColumnFormula>
    </tableColumn>
    <tableColumn id="19" name="heures jour fériés" dataDxfId="157" dataCellStyle="Milliers">
      <calculatedColumnFormula>(IF(COUNTIF(JF,H_Juin[[#This Row],[Date]]),MAX(0,MIN(fin_dimJF,H_Juin[[#This Row],[Fin corrigée si nuit]])-MAX(deb_dimJF,H_Juin[[#This Row],[début]])),0)+IF(COUNTIF(JF,H_Juin[[#This Row],[Date]]+1),MAX(0,H_Juin[[#This Row],[Fin corrigée si nuit]]-(1+deb_dimJF)),0))*24</calculatedColumnFormula>
    </tableColumn>
    <tableColumn id="12" name="heures jour fériés hors PNP" dataDxfId="156" dataCellStyle="Milliers">
      <calculatedColumnFormula>(IF(COUNTIF(JF,H_Juin[[#This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calculatedColumnFormula>
    </tableColumn>
  </tableColumns>
  <tableStyleInfo name="TableStyleLight9" showFirstColumn="0" showLastColumn="0" showRowStripes="1" showColumnStripes="0"/>
</table>
</file>

<file path=xl/tables/table8.xml><?xml version="1.0" encoding="utf-8"?>
<table xmlns="http://schemas.openxmlformats.org/spreadsheetml/2006/main" id="9" name="H_Juil" displayName="H_Juil" ref="A12:T49" totalsRowShown="0" headerRowDxfId="154" dataDxfId="152" headerRowBorderDxfId="153" tableBorderDxfId="151" totalsRowBorderDxfId="150">
  <autoFilter ref="A12:T49"/>
  <tableColumns count="20">
    <tableColumn id="1" name="Date" dataDxfId="149"/>
    <tableColumn id="2" name="Service" dataDxfId="148"/>
    <tableColumn id="3" name="début" dataDxfId="147"/>
    <tableColumn id="4" name="Fin" dataDxfId="146"/>
    <tableColumn id="5" name="PP Début" dataDxfId="145"/>
    <tableColumn id="6" name="PP Fin" dataDxfId="144"/>
    <tableColumn id="7" name="PNP Début" dataDxfId="143"/>
    <tableColumn id="8" name="PNP Fin" dataDxfId="142"/>
    <tableColumn id="10" name="Majoration" dataDxfId="141" dataCellStyle="Milliers">
      <calculatedColumnFormula>0.1*(H_Juil[[#This Row],[Heures de nuit]]+IF(H_Juil[[#This Row],[majoration dim &amp; JF]]="non",0,H_Juil[[#This Row],[heures jour dimanche]]+H_Juil[[#This Row],[heures jour fériés]]))</calculatedColumnFormula>
    </tableColumn>
    <tableColumn id="9" name="Heures totales payées" dataDxfId="140" dataCellStyle="Milliers">
      <calculatedColumnFormula>(MOD(H_Juil[[#This Row],[Fin]]-H_Juil[[#This Row],[début]],1)-MOD(H_Juil[[#This Row],[PNP Fin]]-H_Juil[[#This Row],[PNP Début]],1))*24</calculatedColumnFormula>
    </tableColumn>
    <tableColumn id="20" name="majoration dim &amp; JF" dataDxfId="139" dataCellStyle="Milliers">
      <calculatedColumnFormula>IFERROR(VLOOKUP(H_Juil[[#This Row],[Service]],Codes[],4,0),"")</calculatedColumnFormula>
    </tableColumn>
    <tableColumn id="15" name="PNP Début corrigé" dataDxfId="138">
      <calculatedColumnFormula>IF(H_Juil[[#This Row],[PNP Début]]=0,0,IF(H_Juil[[#This Row],[PNP Début]]&lt;H_Juil[[#This Row],[début]],1,0)+H_Juil[[#This Row],[PNP Début]])</calculatedColumnFormula>
    </tableColumn>
    <tableColumn id="16" name="PNP Fin corrigée" dataDxfId="137">
      <calculatedColumnFormula>IF(H_Juil[[#This Row],[PNP Fin]]=0,0,IF(H_Juil[[#This Row],[PNP Fin]]&lt;H_Juil[[#This Row],[début]],1,0)+H_Juil[[#This Row],[PNP Fin]])</calculatedColumnFormula>
    </tableColumn>
    <tableColumn id="14" name="Fin corrigée si nuit" dataDxfId="136">
      <calculatedColumnFormula>IF(H_Juil[[#This Row],[Fin]]&lt;H_Juil[[#This Row],[début]],1,0)+H_Juil[[#This Row],[Fin]]</calculatedColumnFormula>
    </tableColumn>
    <tableColumn id="13" name="Heures de nuit" dataDxfId="135" dataCellStyle="Milliers">
      <calculatedColumnFormula>IF(H_Juil[[#This Row],[Fin]]&lt;H_Juil[[#This Row],[début]],MAX(0,MIN(H_Juil[[#This Row],[Fin corrigée si nuit]],fin_nuit)-MAX(H_Juil[[#This Row],[début]],deb_nuit))*24,(MAX(deb_nuit,H_Juil[[#This Row],[Fin]])-MAX(deb_nuit,H_Juil[[#This Row],[début]])+MAX(MIN(fin_nuit-1,H_Juil[[#This Row],[Fin]])-MIN(fin_nuit-1,H_Juil[[#This Row],[début]]),0))*24)</calculatedColumnFormula>
    </tableColumn>
    <tableColumn id="17" name="Heures de nuit hors PNP" dataDxfId="134" dataCellStyle="Milliers">
      <calculatedColumnFormula>(MAX(0,MIN(H_Juil[[#This Row],[Fin corrigée si nuit]],fin_nuit)-MAX(H_Juil[[#This Row],[début]],deb_nuit))-IF(H_Juil[[#This Row],[PNP Début]]=0,0,MIN(H_Juil[[#This Row],[PNP Fin corrigée]],fin_nuit)-MAX(H_Juil[[#This Row],[PNP Début corrigé]],deb_nuit)))*24</calculatedColumnFormula>
    </tableColumn>
    <tableColumn id="18" name="heures jour dimanche" dataDxfId="133" dataCellStyle="Milliers">
      <calculatedColumnFormula>(IF(WEEKDAY(H_Juil[[#This Row],[Date]],2)=7,MAX(0,MIN(fin_dimJF,H_Juil[[#This Row],[Fin corrigée si nuit]])-MAX(deb_dimJF,H_Juil[[#This Row],[début]])),0)+IF(WEEKDAY(H_Juil[[#This Row],[Date]],2)=6,MAX(0,H_Juil[[#This Row],[Fin corrigée si nuit]]-(1+deb_dimJF)),0))*24</calculatedColumnFormula>
    </tableColumn>
    <tableColumn id="11" name="heures jour dimanche hors PNP" dataDxfId="132" dataCellStyle="Milliers">
      <calculatedColumnFormula>(IF(WEEKDAY(H_Juil[[#This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calculatedColumnFormula>
    </tableColumn>
    <tableColumn id="19" name="heures jour fériés" dataDxfId="131" dataCellStyle="Milliers">
      <calculatedColumnFormula>(IF(COUNTIF(JF,H_Juil[[#This Row],[Date]]),MAX(0,MIN(fin_dimJF,H_Juil[[#This Row],[Fin corrigée si nuit]])-MAX(deb_dimJF,H_Juil[[#This Row],[début]])),0)+IF(COUNTIF(JF,H_Juil[[#This Row],[Date]]+1),MAX(0,H_Juil[[#This Row],[Fin corrigée si nuit]]-(1+deb_dimJF)),0))*24</calculatedColumnFormula>
    </tableColumn>
    <tableColumn id="12" name="heures jour fériés hors PNP" dataDxfId="130" dataCellStyle="Milliers">
      <calculatedColumnFormula>(IF(COUNTIF(JF,H_Juil[[#This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calculatedColumnFormula>
    </tableColumn>
  </tableColumns>
  <tableStyleInfo name="TableStyleLight9" showFirstColumn="0" showLastColumn="0" showRowStripes="1" showColumnStripes="0"/>
</table>
</file>

<file path=xl/tables/table9.xml><?xml version="1.0" encoding="utf-8"?>
<table xmlns="http://schemas.openxmlformats.org/spreadsheetml/2006/main" id="14" name="H_Aout" displayName="H_Aout" ref="A12:T49" totalsRowShown="0" headerRowDxfId="128" dataDxfId="126" headerRowBorderDxfId="127" tableBorderDxfId="125" totalsRowBorderDxfId="124">
  <autoFilter ref="A12:T49"/>
  <tableColumns count="20">
    <tableColumn id="1" name="Date" dataDxfId="123"/>
    <tableColumn id="2" name="Service" dataDxfId="122"/>
    <tableColumn id="3" name="début" dataDxfId="121"/>
    <tableColumn id="4" name="Fin" dataDxfId="120"/>
    <tableColumn id="5" name="PP Début" dataDxfId="119"/>
    <tableColumn id="6" name="PP Fin" dataDxfId="118"/>
    <tableColumn id="7" name="PNP Début" dataDxfId="117"/>
    <tableColumn id="8" name="PNP Fin" dataDxfId="116"/>
    <tableColumn id="10" name="Majoration" dataDxfId="115" dataCellStyle="Milliers">
      <calculatedColumnFormula>0.1*(H_Aout[[#This Row],[Heures de nuit]]+IF(H_Aout[[#This Row],[majoration dim &amp; JF]]="non",0,H_Aout[[#This Row],[heures jour dimanche]]+H_Aout[[#This Row],[heures jour fériés]]))</calculatedColumnFormula>
    </tableColumn>
    <tableColumn id="9" name="Heures totales payées" dataDxfId="114" dataCellStyle="Milliers">
      <calculatedColumnFormula>(MOD(H_Aout[[#This Row],[Fin]]-H_Aout[[#This Row],[début]],1)-MOD(H_Aout[[#This Row],[PNP Fin]]-H_Aout[[#This Row],[PNP Début]],1))*24</calculatedColumnFormula>
    </tableColumn>
    <tableColumn id="20" name="majoration dim &amp; JF" dataDxfId="113" dataCellStyle="Milliers">
      <calculatedColumnFormula>IFERROR(VLOOKUP(H_Aout[[#This Row],[Service]],Codes[],4,0),"")</calculatedColumnFormula>
    </tableColumn>
    <tableColumn id="15" name="PNP Début corrigé" dataDxfId="112">
      <calculatedColumnFormula>IF(H_Aout[[#This Row],[PNP Début]]=0,0,IF(H_Aout[[#This Row],[PNP Début]]&lt;H_Aout[[#This Row],[début]],1,0)+H_Aout[[#This Row],[PNP Début]])</calculatedColumnFormula>
    </tableColumn>
    <tableColumn id="16" name="PNP Fin corrigée" dataDxfId="111">
      <calculatedColumnFormula>IF(H_Aout[[#This Row],[PNP Fin]]=0,0,IF(H_Aout[[#This Row],[PNP Fin]]&lt;H_Aout[[#This Row],[début]],1,0)+H_Aout[[#This Row],[PNP Fin]])</calculatedColumnFormula>
    </tableColumn>
    <tableColumn id="14" name="Fin corrigée si nuit" dataDxfId="110">
      <calculatedColumnFormula>IF(H_Aout[[#This Row],[Fin]]&lt;H_Aout[[#This Row],[début]],1,0)+H_Aout[[#This Row],[Fin]]</calculatedColumnFormula>
    </tableColumn>
    <tableColumn id="13" name="Heures de nuit" dataDxfId="109" dataCellStyle="Milliers">
      <calculatedColumnFormula>IF(H_Aout[[#This Row],[Fin]]&lt;H_Aout[[#This Row],[début]],MAX(0,MIN(H_Aout[[#This Row],[Fin corrigée si nuit]],fin_nuit)-MAX(H_Aout[[#This Row],[début]],deb_nuit))*24,(MAX(deb_nuit,H_Aout[[#This Row],[Fin]])-MAX(deb_nuit,H_Aout[[#This Row],[début]])+MAX(MIN(fin_nuit-1,H_Aout[[#This Row],[Fin]])-MIN(fin_nuit-1,H_Aout[[#This Row],[début]]),0))*24)</calculatedColumnFormula>
    </tableColumn>
    <tableColumn id="17" name="Heures de nuit hors PNP" dataDxfId="108" dataCellStyle="Milliers">
      <calculatedColumnFormula>(MAX(0,MIN(H_Aout[[#This Row],[Fin corrigée si nuit]],fin_nuit)-MAX(H_Aout[[#This Row],[début]],deb_nuit))-IF(H_Aout[[#This Row],[PNP Début]]=0,0,MIN(H_Aout[[#This Row],[PNP Fin corrigée]],fin_nuit)-MAX(H_Aout[[#This Row],[PNP Début corrigé]],deb_nuit)))*24</calculatedColumnFormula>
    </tableColumn>
    <tableColumn id="18" name="heures jour dimanche" dataDxfId="107" dataCellStyle="Milliers">
      <calculatedColumnFormula>(IF(WEEKDAY(H_Aout[[#This Row],[Date]],2)=7,MAX(0,MIN(fin_dimJF,H_Aout[[#This Row],[Fin corrigée si nuit]])-MAX(deb_dimJF,H_Aout[[#This Row],[début]])),0)+IF(WEEKDAY(H_Aout[[#This Row],[Date]],2)=6,MAX(0,H_Aout[[#This Row],[Fin corrigée si nuit]]-(1+deb_dimJF)),0))*24</calculatedColumnFormula>
    </tableColumn>
    <tableColumn id="11" name="heures jour dimanche hors PNP" dataDxfId="106" dataCellStyle="Milliers">
      <calculatedColumnFormula>(IF(WEEKDAY(H_Aout[[#This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calculatedColumnFormula>
    </tableColumn>
    <tableColumn id="19" name="heures jour fériés" dataDxfId="105" dataCellStyle="Milliers">
      <calculatedColumnFormula>(IF(COUNTIF(JF,H_Aout[[#This Row],[Date]]),MAX(0,MIN(fin_dimJF,H_Aout[[#This Row],[Fin corrigée si nuit]])-MAX(deb_dimJF,H_Aout[[#This Row],[début]])),0)+IF(COUNTIF(JF,H_Aout[[#This Row],[Date]]+1),MAX(0,H_Aout[[#This Row],[Fin corrigée si nuit]]-(1+deb_dimJF)),0))*24</calculatedColumnFormula>
    </tableColumn>
    <tableColumn id="12" name="heures jour fériés hors PNP" dataDxfId="104" dataCellStyle="Milliers">
      <calculatedColumnFormula>(IF(COUNTIF(JF,H_Aout[[#This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calculatedColumnFormula>
    </tableColumn>
  </tableColumns>
  <tableStyleInfo name="TableStyleLight9" showFirstColumn="0" showLastColumn="0" showRowStripes="1" showColumnStripes="0"/>
</table>
</file>

<file path=xl/tables/table10.xml><?xml version="1.0" encoding="utf-8"?>
<table xmlns="http://schemas.openxmlformats.org/spreadsheetml/2006/main" id="13" name="H_Sept" displayName="H_Sept" ref="A12:T49" totalsRowShown="0" headerRowDxfId="102" dataDxfId="100" headerRowBorderDxfId="101" tableBorderDxfId="99" totalsRowBorderDxfId="98">
  <autoFilter ref="A12:T49"/>
  <tableColumns count="20">
    <tableColumn id="1" name="Date" dataDxfId="97"/>
    <tableColumn id="2" name="Service" dataDxfId="96"/>
    <tableColumn id="3" name="début" dataDxfId="95"/>
    <tableColumn id="4" name="Fin" dataDxfId="94"/>
    <tableColumn id="5" name="PP Début" dataDxfId="93"/>
    <tableColumn id="6" name="PP Fin" dataDxfId="92"/>
    <tableColumn id="7" name="PNP Début" dataDxfId="91"/>
    <tableColumn id="8" name="PNP Fin" dataDxfId="90"/>
    <tableColumn id="10" name="Majoration" dataDxfId="89" dataCellStyle="Milliers">
      <calculatedColumnFormula>0.1*(H_Sept[[#This Row],[Heures de nuit]]+IF(H_Sept[[#This Row],[majoration dim &amp; JF]]="non",0,H_Sept[[#This Row],[heures jour dimanche]]+H_Sept[[#This Row],[heures jour fériés]]))</calculatedColumnFormula>
    </tableColumn>
    <tableColumn id="9" name="Heures totales payées" dataDxfId="88" dataCellStyle="Milliers">
      <calculatedColumnFormula>(MOD(H_Sept[[#This Row],[Fin]]-H_Sept[[#This Row],[début]],1)-MOD(H_Sept[[#This Row],[PNP Fin]]-H_Sept[[#This Row],[PNP Début]],1))*24</calculatedColumnFormula>
    </tableColumn>
    <tableColumn id="20" name="majoration dim &amp; JF" dataDxfId="87" dataCellStyle="Milliers">
      <calculatedColumnFormula>IFERROR(VLOOKUP(H_Sept[[#This Row],[Service]],Codes[],4,0),"")</calculatedColumnFormula>
    </tableColumn>
    <tableColumn id="15" name="PNP Début corrigé" dataDxfId="86">
      <calculatedColumnFormula>IF(H_Sept[[#This Row],[PNP Début]]=0,0,IF(H_Sept[[#This Row],[PNP Début]]&lt;H_Sept[[#This Row],[début]],1,0)+H_Sept[[#This Row],[PNP Début]])</calculatedColumnFormula>
    </tableColumn>
    <tableColumn id="16" name="PNP Fin corrigée" dataDxfId="85">
      <calculatedColumnFormula>IF(H_Sept[[#This Row],[PNP Fin]]=0,0,IF(H_Sept[[#This Row],[PNP Fin]]&lt;H_Sept[[#This Row],[début]],1,0)+H_Sept[[#This Row],[PNP Fin]])</calculatedColumnFormula>
    </tableColumn>
    <tableColumn id="14" name="Fin corrigée si nuit" dataDxfId="84">
      <calculatedColumnFormula>IF(H_Sept[[#This Row],[Fin]]&lt;H_Sept[[#This Row],[début]],1,0)+H_Sept[[#This Row],[Fin]]</calculatedColumnFormula>
    </tableColumn>
    <tableColumn id="13" name="Heures de nuit" dataDxfId="83" dataCellStyle="Milliers">
      <calculatedColumnFormula>IF(H_Sept[[#This Row],[Fin]]&lt;H_Sept[[#This Row],[début]],MAX(0,MIN(H_Sept[[#This Row],[Fin corrigée si nuit]],fin_nuit)-MAX(H_Sept[[#This Row],[début]],deb_nuit))*24,(MAX(deb_nuit,H_Sept[[#This Row],[Fin]])-MAX(deb_nuit,H_Sept[[#This Row],[début]])+MAX(MIN(fin_nuit-1,H_Sept[[#This Row],[Fin]])-MIN(fin_nuit-1,H_Sept[[#This Row],[début]]),0))*24)</calculatedColumnFormula>
    </tableColumn>
    <tableColumn id="17" name="Heures de nuit hors PNP" dataDxfId="82" dataCellStyle="Milliers">
      <calculatedColumnFormula>(MAX(0,MIN(H_Sept[[#This Row],[Fin corrigée si nuit]],fin_nuit)-MAX(H_Sept[[#This Row],[début]],deb_nuit))-IF(H_Sept[[#This Row],[PNP Début]]=0,0,MIN(H_Sept[[#This Row],[PNP Fin corrigée]],fin_nuit)-MAX(H_Sept[[#This Row],[PNP Début corrigé]],deb_nuit)))*24</calculatedColumnFormula>
    </tableColumn>
    <tableColumn id="18" name="heures jour dimanche" dataDxfId="81" dataCellStyle="Milliers">
      <calculatedColumnFormula>(IF(WEEKDAY(H_Sept[[#This Row],[Date]],2)=7,MAX(0,MIN(fin_dimJF,H_Sept[[#This Row],[Fin corrigée si nuit]])-MAX(deb_dimJF,H_Sept[[#This Row],[début]])),0)+IF(WEEKDAY(H_Sept[[#This Row],[Date]],2)=6,MAX(0,H_Sept[[#This Row],[Fin corrigée si nuit]]-(1+deb_dimJF)),0))*24</calculatedColumnFormula>
    </tableColumn>
    <tableColumn id="11" name="heures jour dimanche hors PNP" dataDxfId="80" dataCellStyle="Milliers">
      <calculatedColumnFormula>(IF(WEEKDAY(H_Sept[[#This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calculatedColumnFormula>
    </tableColumn>
    <tableColumn id="19" name="heures jour fériés" dataDxfId="79" dataCellStyle="Milliers">
      <calculatedColumnFormula>(IF(COUNTIF(JF,H_Sept[[#This Row],[Date]]),MAX(0,MIN(fin_dimJF,H_Sept[[#This Row],[Fin corrigée si nuit]])-MAX(deb_dimJF,H_Sept[[#This Row],[début]])),0)+IF(COUNTIF(JF,H_Sept[[#This Row],[Date]]+1),MAX(0,H_Sept[[#This Row],[Fin corrigée si nuit]]-(1+deb_dimJF)),0))*24</calculatedColumnFormula>
    </tableColumn>
    <tableColumn id="12" name="heures jour fériés hors PNP" dataDxfId="78" dataCellStyle="Milliers">
      <calculatedColumnFormula>(IF(COUNTIF(JF,H_Sept[[#This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calculatedColumnFormula>
    </tableColumn>
  </tableColumns>
  <tableStyleInfo name="TableStyleLight9" showFirstColumn="0" showLastColumn="0" showRowStripes="1" showColumnStripes="0"/>
</table>
</file>

<file path=xl/tables/table11.xml><?xml version="1.0" encoding="utf-8"?>
<table xmlns="http://schemas.openxmlformats.org/spreadsheetml/2006/main" id="12" name="H_Oct" displayName="H_Oct" ref="A12:T49" totalsRowShown="0" headerRowDxfId="76" dataDxfId="74" headerRowBorderDxfId="75" tableBorderDxfId="73" totalsRowBorderDxfId="72">
  <autoFilter ref="A12:T49"/>
  <tableColumns count="20">
    <tableColumn id="1" name="Date" dataDxfId="71"/>
    <tableColumn id="2" name="Service" dataDxfId="70"/>
    <tableColumn id="3" name="début" dataDxfId="69"/>
    <tableColumn id="4" name="Fin" dataDxfId="68"/>
    <tableColumn id="5" name="PP Début" dataDxfId="67"/>
    <tableColumn id="6" name="PP Fin" dataDxfId="66"/>
    <tableColumn id="7" name="PNP Début" dataDxfId="65"/>
    <tableColumn id="8" name="PNP Fin" dataDxfId="64"/>
    <tableColumn id="10" name="Majoration" dataDxfId="63" dataCellStyle="Milliers">
      <calculatedColumnFormula>0.1*(H_Oct[[#This Row],[Heures de nuit]]+IF(H_Oct[[#This Row],[majoration dim &amp; JF]]="non",0,H_Oct[[#This Row],[heures jour dimanche]]+H_Oct[[#This Row],[heures jour fériés]]))</calculatedColumnFormula>
    </tableColumn>
    <tableColumn id="9" name="Heures totales payées" dataDxfId="62" dataCellStyle="Milliers">
      <calculatedColumnFormula>(MOD(H_Oct[[#This Row],[Fin]]-H_Oct[[#This Row],[début]],1)-MOD(H_Oct[[#This Row],[PNP Fin]]-H_Oct[[#This Row],[PNP Début]],1))*24</calculatedColumnFormula>
    </tableColumn>
    <tableColumn id="20" name="majoration dim &amp; JF" dataDxfId="61" dataCellStyle="Milliers">
      <calculatedColumnFormula>IFERROR(VLOOKUP(H_Oct[[#This Row],[Service]],Codes[],4,0),"")</calculatedColumnFormula>
    </tableColumn>
    <tableColumn id="15" name="PNP Début corrigé" dataDxfId="60">
      <calculatedColumnFormula>IF(H_Oct[[#This Row],[PNP Début]]=0,0,IF(H_Oct[[#This Row],[PNP Début]]&lt;H_Oct[[#This Row],[début]],1,0)+H_Oct[[#This Row],[PNP Début]])</calculatedColumnFormula>
    </tableColumn>
    <tableColumn id="16" name="PNP Fin corrigée" dataDxfId="59">
      <calculatedColumnFormula>IF(H_Oct[[#This Row],[PNP Fin]]=0,0,IF(H_Oct[[#This Row],[PNP Fin]]&lt;H_Oct[[#This Row],[début]],1,0)+H_Oct[[#This Row],[PNP Fin]])</calculatedColumnFormula>
    </tableColumn>
    <tableColumn id="14" name="Fin corrigée si nuit" dataDxfId="58">
      <calculatedColumnFormula>IF(H_Oct[[#This Row],[Fin]]&lt;H_Oct[[#This Row],[début]],1,0)+H_Oct[[#This Row],[Fin]]</calculatedColumnFormula>
    </tableColumn>
    <tableColumn id="13" name="Heures de nuit" dataDxfId="57" dataCellStyle="Milliers">
      <calculatedColumnFormula>IF(H_Oct[[#This Row],[Fin]]&lt;H_Oct[[#This Row],[début]],MAX(0,MIN(H_Oct[[#This Row],[Fin corrigée si nuit]],fin_nuit)-MAX(H_Oct[[#This Row],[début]],deb_nuit))*24,(MAX(deb_nuit,H_Oct[[#This Row],[Fin]])-MAX(deb_nuit,H_Oct[[#This Row],[début]])+MAX(MIN(fin_nuit-1,H_Oct[[#This Row],[Fin]])-MIN(fin_nuit-1,H_Oct[[#This Row],[début]]),0))*24)</calculatedColumnFormula>
    </tableColumn>
    <tableColumn id="17" name="Heures de nuit hors PNP" dataDxfId="56" dataCellStyle="Milliers">
      <calculatedColumnFormula>(MAX(0,MIN(H_Oct[[#This Row],[Fin corrigée si nuit]],fin_nuit)-MAX(H_Oct[[#This Row],[début]],deb_nuit))-IF(H_Oct[[#This Row],[PNP Début]]=0,0,MIN(H_Oct[[#This Row],[PNP Fin corrigée]],fin_nuit)-MAX(H_Oct[[#This Row],[PNP Début corrigé]],deb_nuit)))*24</calculatedColumnFormula>
    </tableColumn>
    <tableColumn id="18" name="heures jour dimanche" dataDxfId="55" dataCellStyle="Milliers">
      <calculatedColumnFormula>(IF(WEEKDAY(H_Oct[[#This Row],[Date]],2)=7,MAX(0,MIN(fin_dimJF,H_Oct[[#This Row],[Fin corrigée si nuit]])-MAX(deb_dimJF,H_Oct[[#This Row],[début]])),0)+IF(WEEKDAY(H_Oct[[#This Row],[Date]],2)=6,MAX(0,H_Oct[[#This Row],[Fin corrigée si nuit]]-(1+deb_dimJF)),0))*24</calculatedColumnFormula>
    </tableColumn>
    <tableColumn id="11" name="heures jour dimanche hors PNP" dataDxfId="54" dataCellStyle="Milliers">
      <calculatedColumnFormula>(IF(WEEKDAY(H_Oct[[#This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calculatedColumnFormula>
    </tableColumn>
    <tableColumn id="19" name="heures jour fériés" dataDxfId="53" dataCellStyle="Milliers">
      <calculatedColumnFormula>(IF(COUNTIF(JF,H_Oct[[#This Row],[Date]]),MAX(0,MIN(fin_dimJF,H_Oct[[#This Row],[Fin corrigée si nuit]])-MAX(deb_dimJF,H_Oct[[#This Row],[début]])),0)+IF(COUNTIF(JF,H_Oct[[#This Row],[Date]]+1),MAX(0,H_Oct[[#This Row],[Fin corrigée si nuit]]-(1+deb_dimJF)),0))*24</calculatedColumnFormula>
    </tableColumn>
    <tableColumn id="12" name="heures jour fériés hors PNP" dataDxfId="52" dataCellStyle="Milliers">
      <calculatedColumnFormula>(IF(COUNTIF(JF,H_Oct[[#This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calculatedColumnFormula>
    </tableColumn>
  </tableColumns>
  <tableStyleInfo name="TableStyleLight9" showFirstColumn="0" showLastColumn="0" showRowStripes="1" showColumnStripes="0"/>
</table>
</file>

<file path=xl/tables/table12.xml><?xml version="1.0" encoding="utf-8"?>
<table xmlns="http://schemas.openxmlformats.org/spreadsheetml/2006/main" id="11" name="H_Nov" displayName="H_Nov" ref="A12:T49" totalsRowShown="0" headerRowDxfId="50" dataDxfId="48" headerRowBorderDxfId="49" tableBorderDxfId="47" totalsRowBorderDxfId="46">
  <autoFilter ref="A12:T49"/>
  <tableColumns count="20">
    <tableColumn id="1" name="Date" dataDxfId="45"/>
    <tableColumn id="2" name="Service" dataDxfId="44"/>
    <tableColumn id="3" name="début" dataDxfId="43"/>
    <tableColumn id="4" name="Fin" dataDxfId="42"/>
    <tableColumn id="5" name="PP Début" dataDxfId="41"/>
    <tableColumn id="6" name="PP Fin" dataDxfId="40"/>
    <tableColumn id="7" name="PNP Début" dataDxfId="39"/>
    <tableColumn id="8" name="PNP Fin" dataDxfId="38"/>
    <tableColumn id="10" name="Majoration" dataDxfId="37" dataCellStyle="Milliers">
      <calculatedColumnFormula>0.1*(H_Nov[[#This Row],[Heures de nuit]]+IF(H_Nov[[#This Row],[majoration dim &amp; JF]]="non",0,H_Nov[[#This Row],[heures jour dimanche]]+H_Nov[[#This Row],[heures jour fériés]]))</calculatedColumnFormula>
    </tableColumn>
    <tableColumn id="9" name="Heures totales payées" dataDxfId="36" dataCellStyle="Milliers">
      <calculatedColumnFormula>(MOD(H_Nov[[#This Row],[Fin]]-H_Nov[[#This Row],[début]],1)-MOD(H_Nov[[#This Row],[PNP Fin]]-H_Nov[[#This Row],[PNP Début]],1))*24</calculatedColumnFormula>
    </tableColumn>
    <tableColumn id="20" name="majoration dim &amp; JF" dataDxfId="35" dataCellStyle="Milliers">
      <calculatedColumnFormula>IFERROR(VLOOKUP(H_Nov[[#This Row],[Service]],Codes[],4,0),"")</calculatedColumnFormula>
    </tableColumn>
    <tableColumn id="15" name="PNP Début corrigé" dataDxfId="34">
      <calculatedColumnFormula>IF(H_Nov[[#This Row],[PNP Début]]=0,0,IF(H_Nov[[#This Row],[PNP Début]]&lt;H_Nov[[#This Row],[début]],1,0)+H_Nov[[#This Row],[PNP Début]])</calculatedColumnFormula>
    </tableColumn>
    <tableColumn id="16" name="PNP Fin corrigée" dataDxfId="33">
      <calculatedColumnFormula>IF(H_Nov[[#This Row],[PNP Fin]]=0,0,IF(H_Nov[[#This Row],[PNP Fin]]&lt;H_Nov[[#This Row],[début]],1,0)+H_Nov[[#This Row],[PNP Fin]])</calculatedColumnFormula>
    </tableColumn>
    <tableColumn id="14" name="Fin corrigée si nuit" dataDxfId="32">
      <calculatedColumnFormula>IF(H_Nov[[#This Row],[Fin]]&lt;H_Nov[[#This Row],[début]],1,0)+H_Nov[[#This Row],[Fin]]</calculatedColumnFormula>
    </tableColumn>
    <tableColumn id="13" name="Heures de nuit" dataDxfId="31" dataCellStyle="Milliers">
      <calculatedColumnFormula>IF(H_Nov[[#This Row],[Fin]]&lt;H_Nov[[#This Row],[début]],MAX(0,MIN(H_Nov[[#This Row],[Fin corrigée si nuit]],fin_nuit)-MAX(H_Nov[[#This Row],[début]],deb_nuit))*24,(MAX(deb_nuit,H_Nov[[#This Row],[Fin]])-MAX(deb_nuit,H_Nov[[#This Row],[début]])+MAX(MIN(fin_nuit-1,H_Nov[[#This Row],[Fin]])-MIN(fin_nuit-1,H_Nov[[#This Row],[début]]),0))*24)</calculatedColumnFormula>
    </tableColumn>
    <tableColumn id="17" name="Heures de nuit hors PNP" dataDxfId="30" dataCellStyle="Milliers">
      <calculatedColumnFormula>(MAX(0,MIN(H_Nov[[#This Row],[Fin corrigée si nuit]],fin_nuit)-MAX(H_Nov[[#This Row],[début]],deb_nuit))-IF(H_Nov[[#This Row],[PNP Début]]=0,0,MIN(H_Nov[[#This Row],[PNP Fin corrigée]],fin_nuit)-MAX(H_Nov[[#This Row],[PNP Début corrigé]],deb_nuit)))*24</calculatedColumnFormula>
    </tableColumn>
    <tableColumn id="18" name="heures jour dimanche" dataDxfId="29" dataCellStyle="Milliers">
      <calculatedColumnFormula>(IF(WEEKDAY(H_Nov[[#This Row],[Date]],2)=7,MAX(0,MIN(fin_dimJF,H_Nov[[#This Row],[Fin corrigée si nuit]])-MAX(deb_dimJF,H_Nov[[#This Row],[début]])),0)+IF(WEEKDAY(H_Nov[[#This Row],[Date]],2)=6,MAX(0,H_Nov[[#This Row],[Fin corrigée si nuit]]-(1+deb_dimJF)),0))*24</calculatedColumnFormula>
    </tableColumn>
    <tableColumn id="11" name="heures jour dimanche hors PNP" dataDxfId="28" dataCellStyle="Milliers">
      <calculatedColumnFormula>(IF(WEEKDAY(H_Nov[[#This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calculatedColumnFormula>
    </tableColumn>
    <tableColumn id="19" name="heures jour fériés" dataDxfId="27" dataCellStyle="Milliers">
      <calculatedColumnFormula>(IF(COUNTIF(JF,H_Nov[[#This Row],[Date]]),MAX(0,MIN(fin_dimJF,H_Nov[[#This Row],[Fin corrigée si nuit]])-MAX(deb_dimJF,H_Nov[[#This Row],[début]])),0)+IF(COUNTIF(JF,H_Nov[[#This Row],[Date]]+1),MAX(0,H_Nov[[#This Row],[Fin corrigée si nuit]]-(1+deb_dimJF)),0))*24</calculatedColumnFormula>
    </tableColumn>
    <tableColumn id="12" name="heures jour fériés hors PNP" dataDxfId="26" dataCellStyle="Milliers">
      <calculatedColumnFormula>(IF(COUNTIF(JF,H_Nov[[#This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calculatedColumnFormula>
    </tableColumn>
  </tableColumns>
  <tableStyleInfo name="TableStyleLight9" showFirstColumn="0" showLastColumn="0" showRowStripes="1" showColumnStripes="0"/>
</table>
</file>

<file path=xl/tables/table13.xml><?xml version="1.0" encoding="utf-8"?>
<table xmlns="http://schemas.openxmlformats.org/spreadsheetml/2006/main" id="10" name="H_Dec" displayName="H_Dec" ref="A12:T49" totalsRowShown="0" headerRowDxfId="24" dataDxfId="22" headerRowBorderDxfId="23" tableBorderDxfId="21" totalsRowBorderDxfId="20">
  <autoFilter ref="A12:T49"/>
  <tableColumns count="20">
    <tableColumn id="1" name="Date" dataDxfId="19"/>
    <tableColumn id="2" name="Service" dataDxfId="18"/>
    <tableColumn id="3" name="début" dataDxfId="17"/>
    <tableColumn id="4" name="Fin" dataDxfId="16"/>
    <tableColumn id="5" name="PP Début" dataDxfId="15"/>
    <tableColumn id="6" name="PP Fin" dataDxfId="14"/>
    <tableColumn id="7" name="PNP Début" dataDxfId="13"/>
    <tableColumn id="8" name="PNP Fin" dataDxfId="12"/>
    <tableColumn id="10" name="Majoration" dataDxfId="11" dataCellStyle="Milliers">
      <calculatedColumnFormula>0.1*(H_Dec[[#This Row],[Heures de nuit]]+IF(H_Dec[[#This Row],[majoration dim &amp; JF]]="non",0,H_Dec[[#This Row],[heures jour dimanche]]+H_Dec[[#This Row],[heures jour fériés]]))</calculatedColumnFormula>
    </tableColumn>
    <tableColumn id="9" name="Heures totales payées" dataDxfId="10" dataCellStyle="Milliers">
      <calculatedColumnFormula>(MOD(H_Dec[[#This Row],[Fin]]-H_Dec[[#This Row],[début]],1)-MOD(H_Dec[[#This Row],[PNP Fin]]-H_Dec[[#This Row],[PNP Début]],1))*24</calculatedColumnFormula>
    </tableColumn>
    <tableColumn id="20" name="majoration dim &amp; JF" dataDxfId="9" dataCellStyle="Milliers">
      <calculatedColumnFormula>IFERROR(VLOOKUP(H_Dec[[#This Row],[Service]],Codes[],4,0),"")</calculatedColumnFormula>
    </tableColumn>
    <tableColumn id="15" name="PNP Début corrigé" dataDxfId="8">
      <calculatedColumnFormula>IF(H_Dec[[#This Row],[PNP Début]]=0,0,IF(H_Dec[[#This Row],[PNP Début]]&lt;H_Dec[[#This Row],[début]],1,0)+H_Dec[[#This Row],[PNP Début]])</calculatedColumnFormula>
    </tableColumn>
    <tableColumn id="16" name="PNP Fin corrigée" dataDxfId="7">
      <calculatedColumnFormula>IF(H_Dec[[#This Row],[PNP Fin]]=0,0,IF(H_Dec[[#This Row],[PNP Fin]]&lt;H_Dec[[#This Row],[début]],1,0)+H_Dec[[#This Row],[PNP Fin]])</calculatedColumnFormula>
    </tableColumn>
    <tableColumn id="14" name="Fin corrigée si nuit" dataDxfId="6">
      <calculatedColumnFormula>IF(H_Dec[[#This Row],[Fin]]&lt;H_Dec[[#This Row],[début]],1,0)+H_Dec[[#This Row],[Fin]]</calculatedColumnFormula>
    </tableColumn>
    <tableColumn id="13" name="Heures de nuit" dataDxfId="5" dataCellStyle="Milliers">
      <calculatedColumnFormula>IF(H_Dec[[#This Row],[Fin]]&lt;H_Dec[[#This Row],[début]],MAX(0,MIN(H_Dec[[#This Row],[Fin corrigée si nuit]],fin_nuit)-MAX(H_Dec[[#This Row],[début]],deb_nuit))*24,(MAX(deb_nuit,H_Dec[[#This Row],[Fin]])-MAX(deb_nuit,H_Dec[[#This Row],[début]])+MAX(MIN(fin_nuit-1,H_Dec[[#This Row],[Fin]])-MIN(fin_nuit-1,H_Dec[[#This Row],[début]]),0))*24)</calculatedColumnFormula>
    </tableColumn>
    <tableColumn id="17" name="Heures de nuit hors PNP" dataDxfId="4" dataCellStyle="Milliers">
      <calculatedColumnFormula>(MAX(0,MIN(H_Dec[[#This Row],[Fin corrigée si nuit]],fin_nuit)-MAX(H_Dec[[#This Row],[début]],deb_nuit))-IF(H_Dec[[#This Row],[PNP Début]]=0,0,MIN(H_Dec[[#This Row],[PNP Fin corrigée]],fin_nuit)-MAX(H_Dec[[#This Row],[PNP Début corrigé]],deb_nuit)))*24</calculatedColumnFormula>
    </tableColumn>
    <tableColumn id="18" name="heures jour dimanche" dataDxfId="3" dataCellStyle="Milliers">
      <calculatedColumnFormula>(IF(WEEKDAY(H_Dec[[#This Row],[Date]],2)=7,MAX(0,MIN(fin_dimJF,H_Dec[[#This Row],[Fin corrigée si nuit]])-MAX(deb_dimJF,H_Dec[[#This Row],[début]])),0)+IF(WEEKDAY(H_Dec[[#This Row],[Date]],2)=6,MAX(0,H_Dec[[#This Row],[Fin corrigée si nuit]]-(1+deb_dimJF)),0))*24</calculatedColumnFormula>
    </tableColumn>
    <tableColumn id="11" name="heures jour dimanche hors PNP" dataDxfId="2" dataCellStyle="Milliers">
      <calculatedColumnFormula>(IF(WEEKDAY(H_Dec[[#This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calculatedColumnFormula>
    </tableColumn>
    <tableColumn id="19" name="heures jour fériés" dataDxfId="1" dataCellStyle="Milliers">
      <calculatedColumnFormula>(IF(COUNTIF(JF,H_Dec[[#This Row],[Date]]),MAX(0,MIN(fin_dimJF,H_Dec[[#This Row],[Fin corrigée si nuit]])-MAX(deb_dimJF,H_Dec[[#This Row],[début]])),0)+IF(COUNTIF(JF,H_Dec[[#This Row],[Date]]+1),MAX(0,H_Dec[[#This Row],[Fin corrigée si nuit]]-(1+deb_dimJF)),0))*24</calculatedColumnFormula>
    </tableColumn>
    <tableColumn id="12" name="heures jour fériés hors PNP" dataDxfId="0" dataCellStyle="Milliers">
      <calculatedColumnFormula>(IF(COUNTIF(JF,H_Dec[[#This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table" Target="../tables/table2.xml"/><Relationship Id="rId5" Type="http://schemas.openxmlformats.org/officeDocument/2006/relationships/image" Target="../media/image1.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4.bin"/><Relationship Id="rId6" Type="http://schemas.openxmlformats.org/officeDocument/2006/relationships/table" Target="../tables/table3.xml"/><Relationship Id="rId5" Type="http://schemas.openxmlformats.org/officeDocument/2006/relationships/image" Target="../media/image2.emf"/><Relationship Id="rId4" Type="http://schemas.openxmlformats.org/officeDocument/2006/relationships/control" Target="../activeX/activeX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5.bin"/><Relationship Id="rId6" Type="http://schemas.openxmlformats.org/officeDocument/2006/relationships/table" Target="../tables/table4.xml"/><Relationship Id="rId5" Type="http://schemas.openxmlformats.org/officeDocument/2006/relationships/image" Target="../media/image3.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6.bin"/><Relationship Id="rId6" Type="http://schemas.openxmlformats.org/officeDocument/2006/relationships/table" Target="../tables/table5.xml"/><Relationship Id="rId5" Type="http://schemas.openxmlformats.org/officeDocument/2006/relationships/image" Target="../media/image4.emf"/><Relationship Id="rId4" Type="http://schemas.openxmlformats.org/officeDocument/2006/relationships/control" Target="../activeX/activeX4.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7.bin"/><Relationship Id="rId6" Type="http://schemas.openxmlformats.org/officeDocument/2006/relationships/table" Target="../tables/table6.xml"/><Relationship Id="rId5" Type="http://schemas.openxmlformats.org/officeDocument/2006/relationships/image" Target="../media/image5.emf"/><Relationship Id="rId4" Type="http://schemas.openxmlformats.org/officeDocument/2006/relationships/control" Target="../activeX/activeX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8.bin"/><Relationship Id="rId6" Type="http://schemas.openxmlformats.org/officeDocument/2006/relationships/table" Target="../tables/table7.xml"/><Relationship Id="rId5" Type="http://schemas.openxmlformats.org/officeDocument/2006/relationships/image" Target="../media/image6.emf"/><Relationship Id="rId4" Type="http://schemas.openxmlformats.org/officeDocument/2006/relationships/control" Target="../activeX/activeX6.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9.bin"/><Relationship Id="rId6" Type="http://schemas.openxmlformats.org/officeDocument/2006/relationships/table" Target="../tables/table8.xml"/><Relationship Id="rId5" Type="http://schemas.openxmlformats.org/officeDocument/2006/relationships/image" Target="../media/image7.emf"/><Relationship Id="rId4" Type="http://schemas.openxmlformats.org/officeDocument/2006/relationships/control" Target="../activeX/activeX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table" Target="../tables/table9.xml"/><Relationship Id="rId5" Type="http://schemas.openxmlformats.org/officeDocument/2006/relationships/image" Target="../media/image8.emf"/><Relationship Id="rId4" Type="http://schemas.openxmlformats.org/officeDocument/2006/relationships/control" Target="../activeX/activeX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table" Target="../tables/table10.xml"/><Relationship Id="rId5" Type="http://schemas.openxmlformats.org/officeDocument/2006/relationships/image" Target="../media/image9.emf"/><Relationship Id="rId4" Type="http://schemas.openxmlformats.org/officeDocument/2006/relationships/control" Target="../activeX/activeX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2.bin"/><Relationship Id="rId6" Type="http://schemas.openxmlformats.org/officeDocument/2006/relationships/table" Target="../tables/table11.xml"/><Relationship Id="rId5" Type="http://schemas.openxmlformats.org/officeDocument/2006/relationships/image" Target="../media/image10.emf"/><Relationship Id="rId4" Type="http://schemas.openxmlformats.org/officeDocument/2006/relationships/control" Target="../activeX/activeX10.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4.xml"/><Relationship Id="rId1" Type="http://schemas.openxmlformats.org/officeDocument/2006/relationships/printerSettings" Target="../printerSettings/printerSettings13.bin"/><Relationship Id="rId6" Type="http://schemas.openxmlformats.org/officeDocument/2006/relationships/table" Target="../tables/table12.xml"/><Relationship Id="rId5" Type="http://schemas.openxmlformats.org/officeDocument/2006/relationships/image" Target="../media/image11.emf"/><Relationship Id="rId4" Type="http://schemas.openxmlformats.org/officeDocument/2006/relationships/control" Target="../activeX/activeX11.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5.xml"/><Relationship Id="rId1" Type="http://schemas.openxmlformats.org/officeDocument/2006/relationships/printerSettings" Target="../printerSettings/printerSettings14.bin"/><Relationship Id="rId6" Type="http://schemas.openxmlformats.org/officeDocument/2006/relationships/table" Target="../tables/table13.xml"/><Relationship Id="rId5" Type="http://schemas.openxmlformats.org/officeDocument/2006/relationships/image" Target="../media/image12.emf"/><Relationship Id="rId4" Type="http://schemas.openxmlformats.org/officeDocument/2006/relationships/control" Target="../activeX/activeX1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rgb="FFFF0000"/>
  </sheetPr>
  <dimension ref="A1:H16"/>
  <sheetViews>
    <sheetView workbookViewId="0">
      <selection activeCell="B3" sqref="B3"/>
    </sheetView>
  </sheetViews>
  <sheetFormatPr baseColWidth="10" defaultRowHeight="14.4" x14ac:dyDescent="0.3"/>
  <cols>
    <col min="1" max="1" width="26" style="58" customWidth="1"/>
    <col min="2" max="2" width="21.77734375" style="58" customWidth="1"/>
    <col min="3" max="3" width="15" style="58" customWidth="1"/>
    <col min="4" max="4" width="21" style="58" customWidth="1"/>
    <col min="5" max="5" width="14" style="58" customWidth="1"/>
    <col min="6" max="6" width="19.21875" style="58" customWidth="1"/>
  </cols>
  <sheetData>
    <row r="1" spans="1:8" ht="64.2" customHeight="1" thickBot="1" x14ac:dyDescent="0.35">
      <c r="A1" s="65" t="s">
        <v>48</v>
      </c>
      <c r="B1" s="65" t="s">
        <v>65</v>
      </c>
      <c r="C1" s="67" t="s">
        <v>66</v>
      </c>
      <c r="D1" s="68" t="s">
        <v>64</v>
      </c>
      <c r="E1" s="67" t="s">
        <v>66</v>
      </c>
      <c r="F1" s="68" t="s">
        <v>67</v>
      </c>
      <c r="G1" s="84">
        <v>2018</v>
      </c>
    </row>
    <row r="2" spans="1:8" ht="16.05" customHeight="1" x14ac:dyDescent="0.3">
      <c r="A2" s="71" t="s">
        <v>49</v>
      </c>
      <c r="B2" s="66">
        <f ca="1">COUNTA(INDIRECT("'"&amp;$A2&amp;" "&amp;RIGHT(G$1,2)&amp;"'!A13:A49"))</f>
        <v>15</v>
      </c>
      <c r="C2" s="69">
        <f ca="1">D2/24</f>
        <v>0.42083333333333334</v>
      </c>
      <c r="D2" s="70">
        <f ca="1">INDIRECT("'"&amp;$A2&amp;" "&amp;RIGHT(G$1,2)&amp;"'!I50")</f>
        <v>10.1</v>
      </c>
      <c r="E2" s="99">
        <f ca="1">F2/24</f>
        <v>6.958333333333333</v>
      </c>
      <c r="F2" s="70">
        <f ca="1">INDIRECT("'"&amp;$A2&amp;" "&amp;RIGHT(G$1,2)&amp;"'!J50")</f>
        <v>167</v>
      </c>
    </row>
    <row r="3" spans="1:8" ht="16.05" customHeight="1" x14ac:dyDescent="0.3">
      <c r="A3" s="71" t="s">
        <v>50</v>
      </c>
      <c r="B3" s="66">
        <f t="shared" ref="B3:B13" ca="1" si="0">COUNTA(INDIRECT("'"&amp;$A3&amp;" "&amp;RIGHT(G$1,2)&amp;"'!A13:A49"))</f>
        <v>0</v>
      </c>
      <c r="C3" s="69">
        <f t="shared" ref="C3:C13" ca="1" si="1">D3/24</f>
        <v>0</v>
      </c>
      <c r="D3" s="70">
        <f t="shared" ref="D3:D13" ca="1" si="2">INDIRECT("'"&amp;$A3&amp;" "&amp;RIGHT(G$1,2)&amp;"'!I50")</f>
        <v>0</v>
      </c>
      <c r="E3" s="99">
        <f t="shared" ref="E3:E13" ca="1" si="3">F3/24</f>
        <v>0</v>
      </c>
      <c r="F3" s="70">
        <f t="shared" ref="F3:F13" ca="1" si="4">INDIRECT("'"&amp;$A3&amp;" "&amp;RIGHT(G$1,2)&amp;"'!J50")</f>
        <v>0</v>
      </c>
    </row>
    <row r="4" spans="1:8" ht="16.05" customHeight="1" x14ac:dyDescent="0.3">
      <c r="A4" s="71" t="s">
        <v>51</v>
      </c>
      <c r="B4" s="66">
        <f t="shared" ca="1" si="0"/>
        <v>0</v>
      </c>
      <c r="C4" s="69">
        <f t="shared" ca="1" si="1"/>
        <v>0</v>
      </c>
      <c r="D4" s="70">
        <f t="shared" ca="1" si="2"/>
        <v>0</v>
      </c>
      <c r="E4" s="99">
        <f t="shared" ca="1" si="3"/>
        <v>0</v>
      </c>
      <c r="F4" s="70">
        <f t="shared" ca="1" si="4"/>
        <v>0</v>
      </c>
    </row>
    <row r="5" spans="1:8" ht="16.05" customHeight="1" x14ac:dyDescent="0.3">
      <c r="A5" s="71" t="s">
        <v>52</v>
      </c>
      <c r="B5" s="66">
        <f t="shared" ca="1" si="0"/>
        <v>0</v>
      </c>
      <c r="C5" s="69">
        <f t="shared" ca="1" si="1"/>
        <v>0</v>
      </c>
      <c r="D5" s="70">
        <f t="shared" ca="1" si="2"/>
        <v>0</v>
      </c>
      <c r="E5" s="99">
        <f t="shared" ca="1" si="3"/>
        <v>0</v>
      </c>
      <c r="F5" s="70">
        <f t="shared" ca="1" si="4"/>
        <v>0</v>
      </c>
    </row>
    <row r="6" spans="1:8" ht="16.05" customHeight="1" x14ac:dyDescent="0.3">
      <c r="A6" s="71" t="s">
        <v>53</v>
      </c>
      <c r="B6" s="66">
        <f t="shared" ca="1" si="0"/>
        <v>0</v>
      </c>
      <c r="C6" s="69">
        <f t="shared" ca="1" si="1"/>
        <v>0</v>
      </c>
      <c r="D6" s="70">
        <f t="shared" ca="1" si="2"/>
        <v>0</v>
      </c>
      <c r="E6" s="99">
        <f t="shared" ca="1" si="3"/>
        <v>0</v>
      </c>
      <c r="F6" s="70">
        <f t="shared" ca="1" si="4"/>
        <v>0</v>
      </c>
    </row>
    <row r="7" spans="1:8" ht="16.05" customHeight="1" x14ac:dyDescent="0.3">
      <c r="A7" s="71" t="s">
        <v>54</v>
      </c>
      <c r="B7" s="66">
        <f t="shared" ca="1" si="0"/>
        <v>0</v>
      </c>
      <c r="C7" s="69">
        <f t="shared" ca="1" si="1"/>
        <v>0</v>
      </c>
      <c r="D7" s="70">
        <f t="shared" ca="1" si="2"/>
        <v>0</v>
      </c>
      <c r="E7" s="99">
        <f t="shared" ca="1" si="3"/>
        <v>0</v>
      </c>
      <c r="F7" s="70">
        <f t="shared" ca="1" si="4"/>
        <v>0</v>
      </c>
    </row>
    <row r="8" spans="1:8" ht="16.05" customHeight="1" x14ac:dyDescent="0.3">
      <c r="A8" s="71" t="s">
        <v>55</v>
      </c>
      <c r="B8" s="66">
        <f t="shared" ca="1" si="0"/>
        <v>0</v>
      </c>
      <c r="C8" s="69">
        <f t="shared" ca="1" si="1"/>
        <v>0</v>
      </c>
      <c r="D8" s="70">
        <f t="shared" ca="1" si="2"/>
        <v>0</v>
      </c>
      <c r="E8" s="99">
        <f t="shared" ca="1" si="3"/>
        <v>0</v>
      </c>
      <c r="F8" s="70">
        <f t="shared" ca="1" si="4"/>
        <v>0</v>
      </c>
    </row>
    <row r="9" spans="1:8" ht="16.05" customHeight="1" x14ac:dyDescent="0.3">
      <c r="A9" s="71" t="s">
        <v>56</v>
      </c>
      <c r="B9" s="66">
        <f t="shared" ca="1" si="0"/>
        <v>0</v>
      </c>
      <c r="C9" s="69">
        <f t="shared" ca="1" si="1"/>
        <v>0</v>
      </c>
      <c r="D9" s="70">
        <f t="shared" ca="1" si="2"/>
        <v>0</v>
      </c>
      <c r="E9" s="99">
        <f t="shared" ca="1" si="3"/>
        <v>0</v>
      </c>
      <c r="F9" s="70">
        <f t="shared" ca="1" si="4"/>
        <v>0</v>
      </c>
    </row>
    <row r="10" spans="1:8" ht="16.05" customHeight="1" x14ac:dyDescent="0.3">
      <c r="A10" s="71" t="s">
        <v>57</v>
      </c>
      <c r="B10" s="66">
        <f t="shared" ca="1" si="0"/>
        <v>0</v>
      </c>
      <c r="C10" s="69">
        <f t="shared" ca="1" si="1"/>
        <v>0</v>
      </c>
      <c r="D10" s="70">
        <f t="shared" ca="1" si="2"/>
        <v>0</v>
      </c>
      <c r="E10" s="99">
        <f t="shared" ca="1" si="3"/>
        <v>0</v>
      </c>
      <c r="F10" s="70">
        <f t="shared" ca="1" si="4"/>
        <v>0</v>
      </c>
    </row>
    <row r="11" spans="1:8" ht="16.05" customHeight="1" x14ac:dyDescent="0.3">
      <c r="A11" s="71" t="s">
        <v>58</v>
      </c>
      <c r="B11" s="66">
        <f t="shared" ca="1" si="0"/>
        <v>0</v>
      </c>
      <c r="C11" s="69">
        <f t="shared" ca="1" si="1"/>
        <v>0</v>
      </c>
      <c r="D11" s="70">
        <f t="shared" ca="1" si="2"/>
        <v>0</v>
      </c>
      <c r="E11" s="99">
        <f t="shared" ca="1" si="3"/>
        <v>0</v>
      </c>
      <c r="F11" s="70">
        <f t="shared" ca="1" si="4"/>
        <v>0</v>
      </c>
    </row>
    <row r="12" spans="1:8" ht="16.05" customHeight="1" x14ac:dyDescent="0.3">
      <c r="A12" s="71" t="s">
        <v>59</v>
      </c>
      <c r="B12" s="66">
        <f t="shared" ca="1" si="0"/>
        <v>0</v>
      </c>
      <c r="C12" s="69">
        <f t="shared" ca="1" si="1"/>
        <v>0</v>
      </c>
      <c r="D12" s="70">
        <f t="shared" ca="1" si="2"/>
        <v>0</v>
      </c>
      <c r="E12" s="99">
        <f t="shared" ca="1" si="3"/>
        <v>0</v>
      </c>
      <c r="F12" s="70">
        <f t="shared" ca="1" si="4"/>
        <v>0</v>
      </c>
    </row>
    <row r="13" spans="1:8" ht="16.05" customHeight="1" x14ac:dyDescent="0.3">
      <c r="A13" s="71" t="s">
        <v>60</v>
      </c>
      <c r="B13" s="66">
        <f t="shared" ca="1" si="0"/>
        <v>0</v>
      </c>
      <c r="C13" s="69">
        <f t="shared" ca="1" si="1"/>
        <v>0</v>
      </c>
      <c r="D13" s="70">
        <f t="shared" ca="1" si="2"/>
        <v>0</v>
      </c>
      <c r="E13" s="100">
        <f t="shared" ca="1" si="3"/>
        <v>0</v>
      </c>
      <c r="F13" s="70">
        <f t="shared" ca="1" si="4"/>
        <v>0</v>
      </c>
    </row>
    <row r="14" spans="1:8" ht="3.6" customHeight="1" thickBot="1" x14ac:dyDescent="0.35">
      <c r="A14" s="76"/>
      <c r="B14" s="76"/>
      <c r="C14" s="77"/>
      <c r="D14" s="78"/>
      <c r="E14" s="79"/>
      <c r="F14" s="78"/>
    </row>
    <row r="15" spans="1:8" ht="28.05" customHeight="1" thickBot="1" x14ac:dyDescent="0.35">
      <c r="A15" s="72" t="s">
        <v>61</v>
      </c>
      <c r="B15" s="73">
        <f ca="1">SUM(B2:B14)</f>
        <v>15</v>
      </c>
      <c r="C15" s="74">
        <f ca="1">SUM(C2:C13)</f>
        <v>0.42083333333333334</v>
      </c>
      <c r="D15" s="75">
        <f ca="1">SUM(D2:D14)</f>
        <v>10.1</v>
      </c>
      <c r="E15" s="74">
        <f ca="1">SUM(E2:E13)</f>
        <v>6.958333333333333</v>
      </c>
      <c r="F15" s="75">
        <f ca="1">SUM(F2:F14)</f>
        <v>167</v>
      </c>
    </row>
    <row r="16" spans="1:8" ht="28.05" customHeight="1" x14ac:dyDescent="0.3">
      <c r="A16" s="61"/>
      <c r="B16" s="62"/>
      <c r="C16" s="62"/>
      <c r="D16" s="63"/>
      <c r="E16" s="63"/>
      <c r="F16" s="63"/>
      <c r="G16" s="64"/>
      <c r="H16" s="64"/>
    </row>
  </sheetData>
  <sheetProtection selectLockedCells="1"/>
  <pageMargins left="0.70866141732283472" right="0.70866141732283472" top="0.74803149606299213" bottom="0.74803149606299213" header="0.31496062992125984" footer="0.31496062992125984"/>
  <pageSetup paperSize="9" orientation="landscape" r:id="rId1"/>
  <ignoredErrors>
    <ignoredError sqref="E15 C15"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1">
              <controlPr defaultSize="0" print="0" autoFill="0" autoPict="0" macro="[0]!impression">
                <anchor moveWithCells="1" sizeWithCells="1">
                  <from>
                    <xdr:col>1</xdr:col>
                    <xdr:colOff>1813560</xdr:colOff>
                    <xdr:row>16</xdr:row>
                    <xdr:rowOff>0</xdr:rowOff>
                  </from>
                  <to>
                    <xdr:col>3</xdr:col>
                    <xdr:colOff>1409700</xdr:colOff>
                    <xdr:row>19</xdr:row>
                    <xdr:rowOff>15240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00B050"/>
  </sheetPr>
  <dimension ref="A1:B4"/>
  <sheetViews>
    <sheetView workbookViewId="0">
      <selection activeCell="E22" sqref="E22"/>
    </sheetView>
  </sheetViews>
  <sheetFormatPr baseColWidth="10" defaultRowHeight="14.4" x14ac:dyDescent="0.3"/>
  <cols>
    <col min="1" max="1" width="21.77734375" customWidth="1"/>
  </cols>
  <sheetData>
    <row r="1" spans="1:2" x14ac:dyDescent="0.3">
      <c r="A1" t="s">
        <v>13</v>
      </c>
      <c r="B1" s="7">
        <v>0.95833333333333337</v>
      </c>
    </row>
    <row r="2" spans="1:2" x14ac:dyDescent="0.3">
      <c r="A2" t="s">
        <v>14</v>
      </c>
      <c r="B2" s="8">
        <v>1.25</v>
      </c>
    </row>
    <row r="3" spans="1:2" x14ac:dyDescent="0.3">
      <c r="A3" t="s">
        <v>15</v>
      </c>
      <c r="B3" s="7">
        <v>0.25</v>
      </c>
    </row>
    <row r="4" spans="1:2" x14ac:dyDescent="0.3">
      <c r="A4" t="s">
        <v>16</v>
      </c>
      <c r="B4" s="7">
        <v>0.95833333333333337</v>
      </c>
    </row>
  </sheetData>
  <sheetProtection selectLockedCells="1" selectUnlockedCells="1"/>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reinit">
                <anchor moveWithCells="1" sizeWithCells="1">
                  <from>
                    <xdr:col>0</xdr:col>
                    <xdr:colOff>342900</xdr:colOff>
                    <xdr:row>7</xdr:row>
                    <xdr:rowOff>7620</xdr:rowOff>
                  </from>
                  <to>
                    <xdr:col>3</xdr:col>
                    <xdr:colOff>746760</xdr:colOff>
                    <xdr:row>10</xdr:row>
                    <xdr:rowOff>22860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FFFF00"/>
  </sheetPr>
  <dimension ref="A1:F78"/>
  <sheetViews>
    <sheetView showZeros="0" topLeftCell="A52" workbookViewId="0">
      <selection activeCell="D66" sqref="D66"/>
    </sheetView>
  </sheetViews>
  <sheetFormatPr baseColWidth="10" defaultColWidth="11.5546875" defaultRowHeight="14.4" x14ac:dyDescent="0.3"/>
  <cols>
    <col min="1" max="1" width="21.33203125" style="15" customWidth="1"/>
    <col min="2" max="2" width="23.109375" style="90" customWidth="1"/>
    <col min="3" max="3" width="17.109375" style="15" customWidth="1"/>
    <col min="4" max="4" width="24.77734375" style="15" customWidth="1"/>
    <col min="5" max="16384" width="11.5546875" style="15"/>
  </cols>
  <sheetData>
    <row r="1" spans="1:4" x14ac:dyDescent="0.3">
      <c r="A1" s="85">
        <v>2018</v>
      </c>
      <c r="B1" s="86" t="s">
        <v>41</v>
      </c>
      <c r="C1" s="87">
        <v>43101</v>
      </c>
      <c r="D1" s="88">
        <f>IF(WEEKDAY(C1,2)=7,0,C1)</f>
        <v>43101</v>
      </c>
    </row>
    <row r="2" spans="1:4" x14ac:dyDescent="0.3">
      <c r="A2" s="89"/>
      <c r="B2" s="86" t="s">
        <v>38</v>
      </c>
      <c r="C2" s="87">
        <v>43189</v>
      </c>
      <c r="D2" s="88">
        <f t="shared" ref="D2:D12" si="0">IF(WEEKDAY(C2,2)=7,0,C2)</f>
        <v>43189</v>
      </c>
    </row>
    <row r="3" spans="1:4" x14ac:dyDescent="0.3">
      <c r="A3" s="89"/>
      <c r="B3" s="86" t="s">
        <v>7</v>
      </c>
      <c r="C3" s="87">
        <v>43192</v>
      </c>
      <c r="D3" s="88">
        <f t="shared" si="0"/>
        <v>43192</v>
      </c>
    </row>
    <row r="4" spans="1:4" x14ac:dyDescent="0.3">
      <c r="A4" s="89"/>
      <c r="B4" s="86" t="s">
        <v>42</v>
      </c>
      <c r="C4" s="87">
        <v>43230</v>
      </c>
      <c r="D4" s="88">
        <f t="shared" si="0"/>
        <v>43230</v>
      </c>
    </row>
    <row r="5" spans="1:4" x14ac:dyDescent="0.3">
      <c r="A5" s="89"/>
      <c r="B5" s="86" t="s">
        <v>43</v>
      </c>
      <c r="C5" s="87">
        <v>43241</v>
      </c>
      <c r="D5" s="88">
        <f t="shared" si="0"/>
        <v>43241</v>
      </c>
    </row>
    <row r="6" spans="1:4" x14ac:dyDescent="0.3">
      <c r="A6" s="89"/>
      <c r="B6" s="86" t="s">
        <v>44</v>
      </c>
      <c r="C6" s="87">
        <v>43313</v>
      </c>
      <c r="D6" s="88">
        <f t="shared" si="0"/>
        <v>43313</v>
      </c>
    </row>
    <row r="7" spans="1:4" x14ac:dyDescent="0.3">
      <c r="A7" s="89"/>
      <c r="B7" s="86" t="s">
        <v>45</v>
      </c>
      <c r="C7" s="87">
        <v>43349</v>
      </c>
      <c r="D7" s="88">
        <f t="shared" si="0"/>
        <v>43349</v>
      </c>
    </row>
    <row r="8" spans="1:4" x14ac:dyDescent="0.3">
      <c r="A8" s="89"/>
      <c r="B8" s="86" t="s">
        <v>46</v>
      </c>
      <c r="C8" s="87">
        <v>43459</v>
      </c>
      <c r="D8" s="88">
        <f t="shared" si="0"/>
        <v>43459</v>
      </c>
    </row>
    <row r="9" spans="1:4" x14ac:dyDescent="0.3">
      <c r="A9" s="89"/>
      <c r="B9" s="86" t="s">
        <v>39</v>
      </c>
      <c r="C9" s="87">
        <v>43465</v>
      </c>
      <c r="D9" s="88">
        <f t="shared" si="0"/>
        <v>43465</v>
      </c>
    </row>
    <row r="10" spans="1:4" x14ac:dyDescent="0.3">
      <c r="A10" s="89"/>
      <c r="B10" s="86" t="s">
        <v>40</v>
      </c>
      <c r="C10" s="87"/>
      <c r="D10" s="88">
        <f t="shared" si="0"/>
        <v>0</v>
      </c>
    </row>
    <row r="11" spans="1:4" x14ac:dyDescent="0.3">
      <c r="A11" s="89"/>
      <c r="B11" s="86" t="s">
        <v>40</v>
      </c>
      <c r="C11" s="87"/>
      <c r="D11" s="88">
        <f t="shared" si="0"/>
        <v>0</v>
      </c>
    </row>
    <row r="12" spans="1:4" x14ac:dyDescent="0.3">
      <c r="A12" s="89"/>
      <c r="B12" s="86" t="s">
        <v>40</v>
      </c>
      <c r="C12" s="87"/>
      <c r="D12" s="88">
        <f t="shared" si="0"/>
        <v>0</v>
      </c>
    </row>
    <row r="17" spans="1:6" x14ac:dyDescent="0.3">
      <c r="F17" s="91"/>
    </row>
    <row r="18" spans="1:6" x14ac:dyDescent="0.3">
      <c r="A18" s="104" t="s">
        <v>127</v>
      </c>
      <c r="B18" s="105">
        <v>0.375</v>
      </c>
      <c r="C18" s="105">
        <v>0.66319444444444442</v>
      </c>
    </row>
    <row r="19" spans="1:6" x14ac:dyDescent="0.3">
      <c r="A19" s="92" t="s">
        <v>126</v>
      </c>
      <c r="B19" s="106">
        <v>0.41666666666666669</v>
      </c>
      <c r="C19" s="106">
        <v>0.74930555555555556</v>
      </c>
    </row>
    <row r="20" spans="1:6" x14ac:dyDescent="0.3">
      <c r="A20" s="92" t="s">
        <v>62</v>
      </c>
      <c r="B20" s="106">
        <v>0.41666666666666669</v>
      </c>
      <c r="C20" s="106">
        <v>0.65694444444444444</v>
      </c>
    </row>
    <row r="22" spans="1:6" x14ac:dyDescent="0.3">
      <c r="A22" s="15" t="s">
        <v>110</v>
      </c>
      <c r="B22" s="16" t="s">
        <v>108</v>
      </c>
      <c r="C22" s="16" t="s">
        <v>109</v>
      </c>
      <c r="D22" s="15" t="s">
        <v>131</v>
      </c>
    </row>
    <row r="23" spans="1:6" x14ac:dyDescent="0.3">
      <c r="A23" s="93" t="s">
        <v>111</v>
      </c>
      <c r="B23" s="94">
        <v>0.75</v>
      </c>
      <c r="C23" s="94">
        <v>0.125</v>
      </c>
      <c r="D23" s="93"/>
    </row>
    <row r="24" spans="1:6" x14ac:dyDescent="0.3">
      <c r="A24" s="93" t="s">
        <v>70</v>
      </c>
      <c r="B24" s="94">
        <v>0.27083333333333331</v>
      </c>
      <c r="C24" s="94">
        <v>0.77083333333333337</v>
      </c>
      <c r="D24" s="93"/>
    </row>
    <row r="25" spans="1:6" x14ac:dyDescent="0.3">
      <c r="A25" s="93" t="s">
        <v>71</v>
      </c>
      <c r="B25" s="94">
        <v>0.77083333333333337</v>
      </c>
      <c r="C25" s="94">
        <v>0.27083333333333331</v>
      </c>
      <c r="D25" s="93"/>
    </row>
    <row r="26" spans="1:6" x14ac:dyDescent="0.3">
      <c r="A26" s="93" t="s">
        <v>72</v>
      </c>
      <c r="B26" s="94">
        <v>0.82291666666666663</v>
      </c>
      <c r="C26" s="94">
        <v>0.28125</v>
      </c>
      <c r="D26" s="93"/>
    </row>
    <row r="27" spans="1:6" x14ac:dyDescent="0.3">
      <c r="A27" s="93" t="s">
        <v>73</v>
      </c>
      <c r="B27" s="94">
        <v>0.29166666666666669</v>
      </c>
      <c r="C27" s="94">
        <v>0.79166666666666663</v>
      </c>
      <c r="D27" s="93"/>
    </row>
    <row r="28" spans="1:6" x14ac:dyDescent="0.3">
      <c r="A28" s="93" t="s">
        <v>74</v>
      </c>
      <c r="B28" s="94">
        <v>0.79166666666666663</v>
      </c>
      <c r="C28" s="94">
        <v>0.29166666666666669</v>
      </c>
      <c r="D28" s="93"/>
    </row>
    <row r="29" spans="1:6" x14ac:dyDescent="0.3">
      <c r="A29" s="93" t="s">
        <v>75</v>
      </c>
      <c r="B29" s="94">
        <v>0.25</v>
      </c>
      <c r="C29" s="94">
        <v>0.75</v>
      </c>
      <c r="D29" s="93"/>
    </row>
    <row r="30" spans="1:6" x14ac:dyDescent="0.3">
      <c r="A30" s="93" t="s">
        <v>76</v>
      </c>
      <c r="B30" s="94">
        <v>0.75</v>
      </c>
      <c r="C30" s="94">
        <v>0.25</v>
      </c>
      <c r="D30" s="93"/>
    </row>
    <row r="31" spans="1:6" x14ac:dyDescent="0.3">
      <c r="A31" s="93" t="s">
        <v>77</v>
      </c>
      <c r="B31" s="94">
        <v>0.25</v>
      </c>
      <c r="C31" s="94">
        <v>0.75</v>
      </c>
      <c r="D31" s="93"/>
    </row>
    <row r="32" spans="1:6" x14ac:dyDescent="0.3">
      <c r="A32" s="93" t="s">
        <v>78</v>
      </c>
      <c r="B32" s="94">
        <v>0.75</v>
      </c>
      <c r="C32" s="94">
        <v>0.25</v>
      </c>
      <c r="D32" s="93"/>
    </row>
    <row r="33" spans="1:4" x14ac:dyDescent="0.3">
      <c r="A33" s="93" t="s">
        <v>79</v>
      </c>
      <c r="B33" s="94">
        <v>0.22916666666666666</v>
      </c>
      <c r="C33" s="94">
        <v>0.72916666666666663</v>
      </c>
      <c r="D33" s="93"/>
    </row>
    <row r="34" spans="1:4" x14ac:dyDescent="0.3">
      <c r="A34" s="93" t="s">
        <v>80</v>
      </c>
      <c r="B34" s="94">
        <v>0.72916666666666663</v>
      </c>
      <c r="C34" s="94">
        <v>0.22916666666666666</v>
      </c>
      <c r="D34" s="93"/>
    </row>
    <row r="35" spans="1:4" x14ac:dyDescent="0.3">
      <c r="A35" s="93" t="s">
        <v>81</v>
      </c>
      <c r="B35" s="94">
        <v>0.83333333333333337</v>
      </c>
      <c r="C35" s="94">
        <v>0.29166666666666669</v>
      </c>
      <c r="D35" s="93"/>
    </row>
    <row r="36" spans="1:4" x14ac:dyDescent="0.3">
      <c r="A36" s="93" t="s">
        <v>82</v>
      </c>
      <c r="B36" s="94">
        <v>0.25</v>
      </c>
      <c r="C36" s="94">
        <v>0.75</v>
      </c>
      <c r="D36" s="93"/>
    </row>
    <row r="37" spans="1:4" x14ac:dyDescent="0.3">
      <c r="A37" s="93" t="s">
        <v>83</v>
      </c>
      <c r="B37" s="94">
        <v>0.75</v>
      </c>
      <c r="C37" s="94">
        <v>0.25</v>
      </c>
      <c r="D37" s="93"/>
    </row>
    <row r="38" spans="1:4" x14ac:dyDescent="0.3">
      <c r="A38" s="93" t="s">
        <v>84</v>
      </c>
      <c r="B38" s="94">
        <v>0.25</v>
      </c>
      <c r="C38" s="94">
        <v>0.75</v>
      </c>
      <c r="D38" s="93"/>
    </row>
    <row r="39" spans="1:4" x14ac:dyDescent="0.3">
      <c r="A39" s="93" t="s">
        <v>85</v>
      </c>
      <c r="B39" s="94">
        <v>0.75</v>
      </c>
      <c r="C39" s="94">
        <v>0.25</v>
      </c>
      <c r="D39" s="93"/>
    </row>
    <row r="40" spans="1:4" x14ac:dyDescent="0.3">
      <c r="A40" s="93" t="s">
        <v>86</v>
      </c>
      <c r="B40" s="94">
        <v>0.85416666666666663</v>
      </c>
      <c r="C40" s="94">
        <v>0.3125</v>
      </c>
      <c r="D40" s="93"/>
    </row>
    <row r="41" spans="1:4" x14ac:dyDescent="0.3">
      <c r="A41" s="93" t="s">
        <v>113</v>
      </c>
      <c r="B41" s="94">
        <v>0.25</v>
      </c>
      <c r="C41" s="94">
        <v>0.75</v>
      </c>
      <c r="D41" s="93"/>
    </row>
    <row r="42" spans="1:4" x14ac:dyDescent="0.3">
      <c r="A42" s="93" t="s">
        <v>112</v>
      </c>
      <c r="B42" s="94">
        <v>0.27083333333333331</v>
      </c>
      <c r="C42" s="94">
        <v>0.77083333333333337</v>
      </c>
      <c r="D42" s="93"/>
    </row>
    <row r="43" spans="1:4" x14ac:dyDescent="0.3">
      <c r="A43" s="93" t="s">
        <v>87</v>
      </c>
      <c r="B43" s="94">
        <v>0.8125</v>
      </c>
      <c r="C43" s="94">
        <v>0.27083333333333331</v>
      </c>
      <c r="D43" s="93"/>
    </row>
    <row r="44" spans="1:4" x14ac:dyDescent="0.3">
      <c r="A44" s="93" t="s">
        <v>88</v>
      </c>
      <c r="B44" s="94">
        <v>0.29166666666666669</v>
      </c>
      <c r="C44" s="94">
        <v>0.79166666666666663</v>
      </c>
      <c r="D44" s="93"/>
    </row>
    <row r="45" spans="1:4" x14ac:dyDescent="0.3">
      <c r="A45" s="93" t="s">
        <v>89</v>
      </c>
      <c r="B45" s="94">
        <v>0.79166666666666663</v>
      </c>
      <c r="C45" s="94">
        <v>0.29166666666666669</v>
      </c>
      <c r="D45" s="93"/>
    </row>
    <row r="46" spans="1:4" x14ac:dyDescent="0.3">
      <c r="A46" s="93" t="s">
        <v>90</v>
      </c>
      <c r="B46" s="94">
        <v>0.72916666666666663</v>
      </c>
      <c r="C46" s="94">
        <v>0.1875</v>
      </c>
      <c r="D46" s="93"/>
    </row>
    <row r="47" spans="1:4" x14ac:dyDescent="0.3">
      <c r="A47" s="93" t="s">
        <v>91</v>
      </c>
      <c r="B47" s="94">
        <v>0.8125</v>
      </c>
      <c r="C47" s="94">
        <v>0.27083333333333331</v>
      </c>
      <c r="D47" s="93"/>
    </row>
    <row r="48" spans="1:4" x14ac:dyDescent="0.3">
      <c r="A48" s="93" t="s">
        <v>92</v>
      </c>
      <c r="B48" s="94">
        <v>0.72916666666666663</v>
      </c>
      <c r="C48" s="94">
        <v>0.1875</v>
      </c>
      <c r="D48" s="93"/>
    </row>
    <row r="49" spans="1:4" x14ac:dyDescent="0.3">
      <c r="A49" s="93" t="s">
        <v>93</v>
      </c>
      <c r="B49" s="94">
        <v>0.77083333333333337</v>
      </c>
      <c r="C49" s="94">
        <v>0.22916666666666666</v>
      </c>
      <c r="D49" s="93"/>
    </row>
    <row r="50" spans="1:4" x14ac:dyDescent="0.3">
      <c r="A50" s="93" t="s">
        <v>94</v>
      </c>
      <c r="B50" s="94">
        <v>0.75</v>
      </c>
      <c r="C50" s="94">
        <v>0.20833333333333334</v>
      </c>
      <c r="D50" s="93"/>
    </row>
    <row r="51" spans="1:4" x14ac:dyDescent="0.3">
      <c r="A51" s="93" t="s">
        <v>95</v>
      </c>
      <c r="B51" s="94">
        <v>0.80208333333333337</v>
      </c>
      <c r="C51" s="94">
        <v>0.26041666666666669</v>
      </c>
      <c r="D51" s="93"/>
    </row>
    <row r="52" spans="1:4" x14ac:dyDescent="0.3">
      <c r="A52" s="93" t="s">
        <v>96</v>
      </c>
      <c r="B52" s="94">
        <v>0.86458333333333337</v>
      </c>
      <c r="C52" s="94">
        <v>0.32291666666666669</v>
      </c>
      <c r="D52" s="93"/>
    </row>
    <row r="53" spans="1:4" x14ac:dyDescent="0.3">
      <c r="A53" s="93" t="s">
        <v>115</v>
      </c>
      <c r="B53" s="94">
        <v>0.25</v>
      </c>
      <c r="C53" s="94">
        <v>0.75</v>
      </c>
      <c r="D53" s="93"/>
    </row>
    <row r="54" spans="1:4" x14ac:dyDescent="0.3">
      <c r="A54" s="93" t="s">
        <v>114</v>
      </c>
      <c r="B54" s="94">
        <v>0.27083333333333331</v>
      </c>
      <c r="C54" s="94">
        <v>0.77083333333333337</v>
      </c>
      <c r="D54" s="93"/>
    </row>
    <row r="55" spans="1:4" x14ac:dyDescent="0.3">
      <c r="A55" s="93" t="s">
        <v>97</v>
      </c>
      <c r="B55" s="94">
        <v>0.75</v>
      </c>
      <c r="C55" s="94">
        <v>0.20833333333333334</v>
      </c>
      <c r="D55" s="93"/>
    </row>
    <row r="56" spans="1:4" x14ac:dyDescent="0.3">
      <c r="A56" s="93" t="s">
        <v>119</v>
      </c>
      <c r="B56" s="94">
        <v>0.71875</v>
      </c>
      <c r="C56" s="94">
        <v>9.375E-2</v>
      </c>
      <c r="D56" s="93"/>
    </row>
    <row r="57" spans="1:4" x14ac:dyDescent="0.3">
      <c r="A57" s="93" t="s">
        <v>116</v>
      </c>
      <c r="B57" s="94">
        <v>0.80208333333333337</v>
      </c>
      <c r="C57" s="94">
        <v>0.26041666666666669</v>
      </c>
      <c r="D57" s="93"/>
    </row>
    <row r="58" spans="1:4" x14ac:dyDescent="0.3">
      <c r="A58" s="93" t="s">
        <v>98</v>
      </c>
      <c r="B58" s="94">
        <v>0.67708333333333337</v>
      </c>
      <c r="C58" s="94">
        <v>5.2083333333333336E-2</v>
      </c>
      <c r="D58" s="93"/>
    </row>
    <row r="59" spans="1:4" x14ac:dyDescent="0.3">
      <c r="A59" s="93" t="s">
        <v>99</v>
      </c>
      <c r="B59" s="94">
        <v>0.83333333333333337</v>
      </c>
      <c r="C59" s="94">
        <v>0.29166666666666669</v>
      </c>
      <c r="D59" s="93"/>
    </row>
    <row r="60" spans="1:4" x14ac:dyDescent="0.3">
      <c r="A60" s="93" t="s">
        <v>100</v>
      </c>
      <c r="B60" s="94">
        <v>0.72916666666666663</v>
      </c>
      <c r="C60" s="94">
        <v>0.1875</v>
      </c>
      <c r="D60" s="93"/>
    </row>
    <row r="61" spans="1:4" x14ac:dyDescent="0.3">
      <c r="A61" s="93" t="s">
        <v>117</v>
      </c>
      <c r="B61" s="94">
        <v>0.70833333333333337</v>
      </c>
      <c r="C61" s="94">
        <v>0.16666666666666666</v>
      </c>
      <c r="D61" s="93"/>
    </row>
    <row r="62" spans="1:4" x14ac:dyDescent="0.3">
      <c r="A62" s="93" t="s">
        <v>118</v>
      </c>
      <c r="B62" s="94">
        <v>0.6875</v>
      </c>
      <c r="C62" s="94">
        <v>0.14583333333333334</v>
      </c>
      <c r="D62" s="93"/>
    </row>
    <row r="63" spans="1:4" x14ac:dyDescent="0.3">
      <c r="A63" s="93" t="s">
        <v>101</v>
      </c>
      <c r="B63" s="94">
        <v>0.75</v>
      </c>
      <c r="C63" s="94">
        <v>8.3333333333333329E-2</v>
      </c>
      <c r="D63" s="93"/>
    </row>
    <row r="64" spans="1:4" x14ac:dyDescent="0.3">
      <c r="A64" s="93" t="s">
        <v>102</v>
      </c>
      <c r="B64" s="94">
        <v>0.73958333333333337</v>
      </c>
      <c r="C64" s="94">
        <v>0.10416666666666667</v>
      </c>
      <c r="D64" s="93"/>
    </row>
    <row r="65" spans="1:4" x14ac:dyDescent="0.3">
      <c r="A65" s="93" t="s">
        <v>103</v>
      </c>
      <c r="B65" s="94">
        <v>0.70833333333333337</v>
      </c>
      <c r="C65" s="94">
        <v>0.16666666666666666</v>
      </c>
      <c r="D65" s="93"/>
    </row>
    <row r="66" spans="1:4" x14ac:dyDescent="0.3">
      <c r="A66" s="95" t="s">
        <v>104</v>
      </c>
      <c r="B66" s="96">
        <v>0.82291666666666663</v>
      </c>
      <c r="C66" s="96">
        <v>0.28125</v>
      </c>
      <c r="D66" s="95"/>
    </row>
    <row r="67" spans="1:4" x14ac:dyDescent="0.3">
      <c r="A67" s="95" t="s">
        <v>105</v>
      </c>
      <c r="B67" s="96">
        <v>0.70833333333333337</v>
      </c>
      <c r="C67" s="96">
        <v>4.1666666666666664E-2</v>
      </c>
      <c r="D67" s="95"/>
    </row>
    <row r="68" spans="1:4" x14ac:dyDescent="0.3">
      <c r="A68" s="95" t="s">
        <v>69</v>
      </c>
      <c r="B68" s="96">
        <v>0.33333333333333331</v>
      </c>
      <c r="C68" s="96">
        <v>0.75</v>
      </c>
      <c r="D68" s="95"/>
    </row>
    <row r="69" spans="1:4" x14ac:dyDescent="0.3">
      <c r="A69" s="108" t="s">
        <v>68</v>
      </c>
      <c r="B69" s="109">
        <v>0.41666666666666669</v>
      </c>
      <c r="C69" s="109">
        <v>0.74930555555555556</v>
      </c>
      <c r="D69" s="108" t="s">
        <v>130</v>
      </c>
    </row>
    <row r="70" spans="1:4" x14ac:dyDescent="0.3">
      <c r="A70" s="108" t="s">
        <v>120</v>
      </c>
      <c r="B70" s="109">
        <v>0.375</v>
      </c>
      <c r="C70" s="109">
        <v>0.61527777777777781</v>
      </c>
      <c r="D70" s="108" t="s">
        <v>130</v>
      </c>
    </row>
    <row r="71" spans="1:4" x14ac:dyDescent="0.3">
      <c r="A71" s="108" t="s">
        <v>128</v>
      </c>
      <c r="B71" s="109">
        <v>0.375</v>
      </c>
      <c r="C71" s="109">
        <v>0.66319444444444442</v>
      </c>
      <c r="D71" s="108" t="s">
        <v>130</v>
      </c>
    </row>
    <row r="72" spans="1:4" x14ac:dyDescent="0.3">
      <c r="A72" s="108" t="s">
        <v>129</v>
      </c>
      <c r="B72" s="109">
        <v>0.375</v>
      </c>
      <c r="C72" s="109">
        <v>0.70763888888888893</v>
      </c>
      <c r="D72" s="108" t="s">
        <v>130</v>
      </c>
    </row>
    <row r="73" spans="1:4" x14ac:dyDescent="0.3">
      <c r="A73" s="112" t="s">
        <v>121</v>
      </c>
      <c r="B73" s="111"/>
      <c r="C73" s="111"/>
      <c r="D73" s="112"/>
    </row>
    <row r="74" spans="1:4" x14ac:dyDescent="0.3">
      <c r="A74" s="110" t="s">
        <v>122</v>
      </c>
      <c r="B74" s="111"/>
      <c r="C74" s="111"/>
      <c r="D74" s="110"/>
    </row>
    <row r="75" spans="1:4" x14ac:dyDescent="0.3">
      <c r="A75" s="110" t="s">
        <v>123</v>
      </c>
      <c r="B75" s="111"/>
      <c r="C75" s="111"/>
      <c r="D75" s="110"/>
    </row>
    <row r="76" spans="1:4" x14ac:dyDescent="0.3">
      <c r="A76" s="110" t="s">
        <v>124</v>
      </c>
      <c r="B76" s="111">
        <v>0.33333333333333331</v>
      </c>
      <c r="C76" s="111">
        <v>0.375</v>
      </c>
      <c r="D76" s="110"/>
    </row>
    <row r="77" spans="1:4" x14ac:dyDescent="0.3">
      <c r="A77" s="110" t="s">
        <v>125</v>
      </c>
      <c r="B77" s="111"/>
      <c r="C77" s="111"/>
      <c r="D77" s="110"/>
    </row>
    <row r="78" spans="1:4" x14ac:dyDescent="0.3">
      <c r="A78" s="110"/>
      <c r="B78" s="111"/>
      <c r="C78" s="111"/>
      <c r="D78" s="110"/>
    </row>
  </sheetData>
  <sheetProtection selectLockedCells="1"/>
  <pageMargins left="0.7" right="0.7" top="0.75" bottom="0.75" header="0.3" footer="0.3"/>
  <drawing r:id="rId1"/>
  <tableParts count="1">
    <tablePart r:id="rId2"/>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C60"/>
  <sheetViews>
    <sheetView tabSelected="1" topLeftCell="A22" zoomScaleNormal="100" zoomScalePageLayoutView="55" workbookViewId="0">
      <selection activeCell="AA19" sqref="AA19"/>
    </sheetView>
  </sheetViews>
  <sheetFormatPr baseColWidth="10" defaultRowHeight="14.4" x14ac:dyDescent="0.3"/>
  <cols>
    <col min="1" max="1" width="17.77734375" customWidth="1"/>
    <col min="2" max="2" width="13.777343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1.21875" style="11" bestFit="1" customWidth="1"/>
    <col min="11" max="11" width="11.21875" style="11" hidden="1" customWidth="1"/>
    <col min="12" max="12" width="14.44140625" hidden="1" customWidth="1"/>
    <col min="13" max="13" width="12.109375" hidden="1" customWidth="1"/>
    <col min="14" max="14" width="20.6640625" hidden="1" customWidth="1"/>
    <col min="15" max="15" width="17.6640625" hidden="1" customWidth="1"/>
    <col min="16" max="16" width="21.88671875" hidden="1" customWidth="1"/>
    <col min="17" max="17" width="15" hidden="1" customWidth="1"/>
    <col min="18" max="18" width="21.77734375" hidden="1" customWidth="1"/>
    <col min="19" max="19" width="15" hidden="1" customWidth="1"/>
    <col min="20" max="20" width="20.109375" hidden="1" customWidth="1"/>
    <col min="21" max="21" width="11.5546875" hidden="1" customWidth="1"/>
    <col min="22" max="22" width="22.21875" customWidth="1"/>
    <col min="23" max="63" width="15.77734375" customWidth="1"/>
  </cols>
  <sheetData>
    <row r="1" spans="1:29" ht="15.6" customHeight="1" x14ac:dyDescent="0.3">
      <c r="A1" s="132"/>
      <c r="B1" s="132"/>
      <c r="C1" s="12"/>
      <c r="D1" s="12"/>
      <c r="E1" s="13"/>
      <c r="F1" s="13"/>
      <c r="G1" s="13"/>
      <c r="H1" s="138" t="s">
        <v>106</v>
      </c>
      <c r="I1" s="138"/>
      <c r="J1" s="138"/>
      <c r="K1" s="103"/>
      <c r="L1" s="12"/>
      <c r="M1" s="12"/>
      <c r="N1" s="12"/>
      <c r="O1" s="12"/>
      <c r="P1" s="15"/>
      <c r="Q1" s="15"/>
      <c r="R1" s="15"/>
      <c r="S1" s="15"/>
      <c r="T1" s="15"/>
    </row>
    <row r="2" spans="1:29" ht="14.4" customHeight="1" x14ac:dyDescent="0.3">
      <c r="A2" s="132"/>
      <c r="B2" s="132"/>
      <c r="C2" s="12"/>
      <c r="D2" s="12"/>
      <c r="E2" s="12"/>
      <c r="F2" s="12"/>
      <c r="G2" s="12"/>
      <c r="H2" s="12"/>
      <c r="I2" s="12"/>
      <c r="J2" s="16"/>
      <c r="K2" s="16"/>
      <c r="L2" s="12"/>
      <c r="M2" s="12"/>
      <c r="N2" s="12"/>
      <c r="O2" s="12"/>
      <c r="P2" s="15"/>
      <c r="Q2" s="15"/>
      <c r="R2" s="15"/>
      <c r="S2" s="15"/>
      <c r="T2" s="15"/>
    </row>
    <row r="3" spans="1:29" ht="14.4" customHeight="1" x14ac:dyDescent="0.3">
      <c r="A3" s="133" t="s">
        <v>37</v>
      </c>
      <c r="B3" s="133"/>
      <c r="C3" s="133"/>
      <c r="D3" s="133"/>
      <c r="E3" s="133"/>
      <c r="F3" s="133"/>
      <c r="G3" s="133"/>
      <c r="H3" s="133"/>
      <c r="I3" s="133"/>
      <c r="J3" s="133"/>
      <c r="K3" s="102"/>
      <c r="L3" s="12"/>
      <c r="M3" s="12"/>
      <c r="N3" s="12"/>
      <c r="O3" s="12"/>
      <c r="P3" s="15"/>
      <c r="Q3" s="15"/>
      <c r="R3" s="15"/>
      <c r="S3" s="15"/>
      <c r="T3" s="15"/>
      <c r="V3" s="124"/>
      <c r="W3" s="124"/>
      <c r="X3" s="124"/>
      <c r="Y3" s="124"/>
      <c r="Z3" s="124"/>
      <c r="AA3" s="124"/>
      <c r="AB3" s="124"/>
      <c r="AC3" s="124"/>
    </row>
    <row r="4" spans="1:29" ht="19.2" customHeight="1" thickBot="1" x14ac:dyDescent="0.35">
      <c r="A4" s="134"/>
      <c r="B4" s="134"/>
      <c r="C4" s="134"/>
      <c r="D4" s="134"/>
      <c r="E4" s="134"/>
      <c r="F4" s="134"/>
      <c r="G4" s="134"/>
      <c r="H4" s="134"/>
      <c r="I4" s="134"/>
      <c r="J4" s="134"/>
      <c r="K4" s="114"/>
      <c r="L4" s="15"/>
      <c r="M4" s="15"/>
      <c r="N4" s="15"/>
      <c r="O4" s="15"/>
      <c r="P4" s="15"/>
      <c r="Q4" s="15"/>
      <c r="R4" s="15"/>
      <c r="S4" s="15"/>
      <c r="T4" s="15"/>
      <c r="V4" s="124"/>
      <c r="W4" s="124"/>
      <c r="X4" s="124"/>
      <c r="Y4" s="124"/>
      <c r="Z4" s="124"/>
      <c r="AA4" s="124"/>
      <c r="AB4" s="124"/>
      <c r="AC4" s="124"/>
    </row>
    <row r="5" spans="1:29" ht="19.8" customHeight="1" x14ac:dyDescent="0.3">
      <c r="A5" s="80" t="s">
        <v>47</v>
      </c>
      <c r="B5" s="97"/>
      <c r="C5" s="17" t="s">
        <v>36</v>
      </c>
      <c r="D5" s="135"/>
      <c r="E5" s="136"/>
      <c r="F5" s="136"/>
      <c r="G5" s="137" t="s">
        <v>22</v>
      </c>
      <c r="H5" s="137"/>
      <c r="I5" s="107" t="str">
        <f ca="1">MID(CELL("filename",A1),FIND("]",CELL("filename",A1))+1,99)</f>
        <v>Janvier 18</v>
      </c>
      <c r="J5" s="82"/>
      <c r="K5" s="115"/>
      <c r="L5" s="15"/>
      <c r="M5" s="15"/>
      <c r="N5" s="15"/>
      <c r="O5" s="15"/>
      <c r="P5" s="15"/>
      <c r="Q5" s="15"/>
      <c r="R5" s="15"/>
      <c r="S5" s="15"/>
      <c r="T5" s="15"/>
      <c r="V5" s="124"/>
      <c r="W5" s="124"/>
      <c r="X5" s="124"/>
      <c r="Y5" s="124"/>
      <c r="Z5" s="124"/>
      <c r="AA5" s="124"/>
      <c r="AB5" s="124"/>
      <c r="AC5" s="124"/>
    </row>
    <row r="6" spans="1:29" ht="9.6" customHeight="1" x14ac:dyDescent="0.3">
      <c r="A6" s="18"/>
      <c r="B6" s="19"/>
      <c r="C6" s="19"/>
      <c r="D6" s="19"/>
      <c r="E6" s="19"/>
      <c r="F6" s="19"/>
      <c r="G6" s="19"/>
      <c r="H6" s="19"/>
      <c r="I6" s="19"/>
      <c r="J6" s="20"/>
      <c r="K6" s="116"/>
      <c r="L6" s="15"/>
      <c r="M6" s="15"/>
      <c r="N6" s="15"/>
      <c r="O6" s="15"/>
      <c r="P6" s="15"/>
      <c r="Q6" s="15"/>
      <c r="R6" s="15"/>
      <c r="S6" s="15"/>
      <c r="T6" s="15"/>
      <c r="V6" s="124"/>
      <c r="W6" s="124"/>
      <c r="X6" s="124"/>
      <c r="Y6" s="124"/>
      <c r="Z6" s="124"/>
      <c r="AA6" s="124"/>
      <c r="AB6" s="124"/>
      <c r="AC6" s="124"/>
    </row>
    <row r="7" spans="1:29" ht="15" thickBot="1" x14ac:dyDescent="0.35">
      <c r="A7" s="55" t="s">
        <v>23</v>
      </c>
      <c r="B7" s="98"/>
      <c r="C7" s="21" t="s">
        <v>24</v>
      </c>
      <c r="D7" s="21"/>
      <c r="E7" s="98"/>
      <c r="F7" s="21"/>
      <c r="G7" s="21"/>
      <c r="H7" s="21"/>
      <c r="I7" s="21"/>
      <c r="J7" s="22"/>
      <c r="K7" s="117"/>
      <c r="L7" s="15"/>
      <c r="M7" s="15"/>
      <c r="N7" s="15"/>
      <c r="O7" s="15"/>
      <c r="P7" s="15"/>
      <c r="Q7" s="15"/>
      <c r="R7" s="15"/>
      <c r="S7" s="15"/>
      <c r="T7" s="15"/>
      <c r="V7" s="124"/>
      <c r="W7" s="124"/>
      <c r="X7" s="124"/>
      <c r="Y7" s="124"/>
      <c r="Z7" s="124"/>
      <c r="AA7" s="124"/>
      <c r="AB7" s="124"/>
      <c r="AC7" s="124"/>
    </row>
    <row r="8" spans="1:29" ht="9.6" customHeight="1" x14ac:dyDescent="0.3">
      <c r="A8" s="15"/>
      <c r="B8" s="15"/>
      <c r="C8" s="15"/>
      <c r="D8" s="15"/>
      <c r="E8" s="15"/>
      <c r="F8" s="15"/>
      <c r="G8" s="15"/>
      <c r="H8" s="15"/>
      <c r="I8" s="15"/>
      <c r="J8" s="16"/>
      <c r="K8" s="16"/>
      <c r="L8" s="15"/>
      <c r="M8" s="15"/>
      <c r="N8" s="15"/>
      <c r="O8" s="15"/>
      <c r="P8" s="15"/>
      <c r="Q8" s="15"/>
      <c r="R8" s="15"/>
      <c r="S8" s="15"/>
      <c r="T8" s="15"/>
      <c r="V8" s="124"/>
      <c r="W8" s="124"/>
      <c r="X8" s="124"/>
      <c r="Y8" s="124"/>
      <c r="Z8" s="124"/>
      <c r="AA8" s="124"/>
      <c r="AB8" s="124"/>
      <c r="AC8" s="124"/>
    </row>
    <row r="9" spans="1:29"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c r="AB9" s="124"/>
      <c r="AC9" s="124"/>
    </row>
    <row r="10" spans="1:29"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167</v>
      </c>
      <c r="X10" s="124"/>
      <c r="Y10" s="124"/>
      <c r="Z10" s="124"/>
      <c r="AB10" s="124"/>
      <c r="AC10" s="124"/>
    </row>
    <row r="11" spans="1:29"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9" s="6" customFormat="1" ht="43.2" hidden="1" x14ac:dyDescent="0.3">
      <c r="A12" s="24" t="s">
        <v>0</v>
      </c>
      <c r="B12" s="25" t="s">
        <v>1</v>
      </c>
      <c r="C12" s="25" t="s">
        <v>3</v>
      </c>
      <c r="D12" s="25" t="s">
        <v>4</v>
      </c>
      <c r="E12" s="25" t="s">
        <v>8</v>
      </c>
      <c r="F12" s="25" t="s">
        <v>9</v>
      </c>
      <c r="G12" s="25" t="s">
        <v>10</v>
      </c>
      <c r="H12" s="25" t="s">
        <v>11</v>
      </c>
      <c r="I12" s="25"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9" x14ac:dyDescent="0.3">
      <c r="A13" s="4">
        <v>43132</v>
      </c>
      <c r="B13" s="1" t="s">
        <v>76</v>
      </c>
      <c r="C13" s="113">
        <v>0.75</v>
      </c>
      <c r="D13" s="113">
        <v>0.25</v>
      </c>
      <c r="E13" s="3">
        <v>4.1666666666666664E-2</v>
      </c>
      <c r="F13" s="3">
        <v>8.3333333333333329E-2</v>
      </c>
      <c r="G13" s="3">
        <v>8.3333333333333329E-2</v>
      </c>
      <c r="H13" s="3">
        <v>0.125</v>
      </c>
      <c r="I13" s="47">
        <f>0.1*(H_Janv[[#This Row],[Heures de nuit]]+IF(H_Janv[[#This Row],[majoration dim &amp; JF]]="non",0,H_Janv[[#This Row],[heures jour dimanche]]+H_Janv[[#This Row],[heures jour fériés]]))</f>
        <v>0.7</v>
      </c>
      <c r="J13" s="48">
        <f>(MOD(H_Janv[[#This Row],[Fin]]-H_Janv[[#This Row],[début]],1)-MOD(H_Janv[[#This Row],[PNP Fin]]-H_Janv[[#This Row],[PNP Début]],1))*24</f>
        <v>11</v>
      </c>
      <c r="K13" s="48">
        <f>IFERROR(VLOOKUP(H_Janv[[#This Row],[Service]],Codes[],4,0),"")</f>
        <v>0</v>
      </c>
      <c r="L13" s="30">
        <f>IF(H_Janv[[#This Row],[PNP Début]]=0,0,IF(H_Janv[[#This Row],[PNP Début]]&lt;H_Janv[[#This Row],[début]],1,0)+H_Janv[[#This Row],[PNP Début]])</f>
        <v>1.0833333333333333</v>
      </c>
      <c r="M13" s="30">
        <f>IF(H_Janv[[#This Row],[PNP Fin]]=0,0,IF(H_Janv[[#This Row],[PNP Fin]]&lt;H_Janv[[#This Row],[début]],1,0)+H_Janv[[#This Row],[PNP Fin]])</f>
        <v>1.125</v>
      </c>
      <c r="N13" s="30">
        <f>IF(H_Janv[[#This Row],[Fin]]&lt;H_Janv[[#This Row],[début]],1,0)+H_Janv[[#This Row],[Fin]]</f>
        <v>1.25</v>
      </c>
      <c r="O13"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13" s="31">
        <f>(MAX(0,MIN(H_Janv[[#This Row],[Fin corrigée si nuit]],fin_nuit)-MAX(H_Janv[[#This Row],[début]],deb_nuit))-IF(H_Janv[[#This Row],[PNP Début]]=0,0,MIN(H_Janv[[#This Row],[PNP Fin corrigée]],fin_nuit)-MAX(H_Janv[[#This Row],[PNP Début corrigé]],deb_nuit)))*24</f>
        <v>5.9999999999999973</v>
      </c>
      <c r="Q13" s="31">
        <f>(IF(WEEKDAY(H_Janv[[#This Row],[Date]],2)=7,MAX(0,MIN(fin_dimJF,H_Janv[[#This Row],[Fin corrigée si nuit]])-MAX(deb_dimJF,H_Janv[[#This Row],[début]])),0)+IF(WEEKDAY(H_Janv[[#This Row],[Date]],2)=6,MAX(0,H_Janv[[#This Row],[Fin corrigée si nuit]]-(1+deb_dimJF)),0))*24</f>
        <v>0</v>
      </c>
      <c r="R13" s="3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13" s="32">
        <f>(IF(COUNTIF(JF,H_Janv[[#This Row],[Date]]),MAX(0,MIN(fin_dimJF,H_Janv[[#This Row],[Fin corrigée si nuit]])-MAX(deb_dimJF,H_Janv[[#This Row],[début]])),0)+IF(COUNTIF(JF,H_Janv[[#This Row],[Date]]+1),MAX(0,H_Janv[[#This Row],[Fin corrigée si nuit]]-(1+deb_dimJF)),0))*24</f>
        <v>0</v>
      </c>
      <c r="T13" s="32">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c r="V13" s="124"/>
      <c r="W13" s="124"/>
      <c r="X13" s="124"/>
      <c r="Y13" s="124"/>
      <c r="Z13" s="124"/>
    </row>
    <row r="14" spans="1:29" x14ac:dyDescent="0.3">
      <c r="A14" s="4">
        <v>43133</v>
      </c>
      <c r="B14" s="1" t="s">
        <v>76</v>
      </c>
      <c r="C14" s="113">
        <v>0.75</v>
      </c>
      <c r="D14" s="113">
        <v>0.25</v>
      </c>
      <c r="E14" s="3">
        <v>4.1666666666666664E-2</v>
      </c>
      <c r="F14" s="3">
        <v>8.3333333333333329E-2</v>
      </c>
      <c r="G14" s="3">
        <v>8.3333333333333329E-2</v>
      </c>
      <c r="H14" s="3">
        <v>0.125</v>
      </c>
      <c r="I14" s="47">
        <f>0.1*(H_Janv[[#This Row],[Heures de nuit]]+IF(H_Janv[[#This Row],[majoration dim &amp; JF]]="non",0,H_Janv[[#This Row],[heures jour dimanche]]+H_Janv[[#This Row],[heures jour fériés]]))</f>
        <v>0.7</v>
      </c>
      <c r="J14" s="48">
        <f>(MOD(H_Janv[[#This Row],[Fin]]-H_Janv[[#This Row],[début]],1)-MOD(H_Janv[[#This Row],[PNP Fin]]-H_Janv[[#This Row],[PNP Début]],1))*24</f>
        <v>11</v>
      </c>
      <c r="K14" s="48">
        <f>IFERROR(VLOOKUP(H_Janv[[#This Row],[Service]],Codes[],4,0),"")</f>
        <v>0</v>
      </c>
      <c r="L14" s="30">
        <f>IF(H_Janv[[#This Row],[PNP Début]]=0,0,IF(H_Janv[[#This Row],[PNP Début]]&lt;H_Janv[[#This Row],[début]],1,0)+H_Janv[[#This Row],[PNP Début]])</f>
        <v>1.0833333333333333</v>
      </c>
      <c r="M14" s="30">
        <f>IF(H_Janv[[#This Row],[PNP Fin]]=0,0,IF(H_Janv[[#This Row],[PNP Fin]]&lt;H_Janv[[#This Row],[début]],1,0)+H_Janv[[#This Row],[PNP Fin]])</f>
        <v>1.125</v>
      </c>
      <c r="N14" s="30">
        <f>IF(H_Janv[[#This Row],[Fin]]&lt;H_Janv[[#This Row],[début]],1,0)+H_Janv[[#This Row],[Fin]]</f>
        <v>1.25</v>
      </c>
      <c r="O14"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14" s="31">
        <f>(MAX(0,MIN(H_Janv[[#This Row],[Fin corrigée si nuit]],fin_nuit)-MAX(H_Janv[[#This Row],[début]],deb_nuit))-IF(H_Janv[[#This Row],[PNP Début]]=0,0,MIN(H_Janv[[#This Row],[PNP Fin corrigée]],fin_nuit)-MAX(H_Janv[[#This Row],[PNP Début corrigé]],deb_nuit)))*24</f>
        <v>5.9999999999999973</v>
      </c>
      <c r="Q14" s="31">
        <f>(IF(WEEKDAY(H_Janv[[#This Row],[Date]],2)=7,MAX(0,MIN(fin_dimJF,H_Janv[[#This Row],[Fin corrigée si nuit]])-MAX(deb_dimJF,H_Janv[[#This Row],[début]])),0)+IF(WEEKDAY(H_Janv[[#This Row],[Date]],2)=6,MAX(0,H_Janv[[#This Row],[Fin corrigée si nuit]]-(1+deb_dimJF)),0))*24</f>
        <v>0</v>
      </c>
      <c r="R14" s="3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14" s="32">
        <f>(IF(COUNTIF(JF,H_Janv[[#This Row],[Date]]),MAX(0,MIN(fin_dimJF,H_Janv[[#This Row],[Fin corrigée si nuit]])-MAX(deb_dimJF,H_Janv[[#This Row],[début]])),0)+IF(COUNTIF(JF,H_Janv[[#This Row],[Date]]+1),MAX(0,H_Janv[[#This Row],[Fin corrigée si nuit]]-(1+deb_dimJF)),0))*24</f>
        <v>0</v>
      </c>
      <c r="T14" s="32">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c r="V14" s="124"/>
      <c r="W14" s="124"/>
      <c r="X14" s="124"/>
      <c r="Y14" s="124"/>
      <c r="Z14" s="124"/>
    </row>
    <row r="15" spans="1:29" x14ac:dyDescent="0.3">
      <c r="A15" s="4">
        <v>43134</v>
      </c>
      <c r="B15" s="1" t="s">
        <v>76</v>
      </c>
      <c r="C15" s="2">
        <v>0.75</v>
      </c>
      <c r="D15" s="2">
        <v>0.25</v>
      </c>
      <c r="E15" s="3">
        <v>4.1666666666666664E-2</v>
      </c>
      <c r="F15" s="3">
        <v>8.3333333333333329E-2</v>
      </c>
      <c r="G15" s="3">
        <v>8.3333333333333329E-2</v>
      </c>
      <c r="H15" s="3">
        <v>0.125</v>
      </c>
      <c r="I15" s="47">
        <f>0.1*(H_Janv[[#This Row],[Heures de nuit]]+IF(H_Janv[[#This Row],[majoration dim &amp; JF]]="non",0,H_Janv[[#This Row],[heures jour dimanche]]+H_Janv[[#This Row],[heures jour fériés]]))</f>
        <v>0.7</v>
      </c>
      <c r="J15" s="48">
        <f>(MOD(H_Janv[[#This Row],[Fin]]-H_Janv[[#This Row],[début]],1)-MOD(H_Janv[[#This Row],[PNP Fin]]-H_Janv[[#This Row],[PNP Début]],1))*24</f>
        <v>11</v>
      </c>
      <c r="K15" s="48">
        <f>IFERROR(VLOOKUP(H_Janv[[#This Row],[Service]],Codes[],4,0),"")</f>
        <v>0</v>
      </c>
      <c r="L15" s="30">
        <f>IF(H_Janv[[#This Row],[PNP Début]]=0,0,IF(H_Janv[[#This Row],[PNP Début]]&lt;H_Janv[[#This Row],[début]],1,0)+H_Janv[[#This Row],[PNP Début]])</f>
        <v>1.0833333333333333</v>
      </c>
      <c r="M15" s="30">
        <f>IF(H_Janv[[#This Row],[PNP Fin]]=0,0,IF(H_Janv[[#This Row],[PNP Fin]]&lt;H_Janv[[#This Row],[début]],1,0)+H_Janv[[#This Row],[PNP Fin]])</f>
        <v>1.125</v>
      </c>
      <c r="N15" s="30">
        <f>IF(H_Janv[[#This Row],[Fin]]&lt;H_Janv[[#This Row],[début]],1,0)+H_Janv[[#This Row],[Fin]]</f>
        <v>1.25</v>
      </c>
      <c r="O15"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15" s="31">
        <f>(MAX(0,MIN(H_Janv[[#This Row],[Fin corrigée si nuit]],fin_nuit)-MAX(H_Janv[[#This Row],[début]],deb_nuit))-IF(H_Janv[[#This Row],[PNP Début]]=0,0,MIN(H_Janv[[#This Row],[PNP Fin corrigée]],fin_nuit)-MAX(H_Janv[[#This Row],[PNP Début corrigé]],deb_nuit)))*24</f>
        <v>5.9999999999999973</v>
      </c>
      <c r="Q15" s="31">
        <f>(IF(WEEKDAY(H_Janv[[#This Row],[Date]],2)=7,MAX(0,MIN(fin_dimJF,H_Janv[[#This Row],[Fin corrigée si nuit]])-MAX(deb_dimJF,H_Janv[[#This Row],[début]])),0)+IF(WEEKDAY(H_Janv[[#This Row],[Date]],2)=6,MAX(0,H_Janv[[#This Row],[Fin corrigée si nuit]]-(1+deb_dimJF)),0))*24</f>
        <v>0</v>
      </c>
      <c r="R15" s="3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15" s="32">
        <f>(IF(COUNTIF(JF,H_Janv[[#This Row],[Date]]),MAX(0,MIN(fin_dimJF,H_Janv[[#This Row],[Fin corrigée si nuit]])-MAX(deb_dimJF,H_Janv[[#This Row],[début]])),0)+IF(COUNTIF(JF,H_Janv[[#This Row],[Date]]+1),MAX(0,H_Janv[[#This Row],[Fin corrigée si nuit]]-(1+deb_dimJF)),0))*24</f>
        <v>0</v>
      </c>
      <c r="T15" s="32">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c r="V15" s="127" t="s">
        <v>134</v>
      </c>
      <c r="W15" s="127" t="s">
        <v>136</v>
      </c>
      <c r="X15" s="127" t="s">
        <v>139</v>
      </c>
      <c r="Y15" s="127" t="s">
        <v>138</v>
      </c>
      <c r="Z15" s="127" t="s">
        <v>137</v>
      </c>
    </row>
    <row r="16" spans="1:29" x14ac:dyDescent="0.3">
      <c r="A16" s="4">
        <v>43135</v>
      </c>
      <c r="B16" s="1" t="s">
        <v>76</v>
      </c>
      <c r="C16" s="2">
        <v>0.75</v>
      </c>
      <c r="D16" s="2">
        <v>0.25</v>
      </c>
      <c r="E16" s="3">
        <v>4.1666666666666664E-2</v>
      </c>
      <c r="F16" s="3">
        <v>8.3333333333333329E-2</v>
      </c>
      <c r="G16" s="3">
        <v>8.3333333333333329E-2</v>
      </c>
      <c r="H16" s="3">
        <v>0.125</v>
      </c>
      <c r="I16" s="47">
        <f>0.1*(H_Janv[[#This Row],[Heures de nuit]]+IF(H_Janv[[#This Row],[majoration dim &amp; JF]]="non",0,H_Janv[[#This Row],[heures jour dimanche]]+H_Janv[[#This Row],[heures jour fériés]]))</f>
        <v>1.2000000000000002</v>
      </c>
      <c r="J16" s="48">
        <f>(MOD(H_Janv[[#This Row],[Fin]]-H_Janv[[#This Row],[début]],1)-MOD(H_Janv[[#This Row],[PNP Fin]]-H_Janv[[#This Row],[PNP Début]],1))*24</f>
        <v>11</v>
      </c>
      <c r="K16" s="48">
        <f>IFERROR(VLOOKUP(H_Janv[[#This Row],[Service]],Codes[],4,0),"")</f>
        <v>0</v>
      </c>
      <c r="L16" s="30">
        <f>IF(H_Janv[[#This Row],[PNP Début]]=0,0,IF(H_Janv[[#This Row],[PNP Début]]&lt;H_Janv[[#This Row],[début]],1,0)+H_Janv[[#This Row],[PNP Début]])</f>
        <v>1.0833333333333333</v>
      </c>
      <c r="M16" s="30">
        <f>IF(H_Janv[[#This Row],[PNP Fin]]=0,0,IF(H_Janv[[#This Row],[PNP Fin]]&lt;H_Janv[[#This Row],[début]],1,0)+H_Janv[[#This Row],[PNP Fin]])</f>
        <v>1.125</v>
      </c>
      <c r="N16" s="34">
        <f>IF(H_Janv[[#This Row],[Fin]]&lt;H_Janv[[#This Row],[début]],1,0)+H_Janv[[#This Row],[Fin]]</f>
        <v>1.25</v>
      </c>
      <c r="O16"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16" s="35">
        <f>(MAX(0,MIN(H_Janv[[#This Row],[Fin corrigée si nuit]],fin_nuit)-MAX(H_Janv[[#This Row],[début]],deb_nuit))-IF(H_Janv[[#This Row],[PNP Début]]=0,0,MIN(H_Janv[[#This Row],[PNP Fin corrigée]],fin_nuit)-MAX(H_Janv[[#This Row],[PNP Début corrigé]],deb_nuit)))*24</f>
        <v>5.9999999999999973</v>
      </c>
      <c r="Q16" s="35">
        <f>(IF(WEEKDAY(H_Janv[[#This Row],[Date]],2)=7,MAX(0,MIN(fin_dimJF,H_Janv[[#This Row],[Fin corrigée si nuit]])-MAX(deb_dimJF,H_Janv[[#This Row],[début]])),0)+IF(WEEKDAY(H_Janv[[#This Row],[Date]],2)=6,MAX(0,H_Janv[[#This Row],[Fin corrigée si nuit]]-(1+deb_dimJF)),0))*24</f>
        <v>5.0000000000000009</v>
      </c>
      <c r="R16" s="3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5.0000000000000009</v>
      </c>
      <c r="S16" s="36">
        <f>(IF(COUNTIF(JF,H_Janv[[#This Row],[Date]]),MAX(0,MIN(fin_dimJF,H_Janv[[#This Row],[Fin corrigée si nuit]])-MAX(deb_dimJF,H_Janv[[#This Row],[début]])),0)+IF(COUNTIF(JF,H_Janv[[#This Row],[Date]]+1),MAX(0,H_Janv[[#This Row],[Fin corrigée si nuit]]-(1+deb_dimJF)),0))*24</f>
        <v>0</v>
      </c>
      <c r="T16" s="36">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c r="V16" s="127" t="s">
        <v>135</v>
      </c>
      <c r="W16" s="129">
        <v>10</v>
      </c>
      <c r="X16" s="128">
        <f>I50</f>
        <v>10.1</v>
      </c>
      <c r="Y16" s="169">
        <f>Y9</f>
        <v>0</v>
      </c>
      <c r="Z16" s="128">
        <f>W16+X16-Y16</f>
        <v>20.100000000000001</v>
      </c>
    </row>
    <row r="17" spans="1:26" x14ac:dyDescent="0.3">
      <c r="A17" s="4">
        <v>43136</v>
      </c>
      <c r="B17" s="1" t="s">
        <v>76</v>
      </c>
      <c r="C17" s="2">
        <v>0.75</v>
      </c>
      <c r="D17" s="2">
        <v>0.25</v>
      </c>
      <c r="E17" s="3">
        <v>4.1666666666666664E-2</v>
      </c>
      <c r="F17" s="3">
        <v>8.3333333333333329E-2</v>
      </c>
      <c r="G17" s="3">
        <v>8.3333333333333329E-2</v>
      </c>
      <c r="H17" s="3">
        <v>0.125</v>
      </c>
      <c r="I17" s="47">
        <f>0.1*(H_Janv[[#This Row],[Heures de nuit]]+IF(H_Janv[[#This Row],[majoration dim &amp; JF]]="non",0,H_Janv[[#This Row],[heures jour dimanche]]+H_Janv[[#This Row],[heures jour fériés]]))</f>
        <v>0.7</v>
      </c>
      <c r="J17" s="48">
        <f>(MOD(H_Janv[[#This Row],[Fin]]-H_Janv[[#This Row],[début]],1)-MOD(H_Janv[[#This Row],[PNP Fin]]-H_Janv[[#This Row],[PNP Début]],1))*24</f>
        <v>11</v>
      </c>
      <c r="K17" s="119">
        <f>IFERROR(VLOOKUP(H_Janv[[#This Row],[Service]],Codes[],4,0),"")</f>
        <v>0</v>
      </c>
      <c r="L17" s="39">
        <f>IF(H_Janv[[#This Row],[PNP Début]]=0,0,IF(H_Janv[[#This Row],[PNP Début]]&lt;H_Janv[[#This Row],[début]],1,0)+H_Janv[[#This Row],[PNP Début]])</f>
        <v>1.0833333333333333</v>
      </c>
      <c r="M17" s="40">
        <f>IF(H_Janv[[#This Row],[PNP Fin]]=0,0,IF(H_Janv[[#This Row],[PNP Fin]]&lt;H_Janv[[#This Row],[début]],1,0)+H_Janv[[#This Row],[PNP Fin]])</f>
        <v>1.125</v>
      </c>
      <c r="N17" s="40">
        <f>IF(H_Janv[[#This Row],[Fin]]&lt;H_Janv[[#This Row],[début]],1,0)+H_Janv[[#This Row],[Fin]]</f>
        <v>1.25</v>
      </c>
      <c r="O17"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17" s="41">
        <f>(MAX(0,MIN(H_Janv[[#This Row],[Fin corrigée si nuit]],fin_nuit)-MAX(H_Janv[[#This Row],[début]],deb_nuit))-IF(H_Janv[[#This Row],[PNP Début]]=0,0,MIN(H_Janv[[#This Row],[PNP Fin corrigée]],fin_nuit)-MAX(H_Janv[[#This Row],[PNP Début corrigé]],deb_nuit)))*24</f>
        <v>5.9999999999999973</v>
      </c>
      <c r="Q17" s="41">
        <f>(IF(WEEKDAY(H_Janv[[#This Row],[Date]],2)=7,MAX(0,MIN(fin_dimJF,H_Janv[[#This Row],[Fin corrigée si nuit]])-MAX(deb_dimJF,H_Janv[[#This Row],[début]])),0)+IF(WEEKDAY(H_Janv[[#This Row],[Date]],2)=6,MAX(0,H_Janv[[#This Row],[Fin corrigée si nuit]]-(1+deb_dimJF)),0))*24</f>
        <v>0</v>
      </c>
      <c r="R17" s="4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17" s="41">
        <f>(IF(COUNTIF(JF,H_Janv[[#This Row],[Date]]),MAX(0,MIN(fin_dimJF,H_Janv[[#This Row],[Fin corrigée si nuit]])-MAX(deb_dimJF,H_Janv[[#This Row],[début]])),0)+IF(COUNTIF(JF,H_Janv[[#This Row],[Date]]+1),MAX(0,H_Janv[[#This Row],[Fin corrigée si nuit]]-(1+deb_dimJF)),0))*24</f>
        <v>0</v>
      </c>
      <c r="T17" s="4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c r="V17" s="124"/>
      <c r="W17" s="124"/>
      <c r="X17" s="124"/>
      <c r="Y17" s="124"/>
      <c r="Z17" s="124"/>
    </row>
    <row r="18" spans="1:26" x14ac:dyDescent="0.3">
      <c r="A18" s="4">
        <v>43137</v>
      </c>
      <c r="B18" s="1" t="s">
        <v>76</v>
      </c>
      <c r="C18" s="2">
        <v>0.75</v>
      </c>
      <c r="D18" s="2">
        <v>0.25</v>
      </c>
      <c r="E18" s="3">
        <v>4.1666666666666664E-2</v>
      </c>
      <c r="F18" s="3">
        <v>8.3333333333333329E-2</v>
      </c>
      <c r="G18" s="3">
        <v>8.3333333333333329E-2</v>
      </c>
      <c r="H18" s="3">
        <v>0.125</v>
      </c>
      <c r="I18" s="47">
        <f>0.1*(H_Janv[[#This Row],[Heures de nuit]]+IF(H_Janv[[#This Row],[majoration dim &amp; JF]]="non",0,H_Janv[[#This Row],[heures jour dimanche]]+H_Janv[[#This Row],[heures jour fériés]]))</f>
        <v>0.7</v>
      </c>
      <c r="J18" s="48">
        <f>(MOD(H_Janv[[#This Row],[Fin]]-H_Janv[[#This Row],[début]],1)-MOD(H_Janv[[#This Row],[PNP Fin]]-H_Janv[[#This Row],[PNP Début]],1))*24</f>
        <v>11</v>
      </c>
      <c r="K18" s="119">
        <f>IFERROR(VLOOKUP(H_Janv[[#This Row],[Service]],Codes[],4,0),"")</f>
        <v>0</v>
      </c>
      <c r="L18" s="39">
        <f>IF(H_Janv[[#This Row],[PNP Début]]=0,0,IF(H_Janv[[#This Row],[PNP Début]]&lt;H_Janv[[#This Row],[début]],1,0)+H_Janv[[#This Row],[PNP Début]])</f>
        <v>1.0833333333333333</v>
      </c>
      <c r="M18" s="40">
        <f>IF(H_Janv[[#This Row],[PNP Fin]]=0,0,IF(H_Janv[[#This Row],[PNP Fin]]&lt;H_Janv[[#This Row],[début]],1,0)+H_Janv[[#This Row],[PNP Fin]])</f>
        <v>1.125</v>
      </c>
      <c r="N18" s="40">
        <f>IF(H_Janv[[#This Row],[Fin]]&lt;H_Janv[[#This Row],[début]],1,0)+H_Janv[[#This Row],[Fin]]</f>
        <v>1.25</v>
      </c>
      <c r="O18"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18" s="41">
        <f>(MAX(0,MIN(H_Janv[[#This Row],[Fin corrigée si nuit]],fin_nuit)-MAX(H_Janv[[#This Row],[début]],deb_nuit))-IF(H_Janv[[#This Row],[PNP Début]]=0,0,MIN(H_Janv[[#This Row],[PNP Fin corrigée]],fin_nuit)-MAX(H_Janv[[#This Row],[PNP Début corrigé]],deb_nuit)))*24</f>
        <v>5.9999999999999973</v>
      </c>
      <c r="Q18" s="41">
        <f>(IF(WEEKDAY(H_Janv[[#This Row],[Date]],2)=7,MAX(0,MIN(fin_dimJF,H_Janv[[#This Row],[Fin corrigée si nuit]])-MAX(deb_dimJF,H_Janv[[#This Row],[début]])),0)+IF(WEEKDAY(H_Janv[[#This Row],[Date]],2)=6,MAX(0,H_Janv[[#This Row],[Fin corrigée si nuit]]-(1+deb_dimJF)),0))*24</f>
        <v>0</v>
      </c>
      <c r="R18" s="4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18" s="41">
        <f>(IF(COUNTIF(JF,H_Janv[[#This Row],[Date]]),MAX(0,MIN(fin_dimJF,H_Janv[[#This Row],[Fin corrigée si nuit]])-MAX(deb_dimJF,H_Janv[[#This Row],[début]])),0)+IF(COUNTIF(JF,H_Janv[[#This Row],[Date]]+1),MAX(0,H_Janv[[#This Row],[Fin corrigée si nuit]]-(1+deb_dimJF)),0))*24</f>
        <v>0</v>
      </c>
      <c r="T18" s="4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c r="V18" s="124"/>
      <c r="W18" s="124"/>
      <c r="X18" s="124"/>
      <c r="Y18" s="124"/>
      <c r="Z18" s="124"/>
    </row>
    <row r="19" spans="1:26" x14ac:dyDescent="0.3">
      <c r="A19" s="4">
        <v>43138</v>
      </c>
      <c r="B19" s="1" t="s">
        <v>76</v>
      </c>
      <c r="C19" s="2">
        <v>0.75</v>
      </c>
      <c r="D19" s="2">
        <v>0.25</v>
      </c>
      <c r="E19" s="3">
        <v>4.1666666666666664E-2</v>
      </c>
      <c r="F19" s="3">
        <v>8.3333333333333329E-2</v>
      </c>
      <c r="G19" s="3">
        <v>8.3333333333333329E-2</v>
      </c>
      <c r="H19" s="3">
        <v>0.125</v>
      </c>
      <c r="I19" s="47">
        <f>0.1*(H_Janv[[#This Row],[Heures de nuit]]+IF(H_Janv[[#This Row],[majoration dim &amp; JF]]="non",0,H_Janv[[#This Row],[heures jour dimanche]]+H_Janv[[#This Row],[heures jour fériés]]))</f>
        <v>0.7</v>
      </c>
      <c r="J19" s="48">
        <f>(MOD(H_Janv[[#This Row],[Fin]]-H_Janv[[#This Row],[début]],1)-MOD(H_Janv[[#This Row],[PNP Fin]]-H_Janv[[#This Row],[PNP Début]],1))*24</f>
        <v>11</v>
      </c>
      <c r="K19" s="119">
        <f>IFERROR(VLOOKUP(H_Janv[[#This Row],[Service]],Codes[],4,0),"")</f>
        <v>0</v>
      </c>
      <c r="L19" s="39">
        <f>IF(H_Janv[[#This Row],[PNP Début]]=0,0,IF(H_Janv[[#This Row],[PNP Début]]&lt;H_Janv[[#This Row],[début]],1,0)+H_Janv[[#This Row],[PNP Début]])</f>
        <v>1.0833333333333333</v>
      </c>
      <c r="M19" s="40">
        <f>IF(H_Janv[[#This Row],[PNP Fin]]=0,0,IF(H_Janv[[#This Row],[PNP Fin]]&lt;H_Janv[[#This Row],[début]],1,0)+H_Janv[[#This Row],[PNP Fin]])</f>
        <v>1.125</v>
      </c>
      <c r="N19" s="40">
        <f>IF(H_Janv[[#This Row],[Fin]]&lt;H_Janv[[#This Row],[début]],1,0)+H_Janv[[#This Row],[Fin]]</f>
        <v>1.25</v>
      </c>
      <c r="O19"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19" s="41">
        <f>(MAX(0,MIN(H_Janv[[#This Row],[Fin corrigée si nuit]],fin_nuit)-MAX(H_Janv[[#This Row],[début]],deb_nuit))-IF(H_Janv[[#This Row],[PNP Début]]=0,0,MIN(H_Janv[[#This Row],[PNP Fin corrigée]],fin_nuit)-MAX(H_Janv[[#This Row],[PNP Début corrigé]],deb_nuit)))*24</f>
        <v>5.9999999999999973</v>
      </c>
      <c r="Q19" s="41">
        <f>(IF(WEEKDAY(H_Janv[[#This Row],[Date]],2)=7,MAX(0,MIN(fin_dimJF,H_Janv[[#This Row],[Fin corrigée si nuit]])-MAX(deb_dimJF,H_Janv[[#This Row],[début]])),0)+IF(WEEKDAY(H_Janv[[#This Row],[Date]],2)=6,MAX(0,H_Janv[[#This Row],[Fin corrigée si nuit]]-(1+deb_dimJF)),0))*24</f>
        <v>0</v>
      </c>
      <c r="R19" s="4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19" s="41">
        <f>(IF(COUNTIF(JF,H_Janv[[#This Row],[Date]]),MAX(0,MIN(fin_dimJF,H_Janv[[#This Row],[Fin corrigée si nuit]])-MAX(deb_dimJF,H_Janv[[#This Row],[début]])),0)+IF(COUNTIF(JF,H_Janv[[#This Row],[Date]]+1),MAX(0,H_Janv[[#This Row],[Fin corrigée si nuit]]-(1+deb_dimJF)),0))*24</f>
        <v>0</v>
      </c>
      <c r="T19" s="4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c r="V19" s="124"/>
      <c r="W19" s="124"/>
      <c r="X19" s="124"/>
      <c r="Y19" s="124"/>
      <c r="Z19" s="124"/>
    </row>
    <row r="20" spans="1:26" x14ac:dyDescent="0.3">
      <c r="A20" s="4">
        <v>43139</v>
      </c>
      <c r="B20" s="1" t="s">
        <v>76</v>
      </c>
      <c r="C20" s="2">
        <v>0.75</v>
      </c>
      <c r="D20" s="2">
        <v>0.25</v>
      </c>
      <c r="E20" s="3">
        <v>4.1666666666666664E-2</v>
      </c>
      <c r="F20" s="3">
        <v>8.3333333333333329E-2</v>
      </c>
      <c r="G20" s="3">
        <v>8.3333333333333329E-2</v>
      </c>
      <c r="H20" s="3">
        <v>0.125</v>
      </c>
      <c r="I20" s="47">
        <f>0.1*(H_Janv[[#This Row],[Heures de nuit]]+IF(H_Janv[[#This Row],[majoration dim &amp; JF]]="non",0,H_Janv[[#This Row],[heures jour dimanche]]+H_Janv[[#This Row],[heures jour fériés]]))</f>
        <v>0.7</v>
      </c>
      <c r="J20" s="48">
        <f>(MOD(H_Janv[[#This Row],[Fin]]-H_Janv[[#This Row],[début]],1)-MOD(H_Janv[[#This Row],[PNP Fin]]-H_Janv[[#This Row],[PNP Début]],1))*24</f>
        <v>11</v>
      </c>
      <c r="K20" s="119">
        <f>IFERROR(VLOOKUP(H_Janv[[#This Row],[Service]],Codes[],4,0),"")</f>
        <v>0</v>
      </c>
      <c r="L20" s="39">
        <f>IF(H_Janv[[#This Row],[PNP Début]]=0,0,IF(H_Janv[[#This Row],[PNP Début]]&lt;H_Janv[[#This Row],[début]],1,0)+H_Janv[[#This Row],[PNP Début]])</f>
        <v>1.0833333333333333</v>
      </c>
      <c r="M20" s="40">
        <f>IF(H_Janv[[#This Row],[PNP Fin]]=0,0,IF(H_Janv[[#This Row],[PNP Fin]]&lt;H_Janv[[#This Row],[début]],1,0)+H_Janv[[#This Row],[PNP Fin]])</f>
        <v>1.125</v>
      </c>
      <c r="N20" s="40">
        <f>IF(H_Janv[[#This Row],[Fin]]&lt;H_Janv[[#This Row],[début]],1,0)+H_Janv[[#This Row],[Fin]]</f>
        <v>1.25</v>
      </c>
      <c r="O20"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20" s="41">
        <f>(MAX(0,MIN(H_Janv[[#This Row],[Fin corrigée si nuit]],fin_nuit)-MAX(H_Janv[[#This Row],[début]],deb_nuit))-IF(H_Janv[[#This Row],[PNP Début]]=0,0,MIN(H_Janv[[#This Row],[PNP Fin corrigée]],fin_nuit)-MAX(H_Janv[[#This Row],[PNP Début corrigé]],deb_nuit)))*24</f>
        <v>5.9999999999999973</v>
      </c>
      <c r="Q20" s="41">
        <f>(IF(WEEKDAY(H_Janv[[#This Row],[Date]],2)=7,MAX(0,MIN(fin_dimJF,H_Janv[[#This Row],[Fin corrigée si nuit]])-MAX(deb_dimJF,H_Janv[[#This Row],[début]])),0)+IF(WEEKDAY(H_Janv[[#This Row],[Date]],2)=6,MAX(0,H_Janv[[#This Row],[Fin corrigée si nuit]]-(1+deb_dimJF)),0))*24</f>
        <v>0</v>
      </c>
      <c r="R20" s="4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0" s="41">
        <f>(IF(COUNTIF(JF,H_Janv[[#This Row],[Date]]),MAX(0,MIN(fin_dimJF,H_Janv[[#This Row],[Fin corrigée si nuit]])-MAX(deb_dimJF,H_Janv[[#This Row],[début]])),0)+IF(COUNTIF(JF,H_Janv[[#This Row],[Date]]+1),MAX(0,H_Janv[[#This Row],[Fin corrigée si nuit]]-(1+deb_dimJF)),0))*24</f>
        <v>0</v>
      </c>
      <c r="T20" s="4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1" spans="1:26" x14ac:dyDescent="0.3">
      <c r="A21" s="4">
        <v>43140</v>
      </c>
      <c r="B21" s="1" t="s">
        <v>76</v>
      </c>
      <c r="C21" s="2">
        <v>0.75</v>
      </c>
      <c r="D21" s="2">
        <v>0.25</v>
      </c>
      <c r="E21" s="3">
        <v>4.1666666666666664E-2</v>
      </c>
      <c r="F21" s="3">
        <v>8.3333333333333329E-2</v>
      </c>
      <c r="G21" s="3">
        <v>8.3333333333333329E-2</v>
      </c>
      <c r="H21" s="3">
        <v>0.125</v>
      </c>
      <c r="I21" s="47">
        <f>0.1*(H_Janv[[#This Row],[Heures de nuit]]+IF(H_Janv[[#This Row],[majoration dim &amp; JF]]="non",0,H_Janv[[#This Row],[heures jour dimanche]]+H_Janv[[#This Row],[heures jour fériés]]))</f>
        <v>0.7</v>
      </c>
      <c r="J21" s="48">
        <f>(MOD(H_Janv[[#This Row],[Fin]]-H_Janv[[#This Row],[début]],1)-MOD(H_Janv[[#This Row],[PNP Fin]]-H_Janv[[#This Row],[PNP Début]],1))*24</f>
        <v>11</v>
      </c>
      <c r="K21" s="120">
        <f>IFERROR(VLOOKUP(H_Janv[[#This Row],[Service]],Codes[],4,0),"")</f>
        <v>0</v>
      </c>
      <c r="L21" s="44">
        <f>IF(H_Janv[[#This Row],[PNP Début]]=0,0,IF(H_Janv[[#This Row],[PNP Début]]&lt;H_Janv[[#This Row],[début]],1,0)+H_Janv[[#This Row],[PNP Début]])</f>
        <v>1.0833333333333333</v>
      </c>
      <c r="M21" s="45">
        <f>IF(H_Janv[[#This Row],[PNP Fin]]=0,0,IF(H_Janv[[#This Row],[PNP Fin]]&lt;H_Janv[[#This Row],[début]],1,0)+H_Janv[[#This Row],[PNP Fin]])</f>
        <v>1.125</v>
      </c>
      <c r="N21" s="45">
        <f>IF(H_Janv[[#This Row],[Fin]]&lt;H_Janv[[#This Row],[début]],1,0)+H_Janv[[#This Row],[Fin]]</f>
        <v>1.25</v>
      </c>
      <c r="O21"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21" s="46">
        <f>(MAX(0,MIN(H_Janv[[#This Row],[Fin corrigée si nuit]],fin_nuit)-MAX(H_Janv[[#This Row],[début]],deb_nuit))-IF(H_Janv[[#This Row],[PNP Début]]=0,0,MIN(H_Janv[[#This Row],[PNP Fin corrigée]],fin_nuit)-MAX(H_Janv[[#This Row],[PNP Début corrigé]],deb_nuit)))*24</f>
        <v>5.9999999999999973</v>
      </c>
      <c r="Q21" s="46">
        <f>(IF(WEEKDAY(H_Janv[[#This Row],[Date]],2)=7,MAX(0,MIN(fin_dimJF,H_Janv[[#This Row],[Fin corrigée si nuit]])-MAX(deb_dimJF,H_Janv[[#This Row],[début]])),0)+IF(WEEKDAY(H_Janv[[#This Row],[Date]],2)=6,MAX(0,H_Janv[[#This Row],[Fin corrigée si nuit]]-(1+deb_dimJF)),0))*24</f>
        <v>0</v>
      </c>
      <c r="R21" s="46">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1" s="46">
        <f>(IF(COUNTIF(JF,H_Janv[[#This Row],[Date]]),MAX(0,MIN(fin_dimJF,H_Janv[[#This Row],[Fin corrigée si nuit]])-MAX(deb_dimJF,H_Janv[[#This Row],[début]])),0)+IF(COUNTIF(JF,H_Janv[[#This Row],[Date]]+1),MAX(0,H_Janv[[#This Row],[Fin corrigée si nuit]]-(1+deb_dimJF)),0))*24</f>
        <v>0</v>
      </c>
      <c r="T21" s="46">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2" spans="1:26" x14ac:dyDescent="0.3">
      <c r="A22" s="4">
        <v>43141</v>
      </c>
      <c r="B22" s="1" t="s">
        <v>76</v>
      </c>
      <c r="C22" s="2">
        <v>0.75</v>
      </c>
      <c r="D22" s="2">
        <v>0.25</v>
      </c>
      <c r="E22" s="3">
        <v>4.1666666666666664E-2</v>
      </c>
      <c r="F22" s="3">
        <v>8.3333333333333329E-2</v>
      </c>
      <c r="G22" s="3">
        <v>8.3333333333333329E-2</v>
      </c>
      <c r="H22" s="3">
        <v>0.125</v>
      </c>
      <c r="I22" s="47">
        <f>0.1*(H_Janv[[#This Row],[Heures de nuit]]+IF(H_Janv[[#This Row],[majoration dim &amp; JF]]="non",0,H_Janv[[#This Row],[heures jour dimanche]]+H_Janv[[#This Row],[heures jour fériés]]))</f>
        <v>0.7</v>
      </c>
      <c r="J22" s="48">
        <f>(MOD(H_Janv[[#This Row],[Fin]]-H_Janv[[#This Row],[début]],1)-MOD(H_Janv[[#This Row],[PNP Fin]]-H_Janv[[#This Row],[PNP Début]],1))*24</f>
        <v>11</v>
      </c>
      <c r="K22" s="119">
        <f>IFERROR(VLOOKUP(H_Janv[[#This Row],[Service]],Codes[],4,0),"")</f>
        <v>0</v>
      </c>
      <c r="L22" s="49">
        <f>IF(H_Janv[[#This Row],[PNP Début]]=0,0,IF(H_Janv[[#This Row],[PNP Début]]&lt;H_Janv[[#This Row],[début]],1,0)+H_Janv[[#This Row],[PNP Début]])</f>
        <v>1.0833333333333333</v>
      </c>
      <c r="M22" s="50">
        <f>IF(H_Janv[[#This Row],[PNP Fin]]=0,0,IF(H_Janv[[#This Row],[PNP Fin]]&lt;H_Janv[[#This Row],[début]],1,0)+H_Janv[[#This Row],[PNP Fin]])</f>
        <v>1.125</v>
      </c>
      <c r="N22" s="50">
        <f>IF(H_Janv[[#This Row],[Fin]]&lt;H_Janv[[#This Row],[début]],1,0)+H_Janv[[#This Row],[Fin]]</f>
        <v>1.25</v>
      </c>
      <c r="O22"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22" s="51">
        <f>(MAX(0,MIN(H_Janv[[#This Row],[Fin corrigée si nuit]],fin_nuit)-MAX(H_Janv[[#This Row],[début]],deb_nuit))-IF(H_Janv[[#This Row],[PNP Début]]=0,0,MIN(H_Janv[[#This Row],[PNP Fin corrigée]],fin_nuit)-MAX(H_Janv[[#This Row],[PNP Début corrigé]],deb_nuit)))*24</f>
        <v>5.9999999999999973</v>
      </c>
      <c r="Q22" s="51">
        <f>(IF(WEEKDAY(H_Janv[[#This Row],[Date]],2)=7,MAX(0,MIN(fin_dimJF,H_Janv[[#This Row],[Fin corrigée si nuit]])-MAX(deb_dimJF,H_Janv[[#This Row],[début]])),0)+IF(WEEKDAY(H_Janv[[#This Row],[Date]],2)=6,MAX(0,H_Janv[[#This Row],[Fin corrigée si nuit]]-(1+deb_dimJF)),0))*24</f>
        <v>0</v>
      </c>
      <c r="R22"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2" s="51">
        <f>(IF(COUNTIF(JF,H_Janv[[#This Row],[Date]]),MAX(0,MIN(fin_dimJF,H_Janv[[#This Row],[Fin corrigée si nuit]])-MAX(deb_dimJF,H_Janv[[#This Row],[début]])),0)+IF(COUNTIF(JF,H_Janv[[#This Row],[Date]]+1),MAX(0,H_Janv[[#This Row],[Fin corrigée si nuit]]-(1+deb_dimJF)),0))*24</f>
        <v>0</v>
      </c>
      <c r="T22"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3" spans="1:26" x14ac:dyDescent="0.3">
      <c r="A23" s="4">
        <v>43142</v>
      </c>
      <c r="B23" s="1" t="s">
        <v>76</v>
      </c>
      <c r="C23" s="2">
        <v>0.75</v>
      </c>
      <c r="D23" s="2">
        <v>0.25</v>
      </c>
      <c r="E23" s="3">
        <v>4.1666666666666664E-2</v>
      </c>
      <c r="F23" s="3">
        <v>8.3333333333333329E-2</v>
      </c>
      <c r="G23" s="3">
        <v>8.3333333333333329E-2</v>
      </c>
      <c r="H23" s="3">
        <v>0.125</v>
      </c>
      <c r="I23" s="47">
        <f>0.1*(H_Janv[[#This Row],[Heures de nuit]]+IF(H_Janv[[#This Row],[majoration dim &amp; JF]]="non",0,H_Janv[[#This Row],[heures jour dimanche]]+H_Janv[[#This Row],[heures jour fériés]]))</f>
        <v>1.2000000000000002</v>
      </c>
      <c r="J23" s="48">
        <f>(MOD(H_Janv[[#This Row],[Fin]]-H_Janv[[#This Row],[début]],1)-MOD(H_Janv[[#This Row],[PNP Fin]]-H_Janv[[#This Row],[PNP Début]],1))*24</f>
        <v>11</v>
      </c>
      <c r="K23" s="119">
        <f>IFERROR(VLOOKUP(H_Janv[[#This Row],[Service]],Codes[],4,0),"")</f>
        <v>0</v>
      </c>
      <c r="L23" s="49">
        <f>IF(H_Janv[[#This Row],[PNP Début]]=0,0,IF(H_Janv[[#This Row],[PNP Début]]&lt;H_Janv[[#This Row],[début]],1,0)+H_Janv[[#This Row],[PNP Début]])</f>
        <v>1.0833333333333333</v>
      </c>
      <c r="M23" s="50">
        <f>IF(H_Janv[[#This Row],[PNP Fin]]=0,0,IF(H_Janv[[#This Row],[PNP Fin]]&lt;H_Janv[[#This Row],[début]],1,0)+H_Janv[[#This Row],[PNP Fin]])</f>
        <v>1.125</v>
      </c>
      <c r="N23" s="50">
        <f>IF(H_Janv[[#This Row],[Fin]]&lt;H_Janv[[#This Row],[début]],1,0)+H_Janv[[#This Row],[Fin]]</f>
        <v>1.25</v>
      </c>
      <c r="O23"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23" s="51">
        <f>(MAX(0,MIN(H_Janv[[#This Row],[Fin corrigée si nuit]],fin_nuit)-MAX(H_Janv[[#This Row],[début]],deb_nuit))-IF(H_Janv[[#This Row],[PNP Début]]=0,0,MIN(H_Janv[[#This Row],[PNP Fin corrigée]],fin_nuit)-MAX(H_Janv[[#This Row],[PNP Début corrigé]],deb_nuit)))*24</f>
        <v>5.9999999999999973</v>
      </c>
      <c r="Q23" s="51">
        <f>(IF(WEEKDAY(H_Janv[[#This Row],[Date]],2)=7,MAX(0,MIN(fin_dimJF,H_Janv[[#This Row],[Fin corrigée si nuit]])-MAX(deb_dimJF,H_Janv[[#This Row],[début]])),0)+IF(WEEKDAY(H_Janv[[#This Row],[Date]],2)=6,MAX(0,H_Janv[[#This Row],[Fin corrigée si nuit]]-(1+deb_dimJF)),0))*24</f>
        <v>5.0000000000000009</v>
      </c>
      <c r="R23"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5.0000000000000009</v>
      </c>
      <c r="S23" s="51">
        <f>(IF(COUNTIF(JF,H_Janv[[#This Row],[Date]]),MAX(0,MIN(fin_dimJF,H_Janv[[#This Row],[Fin corrigée si nuit]])-MAX(deb_dimJF,H_Janv[[#This Row],[début]])),0)+IF(COUNTIF(JF,H_Janv[[#This Row],[Date]]+1),MAX(0,H_Janv[[#This Row],[Fin corrigée si nuit]]-(1+deb_dimJF)),0))*24</f>
        <v>0</v>
      </c>
      <c r="T23"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4" spans="1:26" ht="14.4" customHeight="1" x14ac:dyDescent="0.3">
      <c r="A24" s="4">
        <v>43143</v>
      </c>
      <c r="B24" s="1" t="s">
        <v>76</v>
      </c>
      <c r="C24" s="2">
        <v>0.75</v>
      </c>
      <c r="D24" s="2">
        <v>0.25</v>
      </c>
      <c r="E24" s="3">
        <v>4.1666666666666664E-2</v>
      </c>
      <c r="F24" s="3">
        <v>8.3333333333333329E-2</v>
      </c>
      <c r="G24" s="3">
        <v>8.3333333333333329E-2</v>
      </c>
      <c r="H24" s="3">
        <v>0.125</v>
      </c>
      <c r="I24" s="47">
        <f>0.1*(H_Janv[[#This Row],[Heures de nuit]]+IF(H_Janv[[#This Row],[majoration dim &amp; JF]]="non",0,H_Janv[[#This Row],[heures jour dimanche]]+H_Janv[[#This Row],[heures jour fériés]]))</f>
        <v>0.7</v>
      </c>
      <c r="J24" s="48">
        <f>(MOD(H_Janv[[#This Row],[Fin]]-H_Janv[[#This Row],[début]],1)-MOD(H_Janv[[#This Row],[PNP Fin]]-H_Janv[[#This Row],[PNP Début]],1))*24</f>
        <v>11</v>
      </c>
      <c r="K24" s="119">
        <f>IFERROR(VLOOKUP(H_Janv[[#This Row],[Service]],Codes[],4,0),"")</f>
        <v>0</v>
      </c>
      <c r="L24" s="49">
        <f>IF(H_Janv[[#This Row],[PNP Début]]=0,0,IF(H_Janv[[#This Row],[PNP Début]]&lt;H_Janv[[#This Row],[début]],1,0)+H_Janv[[#This Row],[PNP Début]])</f>
        <v>1.0833333333333333</v>
      </c>
      <c r="M24" s="50">
        <f>IF(H_Janv[[#This Row],[PNP Fin]]=0,0,IF(H_Janv[[#This Row],[PNP Fin]]&lt;H_Janv[[#This Row],[début]],1,0)+H_Janv[[#This Row],[PNP Fin]])</f>
        <v>1.125</v>
      </c>
      <c r="N24" s="50">
        <f>IF(H_Janv[[#This Row],[Fin]]&lt;H_Janv[[#This Row],[début]],1,0)+H_Janv[[#This Row],[Fin]]</f>
        <v>1.25</v>
      </c>
      <c r="O24"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24" s="51">
        <f>(MAX(0,MIN(H_Janv[[#This Row],[Fin corrigée si nuit]],fin_nuit)-MAX(H_Janv[[#This Row],[début]],deb_nuit))-IF(H_Janv[[#This Row],[PNP Début]]=0,0,MIN(H_Janv[[#This Row],[PNP Fin corrigée]],fin_nuit)-MAX(H_Janv[[#This Row],[PNP Début corrigé]],deb_nuit)))*24</f>
        <v>5.9999999999999973</v>
      </c>
      <c r="Q24" s="51">
        <f>(IF(WEEKDAY(H_Janv[[#This Row],[Date]],2)=7,MAX(0,MIN(fin_dimJF,H_Janv[[#This Row],[Fin corrigée si nuit]])-MAX(deb_dimJF,H_Janv[[#This Row],[début]])),0)+IF(WEEKDAY(H_Janv[[#This Row],[Date]],2)=6,MAX(0,H_Janv[[#This Row],[Fin corrigée si nuit]]-(1+deb_dimJF)),0))*24</f>
        <v>0</v>
      </c>
      <c r="R24"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4" s="51">
        <f>(IF(COUNTIF(JF,H_Janv[[#This Row],[Date]]),MAX(0,MIN(fin_dimJF,H_Janv[[#This Row],[Fin corrigée si nuit]])-MAX(deb_dimJF,H_Janv[[#This Row],[début]])),0)+IF(COUNTIF(JF,H_Janv[[#This Row],[Date]]+1),MAX(0,H_Janv[[#This Row],[Fin corrigée si nuit]]-(1+deb_dimJF)),0))*24</f>
        <v>0</v>
      </c>
      <c r="T24"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5" spans="1:26" ht="14.4" customHeight="1" x14ac:dyDescent="0.3">
      <c r="A25" s="4">
        <v>43144</v>
      </c>
      <c r="B25" s="1" t="s">
        <v>76</v>
      </c>
      <c r="C25" s="2">
        <v>0.75</v>
      </c>
      <c r="D25" s="2">
        <v>0.25</v>
      </c>
      <c r="E25" s="3">
        <v>4.1666666666666664E-2</v>
      </c>
      <c r="F25" s="3">
        <v>8.3333333333333329E-2</v>
      </c>
      <c r="G25" s="3">
        <v>8.3333333333333329E-2</v>
      </c>
      <c r="H25" s="3">
        <v>0.125</v>
      </c>
      <c r="I25" s="47">
        <f>0.1*(H_Janv[[#This Row],[Heures de nuit]]+IF(H_Janv[[#This Row],[majoration dim &amp; JF]]="non",0,H_Janv[[#This Row],[heures jour dimanche]]+H_Janv[[#This Row],[heures jour fériés]]))</f>
        <v>0.7</v>
      </c>
      <c r="J25" s="48">
        <f>(MOD(H_Janv[[#This Row],[Fin]]-H_Janv[[#This Row],[début]],1)-MOD(H_Janv[[#This Row],[PNP Fin]]-H_Janv[[#This Row],[PNP Début]],1))*24</f>
        <v>11</v>
      </c>
      <c r="K25" s="119">
        <f>IFERROR(VLOOKUP(H_Janv[[#This Row],[Service]],Codes[],4,0),"")</f>
        <v>0</v>
      </c>
      <c r="L25" s="49">
        <f>IF(H_Janv[[#This Row],[PNP Début]]=0,0,IF(H_Janv[[#This Row],[PNP Début]]&lt;H_Janv[[#This Row],[début]],1,0)+H_Janv[[#This Row],[PNP Début]])</f>
        <v>1.0833333333333333</v>
      </c>
      <c r="M25" s="50">
        <f>IF(H_Janv[[#This Row],[PNP Fin]]=0,0,IF(H_Janv[[#This Row],[PNP Fin]]&lt;H_Janv[[#This Row],[début]],1,0)+H_Janv[[#This Row],[PNP Fin]])</f>
        <v>1.125</v>
      </c>
      <c r="N25" s="50">
        <f>IF(H_Janv[[#This Row],[Fin]]&lt;H_Janv[[#This Row],[début]],1,0)+H_Janv[[#This Row],[Fin]]</f>
        <v>1.25</v>
      </c>
      <c r="O25" s="31">
        <f>IF(H_Janv[[#This Row],[Fin]]&lt;H_Janv[[#This Row],[début]],MAX(0,MIN(H_Janv[[#This Row],[Fin corrigée si nuit]],fin_nuit)-MAX(H_Janv[[#This Row],[début]],deb_nuit))*24,(MAX(deb_nuit,H_Janv[[#This Row],[Fin]])-MAX(deb_nuit,H_Janv[[#This Row],[début]])+MAX(MIN(fin_nuit-1,H_Janv[[#This Row],[Fin]])-MIN(fin_nuit-1,H_Janv[[#This Row],[début]]),0))*24)</f>
        <v>6.9999999999999991</v>
      </c>
      <c r="P25" s="51">
        <f>(MAX(0,MIN(H_Janv[[#This Row],[Fin corrigée si nuit]],fin_nuit)-MAX(H_Janv[[#This Row],[début]],deb_nuit))-IF(H_Janv[[#This Row],[PNP Début]]=0,0,MIN(H_Janv[[#This Row],[PNP Fin corrigée]],fin_nuit)-MAX(H_Janv[[#This Row],[PNP Début corrigé]],deb_nuit)))*24</f>
        <v>5.9999999999999973</v>
      </c>
      <c r="Q25" s="51">
        <f>(IF(WEEKDAY(H_Janv[[#This Row],[Date]],2)=7,MAX(0,MIN(fin_dimJF,H_Janv[[#This Row],[Fin corrigée si nuit]])-MAX(deb_dimJF,H_Janv[[#This Row],[début]])),0)+IF(WEEKDAY(H_Janv[[#This Row],[Date]],2)=6,MAX(0,H_Janv[[#This Row],[Fin corrigée si nuit]]-(1+deb_dimJF)),0))*24</f>
        <v>0</v>
      </c>
      <c r="R25"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5" s="51">
        <f>(IF(COUNTIF(JF,H_Janv[[#This Row],[Date]]),MAX(0,MIN(fin_dimJF,H_Janv[[#This Row],[Fin corrigée si nuit]])-MAX(deb_dimJF,H_Janv[[#This Row],[début]])),0)+IF(COUNTIF(JF,H_Janv[[#This Row],[Date]]+1),MAX(0,H_Janv[[#This Row],[Fin corrigée si nuit]]-(1+deb_dimJF)),0))*24</f>
        <v>0</v>
      </c>
      <c r="T25"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6" spans="1:26" ht="14.4" customHeight="1" x14ac:dyDescent="0.3">
      <c r="A26" s="4">
        <v>43145</v>
      </c>
      <c r="B26" s="1" t="s">
        <v>75</v>
      </c>
      <c r="C26" s="2">
        <v>0.25</v>
      </c>
      <c r="D26" s="2">
        <v>0.75</v>
      </c>
      <c r="E26" s="3"/>
      <c r="F26" s="3"/>
      <c r="G26" s="3"/>
      <c r="H26" s="3"/>
      <c r="I26" s="47">
        <f>0.1*(H_Janv[[#This Row],[Heures de nuit]]+IF(H_Janv[[#This Row],[majoration dim &amp; JF]]="non",0,H_Janv[[#This Row],[heures jour dimanche]]+H_Janv[[#This Row],[heures jour fériés]]))</f>
        <v>0</v>
      </c>
      <c r="J26" s="48">
        <f>(MOD(H_Janv[[#This Row],[Fin]]-H_Janv[[#This Row],[début]],1)-MOD(H_Janv[[#This Row],[PNP Fin]]-H_Janv[[#This Row],[PNP Début]],1))*24</f>
        <v>12</v>
      </c>
      <c r="K26" s="119">
        <f>IFERROR(VLOOKUP(H_Janv[[#This Row],[Service]],Codes[],4,0),"")</f>
        <v>0</v>
      </c>
      <c r="L26" s="49">
        <f>IF(H_Janv[[#This Row],[PNP Début]]=0,0,IF(H_Janv[[#This Row],[PNP Début]]&lt;H_Janv[[#This Row],[début]],1,0)+H_Janv[[#This Row],[PNP Début]])</f>
        <v>0</v>
      </c>
      <c r="M26" s="50">
        <f>IF(H_Janv[[#This Row],[PNP Fin]]=0,0,IF(H_Janv[[#This Row],[PNP Fin]]&lt;H_Janv[[#This Row],[début]],1,0)+H_Janv[[#This Row],[PNP Fin]])</f>
        <v>0</v>
      </c>
      <c r="N26" s="50">
        <f>IF(H_Janv[[#This Row],[Fin]]&lt;H_Janv[[#This Row],[début]],1,0)+H_Janv[[#This Row],[Fin]]</f>
        <v>0.75</v>
      </c>
      <c r="O26" s="31">
        <f>IF(H_Janv[[#This Row],[Fin]]&lt;H_Janv[[#This Row],[début]],MAX(0,MIN(H_Janv[[#This Row],[Fin corrigée si nuit]],fin_nuit)-MAX(H_Janv[[#This Row],[début]],deb_nuit))*24,(MAX(deb_nuit,H_Janv[[#This Row],[Fin]])-MAX(deb_nuit,H_Janv[[#This Row],[début]])+MAX(MIN(fin_nuit-1,H_Janv[[#This Row],[Fin]])-MIN(fin_nuit-1,H_Janv[[#This Row],[début]]),0))*24)</f>
        <v>0</v>
      </c>
      <c r="P26" s="51">
        <f>(MAX(0,MIN(H_Janv[[#This Row],[Fin corrigée si nuit]],fin_nuit)-MAX(H_Janv[[#This Row],[début]],deb_nuit))-IF(H_Janv[[#This Row],[PNP Début]]=0,0,MIN(H_Janv[[#This Row],[PNP Fin corrigée]],fin_nuit)-MAX(H_Janv[[#This Row],[PNP Début corrigé]],deb_nuit)))*24</f>
        <v>0</v>
      </c>
      <c r="Q26" s="51">
        <f>(IF(WEEKDAY(H_Janv[[#This Row],[Date]],2)=7,MAX(0,MIN(fin_dimJF,H_Janv[[#This Row],[Fin corrigée si nuit]])-MAX(deb_dimJF,H_Janv[[#This Row],[début]])),0)+IF(WEEKDAY(H_Janv[[#This Row],[Date]],2)=6,MAX(0,H_Janv[[#This Row],[Fin corrigée si nuit]]-(1+deb_dimJF)),0))*24</f>
        <v>0</v>
      </c>
      <c r="R26"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6" s="51">
        <f>(IF(COUNTIF(JF,H_Janv[[#This Row],[Date]]),MAX(0,MIN(fin_dimJF,H_Janv[[#This Row],[Fin corrigée si nuit]])-MAX(deb_dimJF,H_Janv[[#This Row],[début]])),0)+IF(COUNTIF(JF,H_Janv[[#This Row],[Date]]+1),MAX(0,H_Janv[[#This Row],[Fin corrigée si nuit]]-(1+deb_dimJF)),0))*24</f>
        <v>0</v>
      </c>
      <c r="T26"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7" spans="1:26" ht="14.4" customHeight="1" x14ac:dyDescent="0.3">
      <c r="A27" s="4">
        <v>43146</v>
      </c>
      <c r="B27" s="1" t="s">
        <v>75</v>
      </c>
      <c r="C27" s="2">
        <v>0.25</v>
      </c>
      <c r="D27" s="2">
        <v>0.75</v>
      </c>
      <c r="E27" s="3"/>
      <c r="F27" s="3"/>
      <c r="G27" s="3"/>
      <c r="H27" s="3"/>
      <c r="I27" s="47">
        <f>0.1*(H_Janv[[#This Row],[Heures de nuit]]+IF(H_Janv[[#This Row],[majoration dim &amp; JF]]="non",0,H_Janv[[#This Row],[heures jour dimanche]]+H_Janv[[#This Row],[heures jour fériés]]))</f>
        <v>0</v>
      </c>
      <c r="J27" s="48">
        <f>(MOD(H_Janv[[#This Row],[Fin]]-H_Janv[[#This Row],[début]],1)-MOD(H_Janv[[#This Row],[PNP Fin]]-H_Janv[[#This Row],[PNP Début]],1))*24</f>
        <v>12</v>
      </c>
      <c r="K27" s="119">
        <f>IFERROR(VLOOKUP(H_Janv[[#This Row],[Service]],Codes[],4,0),"")</f>
        <v>0</v>
      </c>
      <c r="L27" s="49">
        <f>IF(H_Janv[[#This Row],[PNP Début]]=0,0,IF(H_Janv[[#This Row],[PNP Début]]&lt;H_Janv[[#This Row],[début]],1,0)+H_Janv[[#This Row],[PNP Début]])</f>
        <v>0</v>
      </c>
      <c r="M27" s="50">
        <f>IF(H_Janv[[#This Row],[PNP Fin]]=0,0,IF(H_Janv[[#This Row],[PNP Fin]]&lt;H_Janv[[#This Row],[début]],1,0)+H_Janv[[#This Row],[PNP Fin]])</f>
        <v>0</v>
      </c>
      <c r="N27" s="50">
        <f>IF(H_Janv[[#This Row],[Fin]]&lt;H_Janv[[#This Row],[début]],1,0)+H_Janv[[#This Row],[Fin]]</f>
        <v>0.75</v>
      </c>
      <c r="O27" s="31">
        <f>IF(H_Janv[[#This Row],[Fin]]&lt;H_Janv[[#This Row],[début]],MAX(0,MIN(H_Janv[[#This Row],[Fin corrigée si nuit]],fin_nuit)-MAX(H_Janv[[#This Row],[début]],deb_nuit))*24,(MAX(deb_nuit,H_Janv[[#This Row],[Fin]])-MAX(deb_nuit,H_Janv[[#This Row],[début]])+MAX(MIN(fin_nuit-1,H_Janv[[#This Row],[Fin]])-MIN(fin_nuit-1,H_Janv[[#This Row],[début]]),0))*24)</f>
        <v>0</v>
      </c>
      <c r="P27" s="51">
        <f>(MAX(0,MIN(H_Janv[[#This Row],[Fin corrigée si nuit]],fin_nuit)-MAX(H_Janv[[#This Row],[début]],deb_nuit))-IF(H_Janv[[#This Row],[PNP Début]]=0,0,MIN(H_Janv[[#This Row],[PNP Fin corrigée]],fin_nuit)-MAX(H_Janv[[#This Row],[PNP Début corrigé]],deb_nuit)))*24</f>
        <v>0</v>
      </c>
      <c r="Q27" s="51">
        <f>(IF(WEEKDAY(H_Janv[[#This Row],[Date]],2)=7,MAX(0,MIN(fin_dimJF,H_Janv[[#This Row],[Fin corrigée si nuit]])-MAX(deb_dimJF,H_Janv[[#This Row],[début]])),0)+IF(WEEKDAY(H_Janv[[#This Row],[Date]],2)=6,MAX(0,H_Janv[[#This Row],[Fin corrigée si nuit]]-(1+deb_dimJF)),0))*24</f>
        <v>0</v>
      </c>
      <c r="R27"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7" s="51">
        <f>(IF(COUNTIF(JF,H_Janv[[#This Row],[Date]]),MAX(0,MIN(fin_dimJF,H_Janv[[#This Row],[Fin corrigée si nuit]])-MAX(deb_dimJF,H_Janv[[#This Row],[début]])),0)+IF(COUNTIF(JF,H_Janv[[#This Row],[Date]]+1),MAX(0,H_Janv[[#This Row],[Fin corrigée si nuit]]-(1+deb_dimJF)),0))*24</f>
        <v>0</v>
      </c>
      <c r="T27"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8" spans="1:26" ht="14.4" customHeight="1" x14ac:dyDescent="0.3">
      <c r="A28" s="4"/>
      <c r="B28" s="1"/>
      <c r="C28" s="2"/>
      <c r="D28" s="2"/>
      <c r="E28" s="3"/>
      <c r="F28" s="3"/>
      <c r="G28" s="3"/>
      <c r="H28" s="3"/>
      <c r="I28" s="47">
        <f>0.1*(H_Janv[[#This Row],[Heures de nuit]]+IF(H_Janv[[#This Row],[majoration dim &amp; JF]]="non",0,H_Janv[[#This Row],[heures jour dimanche]]+H_Janv[[#This Row],[heures jour fériés]]))</f>
        <v>0</v>
      </c>
      <c r="J28" s="48">
        <f>(MOD(H_Janv[[#This Row],[Fin]]-H_Janv[[#This Row],[début]],1)-MOD(H_Janv[[#This Row],[PNP Fin]]-H_Janv[[#This Row],[PNP Début]],1))*24</f>
        <v>0</v>
      </c>
      <c r="K28" s="119" t="str">
        <f>IFERROR(VLOOKUP(H_Janv[[#This Row],[Service]],Codes[],4,0),"")</f>
        <v/>
      </c>
      <c r="L28" s="49">
        <f>IF(H_Janv[[#This Row],[PNP Début]]=0,0,IF(H_Janv[[#This Row],[PNP Début]]&lt;H_Janv[[#This Row],[début]],1,0)+H_Janv[[#This Row],[PNP Début]])</f>
        <v>0</v>
      </c>
      <c r="M28" s="50">
        <f>IF(H_Janv[[#This Row],[PNP Fin]]=0,0,IF(H_Janv[[#This Row],[PNP Fin]]&lt;H_Janv[[#This Row],[début]],1,0)+H_Janv[[#This Row],[PNP Fin]])</f>
        <v>0</v>
      </c>
      <c r="N28" s="50">
        <f>IF(H_Janv[[#This Row],[Fin]]&lt;H_Janv[[#This Row],[début]],1,0)+H_Janv[[#This Row],[Fin]]</f>
        <v>0</v>
      </c>
      <c r="O28" s="31">
        <f>IF(H_Janv[[#This Row],[Fin]]&lt;H_Janv[[#This Row],[début]],MAX(0,MIN(H_Janv[[#This Row],[Fin corrigée si nuit]],fin_nuit)-MAX(H_Janv[[#This Row],[début]],deb_nuit))*24,(MAX(deb_nuit,H_Janv[[#This Row],[Fin]])-MAX(deb_nuit,H_Janv[[#This Row],[début]])+MAX(MIN(fin_nuit-1,H_Janv[[#This Row],[Fin]])-MIN(fin_nuit-1,H_Janv[[#This Row],[début]]),0))*24)</f>
        <v>0</v>
      </c>
      <c r="P28" s="51">
        <f>(MAX(0,MIN(H_Janv[[#This Row],[Fin corrigée si nuit]],fin_nuit)-MAX(H_Janv[[#This Row],[début]],deb_nuit))-IF(H_Janv[[#This Row],[PNP Début]]=0,0,MIN(H_Janv[[#This Row],[PNP Fin corrigée]],fin_nuit)-MAX(H_Janv[[#This Row],[PNP Début corrigé]],deb_nuit)))*24</f>
        <v>0</v>
      </c>
      <c r="Q28" s="51">
        <f>(IF(WEEKDAY(H_Janv[[#This Row],[Date]],2)=7,MAX(0,MIN(fin_dimJF,H_Janv[[#This Row],[Fin corrigée si nuit]])-MAX(deb_dimJF,H_Janv[[#This Row],[début]])),0)+IF(WEEKDAY(H_Janv[[#This Row],[Date]],2)=6,MAX(0,H_Janv[[#This Row],[Fin corrigée si nuit]]-(1+deb_dimJF)),0))*24</f>
        <v>0</v>
      </c>
      <c r="R28"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8" s="51">
        <f>(IF(COUNTIF(JF,H_Janv[[#This Row],[Date]]),MAX(0,MIN(fin_dimJF,H_Janv[[#This Row],[Fin corrigée si nuit]])-MAX(deb_dimJF,H_Janv[[#This Row],[début]])),0)+IF(COUNTIF(JF,H_Janv[[#This Row],[Date]]+1),MAX(0,H_Janv[[#This Row],[Fin corrigée si nuit]]-(1+deb_dimJF)),0))*24</f>
        <v>0</v>
      </c>
      <c r="T28"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29" spans="1:26" ht="14.4" customHeight="1" x14ac:dyDescent="0.3">
      <c r="A29" s="4"/>
      <c r="B29" s="1"/>
      <c r="C29" s="2"/>
      <c r="D29" s="2"/>
      <c r="E29" s="3"/>
      <c r="F29" s="3"/>
      <c r="G29" s="3"/>
      <c r="H29" s="3"/>
      <c r="I29" s="47">
        <f>0.1*(H_Janv[[#This Row],[Heures de nuit]]+IF(H_Janv[[#This Row],[majoration dim &amp; JF]]="non",0,H_Janv[[#This Row],[heures jour dimanche]]+H_Janv[[#This Row],[heures jour fériés]]))</f>
        <v>0</v>
      </c>
      <c r="J29" s="48">
        <f>(MOD(H_Janv[[#This Row],[Fin]]-H_Janv[[#This Row],[début]],1)-MOD(H_Janv[[#This Row],[PNP Fin]]-H_Janv[[#This Row],[PNP Début]],1))*24</f>
        <v>0</v>
      </c>
      <c r="K29" s="119" t="str">
        <f>IFERROR(VLOOKUP(H_Janv[[#This Row],[Service]],Codes[],4,0),"")</f>
        <v/>
      </c>
      <c r="L29" s="49">
        <f>IF(H_Janv[[#This Row],[PNP Début]]=0,0,IF(H_Janv[[#This Row],[PNP Début]]&lt;H_Janv[[#This Row],[début]],1,0)+H_Janv[[#This Row],[PNP Début]])</f>
        <v>0</v>
      </c>
      <c r="M29" s="50">
        <f>IF(H_Janv[[#This Row],[PNP Fin]]=0,0,IF(H_Janv[[#This Row],[PNP Fin]]&lt;H_Janv[[#This Row],[début]],1,0)+H_Janv[[#This Row],[PNP Fin]])</f>
        <v>0</v>
      </c>
      <c r="N29" s="50">
        <f>IF(H_Janv[[#This Row],[Fin]]&lt;H_Janv[[#This Row],[début]],1,0)+H_Janv[[#This Row],[Fin]]</f>
        <v>0</v>
      </c>
      <c r="O29" s="31">
        <f>IF(H_Janv[[#This Row],[Fin]]&lt;H_Janv[[#This Row],[début]],MAX(0,MIN(H_Janv[[#This Row],[Fin corrigée si nuit]],fin_nuit)-MAX(H_Janv[[#This Row],[début]],deb_nuit))*24,(MAX(deb_nuit,H_Janv[[#This Row],[Fin]])-MAX(deb_nuit,H_Janv[[#This Row],[début]])+MAX(MIN(fin_nuit-1,H_Janv[[#This Row],[Fin]])-MIN(fin_nuit-1,H_Janv[[#This Row],[début]]),0))*24)</f>
        <v>0</v>
      </c>
      <c r="P29" s="51">
        <f>(MAX(0,MIN(H_Janv[[#This Row],[Fin corrigée si nuit]],fin_nuit)-MAX(H_Janv[[#This Row],[début]],deb_nuit))-IF(H_Janv[[#This Row],[PNP Début]]=0,0,MIN(H_Janv[[#This Row],[PNP Fin corrigée]],fin_nuit)-MAX(H_Janv[[#This Row],[PNP Début corrigé]],deb_nuit)))*24</f>
        <v>0</v>
      </c>
      <c r="Q29" s="51">
        <f>(IF(WEEKDAY(H_Janv[[#This Row],[Date]],2)=7,MAX(0,MIN(fin_dimJF,H_Janv[[#This Row],[Fin corrigée si nuit]])-MAX(deb_dimJF,H_Janv[[#This Row],[début]])),0)+IF(WEEKDAY(H_Janv[[#This Row],[Date]],2)=6,MAX(0,H_Janv[[#This Row],[Fin corrigée si nuit]]-(1+deb_dimJF)),0))*24</f>
        <v>0</v>
      </c>
      <c r="R29"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29" s="51">
        <f>(IF(COUNTIF(JF,H_Janv[[#This Row],[Date]]),MAX(0,MIN(fin_dimJF,H_Janv[[#This Row],[Fin corrigée si nuit]])-MAX(deb_dimJF,H_Janv[[#This Row],[début]])),0)+IF(COUNTIF(JF,H_Janv[[#This Row],[Date]]+1),MAX(0,H_Janv[[#This Row],[Fin corrigée si nuit]]-(1+deb_dimJF)),0))*24</f>
        <v>0</v>
      </c>
      <c r="T29"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0" spans="1:26" ht="14.4" customHeight="1" x14ac:dyDescent="0.3">
      <c r="A30" s="4"/>
      <c r="B30" s="1"/>
      <c r="C30" s="2"/>
      <c r="D30" s="2"/>
      <c r="E30" s="3"/>
      <c r="F30" s="3"/>
      <c r="G30" s="3"/>
      <c r="H30" s="3"/>
      <c r="I30" s="47">
        <f>0.1*(H_Janv[[#This Row],[Heures de nuit]]+IF(H_Janv[[#This Row],[majoration dim &amp; JF]]="non",0,H_Janv[[#This Row],[heures jour dimanche]]+H_Janv[[#This Row],[heures jour fériés]]))</f>
        <v>0</v>
      </c>
      <c r="J30" s="48">
        <f>(MOD(H_Janv[[#This Row],[Fin]]-H_Janv[[#This Row],[début]],1)-MOD(H_Janv[[#This Row],[PNP Fin]]-H_Janv[[#This Row],[PNP Début]],1))*24</f>
        <v>0</v>
      </c>
      <c r="K30" s="119" t="str">
        <f>IFERROR(VLOOKUP(H_Janv[[#This Row],[Service]],Codes[],4,0),"")</f>
        <v/>
      </c>
      <c r="L30" s="49">
        <f>IF(H_Janv[[#This Row],[PNP Début]]=0,0,IF(H_Janv[[#This Row],[PNP Début]]&lt;H_Janv[[#This Row],[début]],1,0)+H_Janv[[#This Row],[PNP Début]])</f>
        <v>0</v>
      </c>
      <c r="M30" s="50">
        <f>IF(H_Janv[[#This Row],[PNP Fin]]=0,0,IF(H_Janv[[#This Row],[PNP Fin]]&lt;H_Janv[[#This Row],[début]],1,0)+H_Janv[[#This Row],[PNP Fin]])</f>
        <v>0</v>
      </c>
      <c r="N30" s="50">
        <f>IF(H_Janv[[#This Row],[Fin]]&lt;H_Janv[[#This Row],[début]],1,0)+H_Janv[[#This Row],[Fin]]</f>
        <v>0</v>
      </c>
      <c r="O30" s="31">
        <f>IF(H_Janv[[#This Row],[Fin]]&lt;H_Janv[[#This Row],[début]],MAX(0,MIN(H_Janv[[#This Row],[Fin corrigée si nuit]],fin_nuit)-MAX(H_Janv[[#This Row],[début]],deb_nuit))*24,(MAX(deb_nuit,H_Janv[[#This Row],[Fin]])-MAX(deb_nuit,H_Janv[[#This Row],[début]])+MAX(MIN(fin_nuit-1,H_Janv[[#This Row],[Fin]])-MIN(fin_nuit-1,H_Janv[[#This Row],[début]]),0))*24)</f>
        <v>0</v>
      </c>
      <c r="P30" s="51">
        <f>(MAX(0,MIN(H_Janv[[#This Row],[Fin corrigée si nuit]],fin_nuit)-MAX(H_Janv[[#This Row],[début]],deb_nuit))-IF(H_Janv[[#This Row],[PNP Début]]=0,0,MIN(H_Janv[[#This Row],[PNP Fin corrigée]],fin_nuit)-MAX(H_Janv[[#This Row],[PNP Début corrigé]],deb_nuit)))*24</f>
        <v>0</v>
      </c>
      <c r="Q30" s="51">
        <f>(IF(WEEKDAY(H_Janv[[#This Row],[Date]],2)=7,MAX(0,MIN(fin_dimJF,H_Janv[[#This Row],[Fin corrigée si nuit]])-MAX(deb_dimJF,H_Janv[[#This Row],[début]])),0)+IF(WEEKDAY(H_Janv[[#This Row],[Date]],2)=6,MAX(0,H_Janv[[#This Row],[Fin corrigée si nuit]]-(1+deb_dimJF)),0))*24</f>
        <v>0</v>
      </c>
      <c r="R30"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0" s="51">
        <f>(IF(COUNTIF(JF,H_Janv[[#This Row],[Date]]),MAX(0,MIN(fin_dimJF,H_Janv[[#This Row],[Fin corrigée si nuit]])-MAX(deb_dimJF,H_Janv[[#This Row],[début]])),0)+IF(COUNTIF(JF,H_Janv[[#This Row],[Date]]+1),MAX(0,H_Janv[[#This Row],[Fin corrigée si nuit]]-(1+deb_dimJF)),0))*24</f>
        <v>0</v>
      </c>
      <c r="T30"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1" spans="1:26" ht="14.4" customHeight="1" x14ac:dyDescent="0.3">
      <c r="A31" s="4"/>
      <c r="B31" s="1"/>
      <c r="C31" s="2"/>
      <c r="D31" s="2"/>
      <c r="E31" s="3"/>
      <c r="F31" s="3"/>
      <c r="G31" s="3"/>
      <c r="H31" s="3"/>
      <c r="I31" s="47">
        <f>0.1*(H_Janv[[#This Row],[Heures de nuit]]+IF(H_Janv[[#This Row],[majoration dim &amp; JF]]="non",0,H_Janv[[#This Row],[heures jour dimanche]]+H_Janv[[#This Row],[heures jour fériés]]))</f>
        <v>0</v>
      </c>
      <c r="J31" s="48">
        <f>(MOD(H_Janv[[#This Row],[Fin]]-H_Janv[[#This Row],[début]],1)-MOD(H_Janv[[#This Row],[PNP Fin]]-H_Janv[[#This Row],[PNP Début]],1))*24</f>
        <v>0</v>
      </c>
      <c r="K31" s="119" t="str">
        <f>IFERROR(VLOOKUP(H_Janv[[#This Row],[Service]],Codes[],4,0),"")</f>
        <v/>
      </c>
      <c r="L31" s="49">
        <f>IF(H_Janv[[#This Row],[PNP Début]]=0,0,IF(H_Janv[[#This Row],[PNP Début]]&lt;H_Janv[[#This Row],[début]],1,0)+H_Janv[[#This Row],[PNP Début]])</f>
        <v>0</v>
      </c>
      <c r="M31" s="50">
        <f>IF(H_Janv[[#This Row],[PNP Fin]]=0,0,IF(H_Janv[[#This Row],[PNP Fin]]&lt;H_Janv[[#This Row],[début]],1,0)+H_Janv[[#This Row],[PNP Fin]])</f>
        <v>0</v>
      </c>
      <c r="N31" s="50">
        <f>IF(H_Janv[[#This Row],[Fin]]&lt;H_Janv[[#This Row],[début]],1,0)+H_Janv[[#This Row],[Fin]]</f>
        <v>0</v>
      </c>
      <c r="O31" s="31">
        <f>IF(H_Janv[[#This Row],[Fin]]&lt;H_Janv[[#This Row],[début]],MAX(0,MIN(H_Janv[[#This Row],[Fin corrigée si nuit]],fin_nuit)-MAX(H_Janv[[#This Row],[début]],deb_nuit))*24,(MAX(deb_nuit,H_Janv[[#This Row],[Fin]])-MAX(deb_nuit,H_Janv[[#This Row],[début]])+MAX(MIN(fin_nuit-1,H_Janv[[#This Row],[Fin]])-MIN(fin_nuit-1,H_Janv[[#This Row],[début]]),0))*24)</f>
        <v>0</v>
      </c>
      <c r="P31" s="51">
        <f>(MAX(0,MIN(H_Janv[[#This Row],[Fin corrigée si nuit]],fin_nuit)-MAX(H_Janv[[#This Row],[début]],deb_nuit))-IF(H_Janv[[#This Row],[PNP Début]]=0,0,MIN(H_Janv[[#This Row],[PNP Fin corrigée]],fin_nuit)-MAX(H_Janv[[#This Row],[PNP Début corrigé]],deb_nuit)))*24</f>
        <v>0</v>
      </c>
      <c r="Q31" s="51">
        <f>(IF(WEEKDAY(H_Janv[[#This Row],[Date]],2)=7,MAX(0,MIN(fin_dimJF,H_Janv[[#This Row],[Fin corrigée si nuit]])-MAX(deb_dimJF,H_Janv[[#This Row],[début]])),0)+IF(WEEKDAY(H_Janv[[#This Row],[Date]],2)=6,MAX(0,H_Janv[[#This Row],[Fin corrigée si nuit]]-(1+deb_dimJF)),0))*24</f>
        <v>0</v>
      </c>
      <c r="R31"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1" s="51">
        <f>(IF(COUNTIF(JF,H_Janv[[#This Row],[Date]]),MAX(0,MIN(fin_dimJF,H_Janv[[#This Row],[Fin corrigée si nuit]])-MAX(deb_dimJF,H_Janv[[#This Row],[début]])),0)+IF(COUNTIF(JF,H_Janv[[#This Row],[Date]]+1),MAX(0,H_Janv[[#This Row],[Fin corrigée si nuit]]-(1+deb_dimJF)),0))*24</f>
        <v>0</v>
      </c>
      <c r="T31"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2" spans="1:26" ht="14.55" customHeight="1" x14ac:dyDescent="0.3">
      <c r="A32" s="4"/>
      <c r="B32" s="1"/>
      <c r="C32" s="2"/>
      <c r="D32" s="2"/>
      <c r="E32" s="3"/>
      <c r="F32" s="3"/>
      <c r="G32" s="3"/>
      <c r="H32" s="3"/>
      <c r="I32" s="47">
        <f>0.1*(H_Janv[[#This Row],[Heures de nuit]]+IF(H_Janv[[#This Row],[majoration dim &amp; JF]]="non",0,H_Janv[[#This Row],[heures jour dimanche]]+H_Janv[[#This Row],[heures jour fériés]]))</f>
        <v>0</v>
      </c>
      <c r="J32" s="48">
        <f>(MOD(H_Janv[[#This Row],[Fin]]-H_Janv[[#This Row],[début]],1)-MOD(H_Janv[[#This Row],[PNP Fin]]-H_Janv[[#This Row],[PNP Début]],1))*24</f>
        <v>0</v>
      </c>
      <c r="K32" s="119" t="str">
        <f>IFERROR(VLOOKUP(H_Janv[[#This Row],[Service]],Codes[],4,0),"")</f>
        <v/>
      </c>
      <c r="L32" s="49">
        <f>IF(H_Janv[[#This Row],[PNP Début]]=0,0,IF(H_Janv[[#This Row],[PNP Début]]&lt;H_Janv[[#This Row],[début]],1,0)+H_Janv[[#This Row],[PNP Début]])</f>
        <v>0</v>
      </c>
      <c r="M32" s="50">
        <f>IF(H_Janv[[#This Row],[PNP Fin]]=0,0,IF(H_Janv[[#This Row],[PNP Fin]]&lt;H_Janv[[#This Row],[début]],1,0)+H_Janv[[#This Row],[PNP Fin]])</f>
        <v>0</v>
      </c>
      <c r="N32" s="50">
        <f>IF(H_Janv[[#This Row],[Fin]]&lt;H_Janv[[#This Row],[début]],1,0)+H_Janv[[#This Row],[Fin]]</f>
        <v>0</v>
      </c>
      <c r="O32" s="31">
        <f>IF(H_Janv[[#This Row],[Fin]]&lt;H_Janv[[#This Row],[début]],MAX(0,MIN(H_Janv[[#This Row],[Fin corrigée si nuit]],fin_nuit)-MAX(H_Janv[[#This Row],[début]],deb_nuit))*24,(MAX(deb_nuit,H_Janv[[#This Row],[Fin]])-MAX(deb_nuit,H_Janv[[#This Row],[début]])+MAX(MIN(fin_nuit-1,H_Janv[[#This Row],[Fin]])-MIN(fin_nuit-1,H_Janv[[#This Row],[début]]),0))*24)</f>
        <v>0</v>
      </c>
      <c r="P32" s="51">
        <f>(MAX(0,MIN(H_Janv[[#This Row],[Fin corrigée si nuit]],fin_nuit)-MAX(H_Janv[[#This Row],[début]],deb_nuit))-IF(H_Janv[[#This Row],[PNP Début]]=0,0,MIN(H_Janv[[#This Row],[PNP Fin corrigée]],fin_nuit)-MAX(H_Janv[[#This Row],[PNP Début corrigé]],deb_nuit)))*24</f>
        <v>0</v>
      </c>
      <c r="Q32" s="51">
        <f>(IF(WEEKDAY(H_Janv[[#This Row],[Date]],2)=7,MAX(0,MIN(fin_dimJF,H_Janv[[#This Row],[Fin corrigée si nuit]])-MAX(deb_dimJF,H_Janv[[#This Row],[début]])),0)+IF(WEEKDAY(H_Janv[[#This Row],[Date]],2)=6,MAX(0,H_Janv[[#This Row],[Fin corrigée si nuit]]-(1+deb_dimJF)),0))*24</f>
        <v>0</v>
      </c>
      <c r="R32"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2" s="51">
        <f>(IF(COUNTIF(JF,H_Janv[[#This Row],[Date]]),MAX(0,MIN(fin_dimJF,H_Janv[[#This Row],[Fin corrigée si nuit]])-MAX(deb_dimJF,H_Janv[[#This Row],[début]])),0)+IF(COUNTIF(JF,H_Janv[[#This Row],[Date]]+1),MAX(0,H_Janv[[#This Row],[Fin corrigée si nuit]]-(1+deb_dimJF)),0))*24</f>
        <v>0</v>
      </c>
      <c r="T32"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3" spans="1:20" x14ac:dyDescent="0.3">
      <c r="A33" s="4"/>
      <c r="B33" s="1"/>
      <c r="C33" s="2"/>
      <c r="D33" s="2"/>
      <c r="E33" s="3"/>
      <c r="F33" s="3"/>
      <c r="G33" s="3"/>
      <c r="H33" s="3"/>
      <c r="I33" s="47">
        <f>0.1*(H_Janv[[#This Row],[Heures de nuit]]+IF(H_Janv[[#This Row],[majoration dim &amp; JF]]="non",0,H_Janv[[#This Row],[heures jour dimanche]]+H_Janv[[#This Row],[heures jour fériés]]))</f>
        <v>0</v>
      </c>
      <c r="J33" s="48">
        <f>(MOD(H_Janv[[#This Row],[Fin]]-H_Janv[[#This Row],[début]],1)-MOD(H_Janv[[#This Row],[PNP Fin]]-H_Janv[[#This Row],[PNP Début]],1))*24</f>
        <v>0</v>
      </c>
      <c r="K33" s="119" t="str">
        <f>IFERROR(VLOOKUP(H_Janv[[#This Row],[Service]],Codes[],4,0),"")</f>
        <v/>
      </c>
      <c r="L33" s="49">
        <f>IF(H_Janv[[#This Row],[PNP Début]]=0,0,IF(H_Janv[[#This Row],[PNP Début]]&lt;H_Janv[[#This Row],[début]],1,0)+H_Janv[[#This Row],[PNP Début]])</f>
        <v>0</v>
      </c>
      <c r="M33" s="50">
        <f>IF(H_Janv[[#This Row],[PNP Fin]]=0,0,IF(H_Janv[[#This Row],[PNP Fin]]&lt;H_Janv[[#This Row],[début]],1,0)+H_Janv[[#This Row],[PNP Fin]])</f>
        <v>0</v>
      </c>
      <c r="N33" s="50">
        <f>IF(H_Janv[[#This Row],[Fin]]&lt;H_Janv[[#This Row],[début]],1,0)+H_Janv[[#This Row],[Fin]]</f>
        <v>0</v>
      </c>
      <c r="O33" s="31">
        <f>IF(H_Janv[[#This Row],[Fin]]&lt;H_Janv[[#This Row],[début]],MAX(0,MIN(H_Janv[[#This Row],[Fin corrigée si nuit]],fin_nuit)-MAX(H_Janv[[#This Row],[début]],deb_nuit))*24,(MAX(deb_nuit,H_Janv[[#This Row],[Fin]])-MAX(deb_nuit,H_Janv[[#This Row],[début]])+MAX(MIN(fin_nuit-1,H_Janv[[#This Row],[Fin]])-MIN(fin_nuit-1,H_Janv[[#This Row],[début]]),0))*24)</f>
        <v>0</v>
      </c>
      <c r="P33" s="51">
        <f>(MAX(0,MIN(H_Janv[[#This Row],[Fin corrigée si nuit]],fin_nuit)-MAX(H_Janv[[#This Row],[début]],deb_nuit))-IF(H_Janv[[#This Row],[PNP Début]]=0,0,MIN(H_Janv[[#This Row],[PNP Fin corrigée]],fin_nuit)-MAX(H_Janv[[#This Row],[PNP Début corrigé]],deb_nuit)))*24</f>
        <v>0</v>
      </c>
      <c r="Q33" s="51">
        <f>(IF(WEEKDAY(H_Janv[[#This Row],[Date]],2)=7,MAX(0,MIN(fin_dimJF,H_Janv[[#This Row],[Fin corrigée si nuit]])-MAX(deb_dimJF,H_Janv[[#This Row],[début]])),0)+IF(WEEKDAY(H_Janv[[#This Row],[Date]],2)=6,MAX(0,H_Janv[[#This Row],[Fin corrigée si nuit]]-(1+deb_dimJF)),0))*24</f>
        <v>0</v>
      </c>
      <c r="R33"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3" s="51">
        <f>(IF(COUNTIF(JF,H_Janv[[#This Row],[Date]]),MAX(0,MIN(fin_dimJF,H_Janv[[#This Row],[Fin corrigée si nuit]])-MAX(deb_dimJF,H_Janv[[#This Row],[début]])),0)+IF(COUNTIF(JF,H_Janv[[#This Row],[Date]]+1),MAX(0,H_Janv[[#This Row],[Fin corrigée si nuit]]-(1+deb_dimJF)),0))*24</f>
        <v>0</v>
      </c>
      <c r="T33"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4" spans="1:20" x14ac:dyDescent="0.3">
      <c r="A34" s="4"/>
      <c r="B34" s="1"/>
      <c r="C34" s="2"/>
      <c r="D34" s="2"/>
      <c r="E34" s="3"/>
      <c r="F34" s="3"/>
      <c r="G34" s="3"/>
      <c r="H34" s="3"/>
      <c r="I34" s="47">
        <f>0.1*(H_Janv[[#This Row],[Heures de nuit]]+IF(H_Janv[[#This Row],[majoration dim &amp; JF]]="non",0,H_Janv[[#This Row],[heures jour dimanche]]+H_Janv[[#This Row],[heures jour fériés]]))</f>
        <v>0</v>
      </c>
      <c r="J34" s="48">
        <f>(MOD(H_Janv[[#This Row],[Fin]]-H_Janv[[#This Row],[début]],1)-MOD(H_Janv[[#This Row],[PNP Fin]]-H_Janv[[#This Row],[PNP Début]],1))*24</f>
        <v>0</v>
      </c>
      <c r="K34" s="119" t="str">
        <f>IFERROR(VLOOKUP(H_Janv[[#This Row],[Service]],Codes[],4,0),"")</f>
        <v/>
      </c>
      <c r="L34" s="49">
        <f>IF(H_Janv[[#This Row],[PNP Début]]=0,0,IF(H_Janv[[#This Row],[PNP Début]]&lt;H_Janv[[#This Row],[début]],1,0)+H_Janv[[#This Row],[PNP Début]])</f>
        <v>0</v>
      </c>
      <c r="M34" s="50">
        <f>IF(H_Janv[[#This Row],[PNP Fin]]=0,0,IF(H_Janv[[#This Row],[PNP Fin]]&lt;H_Janv[[#This Row],[début]],1,0)+H_Janv[[#This Row],[PNP Fin]])</f>
        <v>0</v>
      </c>
      <c r="N34" s="50">
        <f>IF(H_Janv[[#This Row],[Fin]]&lt;H_Janv[[#This Row],[début]],1,0)+H_Janv[[#This Row],[Fin]]</f>
        <v>0</v>
      </c>
      <c r="O34" s="31">
        <f>IF(H_Janv[[#This Row],[Fin]]&lt;H_Janv[[#This Row],[début]],MAX(0,MIN(H_Janv[[#This Row],[Fin corrigée si nuit]],fin_nuit)-MAX(H_Janv[[#This Row],[début]],deb_nuit))*24,(MAX(deb_nuit,H_Janv[[#This Row],[Fin]])-MAX(deb_nuit,H_Janv[[#This Row],[début]])+MAX(MIN(fin_nuit-1,H_Janv[[#This Row],[Fin]])-MIN(fin_nuit-1,H_Janv[[#This Row],[début]]),0))*24)</f>
        <v>0</v>
      </c>
      <c r="P34" s="51">
        <f>(MAX(0,MIN(H_Janv[[#This Row],[Fin corrigée si nuit]],fin_nuit)-MAX(H_Janv[[#This Row],[début]],deb_nuit))-IF(H_Janv[[#This Row],[PNP Début]]=0,0,MIN(H_Janv[[#This Row],[PNP Fin corrigée]],fin_nuit)-MAX(H_Janv[[#This Row],[PNP Début corrigé]],deb_nuit)))*24</f>
        <v>0</v>
      </c>
      <c r="Q34" s="51">
        <f>(IF(WEEKDAY(H_Janv[[#This Row],[Date]],2)=7,MAX(0,MIN(fin_dimJF,H_Janv[[#This Row],[Fin corrigée si nuit]])-MAX(deb_dimJF,H_Janv[[#This Row],[début]])),0)+IF(WEEKDAY(H_Janv[[#This Row],[Date]],2)=6,MAX(0,H_Janv[[#This Row],[Fin corrigée si nuit]]-(1+deb_dimJF)),0))*24</f>
        <v>0</v>
      </c>
      <c r="R34"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4" s="51">
        <f>(IF(COUNTIF(JF,H_Janv[[#This Row],[Date]]),MAX(0,MIN(fin_dimJF,H_Janv[[#This Row],[Fin corrigée si nuit]])-MAX(deb_dimJF,H_Janv[[#This Row],[début]])),0)+IF(COUNTIF(JF,H_Janv[[#This Row],[Date]]+1),MAX(0,H_Janv[[#This Row],[Fin corrigée si nuit]]-(1+deb_dimJF)),0))*24</f>
        <v>0</v>
      </c>
      <c r="T34"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5" spans="1:20" x14ac:dyDescent="0.3">
      <c r="A35" s="4"/>
      <c r="B35" s="1"/>
      <c r="C35" s="2"/>
      <c r="D35" s="2"/>
      <c r="E35" s="3"/>
      <c r="F35" s="3"/>
      <c r="G35" s="3"/>
      <c r="H35" s="3"/>
      <c r="I35" s="47">
        <f>0.1*(H_Janv[[#This Row],[Heures de nuit]]+IF(H_Janv[[#This Row],[majoration dim &amp; JF]]="non",0,H_Janv[[#This Row],[heures jour dimanche]]+H_Janv[[#This Row],[heures jour fériés]]))</f>
        <v>0</v>
      </c>
      <c r="J35" s="48">
        <f>(MOD(H_Janv[[#This Row],[Fin]]-H_Janv[[#This Row],[début]],1)-MOD(H_Janv[[#This Row],[PNP Fin]]-H_Janv[[#This Row],[PNP Début]],1))*24</f>
        <v>0</v>
      </c>
      <c r="K35" s="119" t="str">
        <f>IFERROR(VLOOKUP(H_Janv[[#This Row],[Service]],Codes[],4,0),"")</f>
        <v/>
      </c>
      <c r="L35" s="49">
        <f>IF(H_Janv[[#This Row],[PNP Début]]=0,0,IF(H_Janv[[#This Row],[PNP Début]]&lt;H_Janv[[#This Row],[début]],1,0)+H_Janv[[#This Row],[PNP Début]])</f>
        <v>0</v>
      </c>
      <c r="M35" s="50">
        <f>IF(H_Janv[[#This Row],[PNP Fin]]=0,0,IF(H_Janv[[#This Row],[PNP Fin]]&lt;H_Janv[[#This Row],[début]],1,0)+H_Janv[[#This Row],[PNP Fin]])</f>
        <v>0</v>
      </c>
      <c r="N35" s="50">
        <f>IF(H_Janv[[#This Row],[Fin]]&lt;H_Janv[[#This Row],[début]],1,0)+H_Janv[[#This Row],[Fin]]</f>
        <v>0</v>
      </c>
      <c r="O35" s="31">
        <f>IF(H_Janv[[#This Row],[Fin]]&lt;H_Janv[[#This Row],[début]],MAX(0,MIN(H_Janv[[#This Row],[Fin corrigée si nuit]],fin_nuit)-MAX(H_Janv[[#This Row],[début]],deb_nuit))*24,(MAX(deb_nuit,H_Janv[[#This Row],[Fin]])-MAX(deb_nuit,H_Janv[[#This Row],[début]])+MAX(MIN(fin_nuit-1,H_Janv[[#This Row],[Fin]])-MIN(fin_nuit-1,H_Janv[[#This Row],[début]]),0))*24)</f>
        <v>0</v>
      </c>
      <c r="P35" s="51">
        <f>(MAX(0,MIN(H_Janv[[#This Row],[Fin corrigée si nuit]],fin_nuit)-MAX(H_Janv[[#This Row],[début]],deb_nuit))-IF(H_Janv[[#This Row],[PNP Début]]=0,0,MIN(H_Janv[[#This Row],[PNP Fin corrigée]],fin_nuit)-MAX(H_Janv[[#This Row],[PNP Début corrigé]],deb_nuit)))*24</f>
        <v>0</v>
      </c>
      <c r="Q35" s="51">
        <f>(IF(WEEKDAY(H_Janv[[#This Row],[Date]],2)=7,MAX(0,MIN(fin_dimJF,H_Janv[[#This Row],[Fin corrigée si nuit]])-MAX(deb_dimJF,H_Janv[[#This Row],[début]])),0)+IF(WEEKDAY(H_Janv[[#This Row],[Date]],2)=6,MAX(0,H_Janv[[#This Row],[Fin corrigée si nuit]]-(1+deb_dimJF)),0))*24</f>
        <v>0</v>
      </c>
      <c r="R35"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5" s="51">
        <f>(IF(COUNTIF(JF,H_Janv[[#This Row],[Date]]),MAX(0,MIN(fin_dimJF,H_Janv[[#This Row],[Fin corrigée si nuit]])-MAX(deb_dimJF,H_Janv[[#This Row],[début]])),0)+IF(COUNTIF(JF,H_Janv[[#This Row],[Date]]+1),MAX(0,H_Janv[[#This Row],[Fin corrigée si nuit]]-(1+deb_dimJF)),0))*24</f>
        <v>0</v>
      </c>
      <c r="T35"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6" spans="1:20" x14ac:dyDescent="0.3">
      <c r="A36" s="4"/>
      <c r="B36" s="1"/>
      <c r="C36" s="2"/>
      <c r="D36" s="2"/>
      <c r="E36" s="3"/>
      <c r="F36" s="3"/>
      <c r="G36" s="3"/>
      <c r="H36" s="3"/>
      <c r="I36" s="47">
        <f>0.1*(H_Janv[[#This Row],[Heures de nuit]]+IF(H_Janv[[#This Row],[majoration dim &amp; JF]]="non",0,H_Janv[[#This Row],[heures jour dimanche]]+H_Janv[[#This Row],[heures jour fériés]]))</f>
        <v>0</v>
      </c>
      <c r="J36" s="48">
        <f>(MOD(H_Janv[[#This Row],[Fin]]-H_Janv[[#This Row],[début]],1)-MOD(H_Janv[[#This Row],[PNP Fin]]-H_Janv[[#This Row],[PNP Début]],1))*24</f>
        <v>0</v>
      </c>
      <c r="K36" s="119" t="str">
        <f>IFERROR(VLOOKUP(H_Janv[[#This Row],[Service]],Codes[],4,0),"")</f>
        <v/>
      </c>
      <c r="L36" s="49">
        <f>IF(H_Janv[[#This Row],[PNP Début]]=0,0,IF(H_Janv[[#This Row],[PNP Début]]&lt;H_Janv[[#This Row],[début]],1,0)+H_Janv[[#This Row],[PNP Début]])</f>
        <v>0</v>
      </c>
      <c r="M36" s="50">
        <f>IF(H_Janv[[#This Row],[PNP Fin]]=0,0,IF(H_Janv[[#This Row],[PNP Fin]]&lt;H_Janv[[#This Row],[début]],1,0)+H_Janv[[#This Row],[PNP Fin]])</f>
        <v>0</v>
      </c>
      <c r="N36" s="50">
        <f>IF(H_Janv[[#This Row],[Fin]]&lt;H_Janv[[#This Row],[début]],1,0)+H_Janv[[#This Row],[Fin]]</f>
        <v>0</v>
      </c>
      <c r="O36" s="31">
        <f>IF(H_Janv[[#This Row],[Fin]]&lt;H_Janv[[#This Row],[début]],MAX(0,MIN(H_Janv[[#This Row],[Fin corrigée si nuit]],fin_nuit)-MAX(H_Janv[[#This Row],[début]],deb_nuit))*24,(MAX(deb_nuit,H_Janv[[#This Row],[Fin]])-MAX(deb_nuit,H_Janv[[#This Row],[début]])+MAX(MIN(fin_nuit-1,H_Janv[[#This Row],[Fin]])-MIN(fin_nuit-1,H_Janv[[#This Row],[début]]),0))*24)</f>
        <v>0</v>
      </c>
      <c r="P36" s="51">
        <f>(MAX(0,MIN(H_Janv[[#This Row],[Fin corrigée si nuit]],fin_nuit)-MAX(H_Janv[[#This Row],[début]],deb_nuit))-IF(H_Janv[[#This Row],[PNP Début]]=0,0,MIN(H_Janv[[#This Row],[PNP Fin corrigée]],fin_nuit)-MAX(H_Janv[[#This Row],[PNP Début corrigé]],deb_nuit)))*24</f>
        <v>0</v>
      </c>
      <c r="Q36" s="51">
        <f>(IF(WEEKDAY(H_Janv[[#This Row],[Date]],2)=7,MAX(0,MIN(fin_dimJF,H_Janv[[#This Row],[Fin corrigée si nuit]])-MAX(deb_dimJF,H_Janv[[#This Row],[début]])),0)+IF(WEEKDAY(H_Janv[[#This Row],[Date]],2)=6,MAX(0,H_Janv[[#This Row],[Fin corrigée si nuit]]-(1+deb_dimJF)),0))*24</f>
        <v>0</v>
      </c>
      <c r="R36"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6" s="51">
        <f>(IF(COUNTIF(JF,H_Janv[[#This Row],[Date]]),MAX(0,MIN(fin_dimJF,H_Janv[[#This Row],[Fin corrigée si nuit]])-MAX(deb_dimJF,H_Janv[[#This Row],[début]])),0)+IF(COUNTIF(JF,H_Janv[[#This Row],[Date]]+1),MAX(0,H_Janv[[#This Row],[Fin corrigée si nuit]]-(1+deb_dimJF)),0))*24</f>
        <v>0</v>
      </c>
      <c r="T36"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7" spans="1:20" x14ac:dyDescent="0.3">
      <c r="A37" s="4"/>
      <c r="B37" s="1"/>
      <c r="C37" s="2"/>
      <c r="D37" s="2"/>
      <c r="E37" s="3"/>
      <c r="F37" s="3"/>
      <c r="G37" s="3"/>
      <c r="H37" s="3"/>
      <c r="I37" s="47">
        <f>0.1*(H_Janv[[#This Row],[Heures de nuit]]+IF(H_Janv[[#This Row],[majoration dim &amp; JF]]="non",0,H_Janv[[#This Row],[heures jour dimanche]]+H_Janv[[#This Row],[heures jour fériés]]))</f>
        <v>0</v>
      </c>
      <c r="J37" s="48">
        <f>(MOD(H_Janv[[#This Row],[Fin]]-H_Janv[[#This Row],[début]],1)-MOD(H_Janv[[#This Row],[PNP Fin]]-H_Janv[[#This Row],[PNP Début]],1))*24</f>
        <v>0</v>
      </c>
      <c r="K37" s="119" t="str">
        <f>IFERROR(VLOOKUP(H_Janv[[#This Row],[Service]],Codes[],4,0),"")</f>
        <v/>
      </c>
      <c r="L37" s="49">
        <f>IF(H_Janv[[#This Row],[PNP Début]]=0,0,IF(H_Janv[[#This Row],[PNP Début]]&lt;H_Janv[[#This Row],[début]],1,0)+H_Janv[[#This Row],[PNP Début]])</f>
        <v>0</v>
      </c>
      <c r="M37" s="50">
        <f>IF(H_Janv[[#This Row],[PNP Fin]]=0,0,IF(H_Janv[[#This Row],[PNP Fin]]&lt;H_Janv[[#This Row],[début]],1,0)+H_Janv[[#This Row],[PNP Fin]])</f>
        <v>0</v>
      </c>
      <c r="N37" s="50">
        <f>IF(H_Janv[[#This Row],[Fin]]&lt;H_Janv[[#This Row],[début]],1,0)+H_Janv[[#This Row],[Fin]]</f>
        <v>0</v>
      </c>
      <c r="O37" s="31">
        <f>IF(H_Janv[[#This Row],[Fin]]&lt;H_Janv[[#This Row],[début]],MAX(0,MIN(H_Janv[[#This Row],[Fin corrigée si nuit]],fin_nuit)-MAX(H_Janv[[#This Row],[début]],deb_nuit))*24,(MAX(deb_nuit,H_Janv[[#This Row],[Fin]])-MAX(deb_nuit,H_Janv[[#This Row],[début]])+MAX(MIN(fin_nuit-1,H_Janv[[#This Row],[Fin]])-MIN(fin_nuit-1,H_Janv[[#This Row],[début]]),0))*24)</f>
        <v>0</v>
      </c>
      <c r="P37" s="51">
        <f>(MAX(0,MIN(H_Janv[[#This Row],[Fin corrigée si nuit]],fin_nuit)-MAX(H_Janv[[#This Row],[début]],deb_nuit))-IF(H_Janv[[#This Row],[PNP Début]]=0,0,MIN(H_Janv[[#This Row],[PNP Fin corrigée]],fin_nuit)-MAX(H_Janv[[#This Row],[PNP Début corrigé]],deb_nuit)))*24</f>
        <v>0</v>
      </c>
      <c r="Q37" s="51">
        <f>(IF(WEEKDAY(H_Janv[[#This Row],[Date]],2)=7,MAX(0,MIN(fin_dimJF,H_Janv[[#This Row],[Fin corrigée si nuit]])-MAX(deb_dimJF,H_Janv[[#This Row],[début]])),0)+IF(WEEKDAY(H_Janv[[#This Row],[Date]],2)=6,MAX(0,H_Janv[[#This Row],[Fin corrigée si nuit]]-(1+deb_dimJF)),0))*24</f>
        <v>0</v>
      </c>
      <c r="R37"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7" s="51">
        <f>(IF(COUNTIF(JF,H_Janv[[#This Row],[Date]]),MAX(0,MIN(fin_dimJF,H_Janv[[#This Row],[Fin corrigée si nuit]])-MAX(deb_dimJF,H_Janv[[#This Row],[début]])),0)+IF(COUNTIF(JF,H_Janv[[#This Row],[Date]]+1),MAX(0,H_Janv[[#This Row],[Fin corrigée si nuit]]-(1+deb_dimJF)),0))*24</f>
        <v>0</v>
      </c>
      <c r="T37"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8" spans="1:20" x14ac:dyDescent="0.3">
      <c r="A38" s="4"/>
      <c r="B38" s="1"/>
      <c r="C38" s="2"/>
      <c r="D38" s="2"/>
      <c r="E38" s="3"/>
      <c r="F38" s="3"/>
      <c r="G38" s="3"/>
      <c r="H38" s="3"/>
      <c r="I38" s="47">
        <f>0.1*(H_Janv[[#This Row],[Heures de nuit]]+IF(H_Janv[[#This Row],[majoration dim &amp; JF]]="non",0,H_Janv[[#This Row],[heures jour dimanche]]+H_Janv[[#This Row],[heures jour fériés]]))</f>
        <v>0</v>
      </c>
      <c r="J38" s="48">
        <f>(MOD(H_Janv[[#This Row],[Fin]]-H_Janv[[#This Row],[début]],1)-MOD(H_Janv[[#This Row],[PNP Fin]]-H_Janv[[#This Row],[PNP Début]],1))*24</f>
        <v>0</v>
      </c>
      <c r="K38" s="119" t="str">
        <f>IFERROR(VLOOKUP(H_Janv[[#This Row],[Service]],Codes[],4,0),"")</f>
        <v/>
      </c>
      <c r="L38" s="49">
        <f>IF(H_Janv[[#This Row],[PNP Début]]=0,0,IF(H_Janv[[#This Row],[PNP Début]]&lt;H_Janv[[#This Row],[début]],1,0)+H_Janv[[#This Row],[PNP Début]])</f>
        <v>0</v>
      </c>
      <c r="M38" s="50">
        <f>IF(H_Janv[[#This Row],[PNP Fin]]=0,0,IF(H_Janv[[#This Row],[PNP Fin]]&lt;H_Janv[[#This Row],[début]],1,0)+H_Janv[[#This Row],[PNP Fin]])</f>
        <v>0</v>
      </c>
      <c r="N38" s="50">
        <f>IF(H_Janv[[#This Row],[Fin]]&lt;H_Janv[[#This Row],[début]],1,0)+H_Janv[[#This Row],[Fin]]</f>
        <v>0</v>
      </c>
      <c r="O38" s="31">
        <f>IF(H_Janv[[#This Row],[Fin]]&lt;H_Janv[[#This Row],[début]],MAX(0,MIN(H_Janv[[#This Row],[Fin corrigée si nuit]],fin_nuit)-MAX(H_Janv[[#This Row],[début]],deb_nuit))*24,(MAX(deb_nuit,H_Janv[[#This Row],[Fin]])-MAX(deb_nuit,H_Janv[[#This Row],[début]])+MAX(MIN(fin_nuit-1,H_Janv[[#This Row],[Fin]])-MIN(fin_nuit-1,H_Janv[[#This Row],[début]]),0))*24)</f>
        <v>0</v>
      </c>
      <c r="P38" s="51">
        <f>(MAX(0,MIN(H_Janv[[#This Row],[Fin corrigée si nuit]],fin_nuit)-MAX(H_Janv[[#This Row],[début]],deb_nuit))-IF(H_Janv[[#This Row],[PNP Début]]=0,0,MIN(H_Janv[[#This Row],[PNP Fin corrigée]],fin_nuit)-MAX(H_Janv[[#This Row],[PNP Début corrigé]],deb_nuit)))*24</f>
        <v>0</v>
      </c>
      <c r="Q38" s="51">
        <f>(IF(WEEKDAY(H_Janv[[#This Row],[Date]],2)=7,MAX(0,MIN(fin_dimJF,H_Janv[[#This Row],[Fin corrigée si nuit]])-MAX(deb_dimJF,H_Janv[[#This Row],[début]])),0)+IF(WEEKDAY(H_Janv[[#This Row],[Date]],2)=6,MAX(0,H_Janv[[#This Row],[Fin corrigée si nuit]]-(1+deb_dimJF)),0))*24</f>
        <v>0</v>
      </c>
      <c r="R38"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8" s="51">
        <f>(IF(COUNTIF(JF,H_Janv[[#This Row],[Date]]),MAX(0,MIN(fin_dimJF,H_Janv[[#This Row],[Fin corrigée si nuit]])-MAX(deb_dimJF,H_Janv[[#This Row],[début]])),0)+IF(COUNTIF(JF,H_Janv[[#This Row],[Date]]+1),MAX(0,H_Janv[[#This Row],[Fin corrigée si nuit]]-(1+deb_dimJF)),0))*24</f>
        <v>0</v>
      </c>
      <c r="T38"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39" spans="1:20" x14ac:dyDescent="0.3">
      <c r="A39" s="4"/>
      <c r="B39" s="1"/>
      <c r="C39" s="2"/>
      <c r="D39" s="2"/>
      <c r="E39" s="3"/>
      <c r="F39" s="3"/>
      <c r="G39" s="3"/>
      <c r="H39" s="3"/>
      <c r="I39" s="47">
        <f>0.1*(H_Janv[[#This Row],[Heures de nuit]]+IF(H_Janv[[#This Row],[majoration dim &amp; JF]]="non",0,H_Janv[[#This Row],[heures jour dimanche]]+H_Janv[[#This Row],[heures jour fériés]]))</f>
        <v>0</v>
      </c>
      <c r="J39" s="48">
        <f>(MOD(H_Janv[[#This Row],[Fin]]-H_Janv[[#This Row],[début]],1)-MOD(H_Janv[[#This Row],[PNP Fin]]-H_Janv[[#This Row],[PNP Début]],1))*24</f>
        <v>0</v>
      </c>
      <c r="K39" s="119" t="str">
        <f>IFERROR(VLOOKUP(H_Janv[[#This Row],[Service]],Codes[],4,0),"")</f>
        <v/>
      </c>
      <c r="L39" s="49">
        <f>IF(H_Janv[[#This Row],[PNP Début]]=0,0,IF(H_Janv[[#This Row],[PNP Début]]&lt;H_Janv[[#This Row],[début]],1,0)+H_Janv[[#This Row],[PNP Début]])</f>
        <v>0</v>
      </c>
      <c r="M39" s="50">
        <f>IF(H_Janv[[#This Row],[PNP Fin]]=0,0,IF(H_Janv[[#This Row],[PNP Fin]]&lt;H_Janv[[#This Row],[début]],1,0)+H_Janv[[#This Row],[PNP Fin]])</f>
        <v>0</v>
      </c>
      <c r="N39" s="50">
        <f>IF(H_Janv[[#This Row],[Fin]]&lt;H_Janv[[#This Row],[début]],1,0)+H_Janv[[#This Row],[Fin]]</f>
        <v>0</v>
      </c>
      <c r="O39" s="31">
        <f>IF(H_Janv[[#This Row],[Fin]]&lt;H_Janv[[#This Row],[début]],MAX(0,MIN(H_Janv[[#This Row],[Fin corrigée si nuit]],fin_nuit)-MAX(H_Janv[[#This Row],[début]],deb_nuit))*24,(MAX(deb_nuit,H_Janv[[#This Row],[Fin]])-MAX(deb_nuit,H_Janv[[#This Row],[début]])+MAX(MIN(fin_nuit-1,H_Janv[[#This Row],[Fin]])-MIN(fin_nuit-1,H_Janv[[#This Row],[début]]),0))*24)</f>
        <v>0</v>
      </c>
      <c r="P39" s="51">
        <f>(MAX(0,MIN(H_Janv[[#This Row],[Fin corrigée si nuit]],fin_nuit)-MAX(H_Janv[[#This Row],[début]],deb_nuit))-IF(H_Janv[[#This Row],[PNP Début]]=0,0,MIN(H_Janv[[#This Row],[PNP Fin corrigée]],fin_nuit)-MAX(H_Janv[[#This Row],[PNP Début corrigé]],deb_nuit)))*24</f>
        <v>0</v>
      </c>
      <c r="Q39" s="51">
        <f>(IF(WEEKDAY(H_Janv[[#This Row],[Date]],2)=7,MAX(0,MIN(fin_dimJF,H_Janv[[#This Row],[Fin corrigée si nuit]])-MAX(deb_dimJF,H_Janv[[#This Row],[début]])),0)+IF(WEEKDAY(H_Janv[[#This Row],[Date]],2)=6,MAX(0,H_Janv[[#This Row],[Fin corrigée si nuit]]-(1+deb_dimJF)),0))*24</f>
        <v>0</v>
      </c>
      <c r="R39"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39" s="51">
        <f>(IF(COUNTIF(JF,H_Janv[[#This Row],[Date]]),MAX(0,MIN(fin_dimJF,H_Janv[[#This Row],[Fin corrigée si nuit]])-MAX(deb_dimJF,H_Janv[[#This Row],[début]])),0)+IF(COUNTIF(JF,H_Janv[[#This Row],[Date]]+1),MAX(0,H_Janv[[#This Row],[Fin corrigée si nuit]]-(1+deb_dimJF)),0))*24</f>
        <v>0</v>
      </c>
      <c r="T39"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0" spans="1:20" x14ac:dyDescent="0.3">
      <c r="A40" s="4"/>
      <c r="B40" s="1"/>
      <c r="C40" s="2"/>
      <c r="D40" s="2"/>
      <c r="E40" s="3"/>
      <c r="F40" s="3"/>
      <c r="G40" s="3"/>
      <c r="H40" s="3"/>
      <c r="I40" s="47">
        <f>0.1*(H_Janv[[#This Row],[Heures de nuit]]+IF(H_Janv[[#This Row],[majoration dim &amp; JF]]="non",0,H_Janv[[#This Row],[heures jour dimanche]]+H_Janv[[#This Row],[heures jour fériés]]))</f>
        <v>0</v>
      </c>
      <c r="J40" s="48">
        <f>(MOD(H_Janv[[#This Row],[Fin]]-H_Janv[[#This Row],[début]],1)-MOD(H_Janv[[#This Row],[PNP Fin]]-H_Janv[[#This Row],[PNP Début]],1))*24</f>
        <v>0</v>
      </c>
      <c r="K40" s="119" t="str">
        <f>IFERROR(VLOOKUP(H_Janv[[#This Row],[Service]],Codes[],4,0),"")</f>
        <v/>
      </c>
      <c r="L40" s="49">
        <f>IF(H_Janv[[#This Row],[PNP Début]]=0,0,IF(H_Janv[[#This Row],[PNP Début]]&lt;H_Janv[[#This Row],[début]],1,0)+H_Janv[[#This Row],[PNP Début]])</f>
        <v>0</v>
      </c>
      <c r="M40" s="50">
        <f>IF(H_Janv[[#This Row],[PNP Fin]]=0,0,IF(H_Janv[[#This Row],[PNP Fin]]&lt;H_Janv[[#This Row],[début]],1,0)+H_Janv[[#This Row],[PNP Fin]])</f>
        <v>0</v>
      </c>
      <c r="N40" s="50">
        <f>IF(H_Janv[[#This Row],[Fin]]&lt;H_Janv[[#This Row],[début]],1,0)+H_Janv[[#This Row],[Fin]]</f>
        <v>0</v>
      </c>
      <c r="O40" s="31">
        <f>IF(H_Janv[[#This Row],[Fin]]&lt;H_Janv[[#This Row],[début]],MAX(0,MIN(H_Janv[[#This Row],[Fin corrigée si nuit]],fin_nuit)-MAX(H_Janv[[#This Row],[début]],deb_nuit))*24,(MAX(deb_nuit,H_Janv[[#This Row],[Fin]])-MAX(deb_nuit,H_Janv[[#This Row],[début]])+MAX(MIN(fin_nuit-1,H_Janv[[#This Row],[Fin]])-MIN(fin_nuit-1,H_Janv[[#This Row],[début]]),0))*24)</f>
        <v>0</v>
      </c>
      <c r="P40" s="51">
        <f>(MAX(0,MIN(H_Janv[[#This Row],[Fin corrigée si nuit]],fin_nuit)-MAX(H_Janv[[#This Row],[début]],deb_nuit))-IF(H_Janv[[#This Row],[PNP Début]]=0,0,MIN(H_Janv[[#This Row],[PNP Fin corrigée]],fin_nuit)-MAX(H_Janv[[#This Row],[PNP Début corrigé]],deb_nuit)))*24</f>
        <v>0</v>
      </c>
      <c r="Q40" s="51">
        <f>(IF(WEEKDAY(H_Janv[[#This Row],[Date]],2)=7,MAX(0,MIN(fin_dimJF,H_Janv[[#This Row],[Fin corrigée si nuit]])-MAX(deb_dimJF,H_Janv[[#This Row],[début]])),0)+IF(WEEKDAY(H_Janv[[#This Row],[Date]],2)=6,MAX(0,H_Janv[[#This Row],[Fin corrigée si nuit]]-(1+deb_dimJF)),0))*24</f>
        <v>0</v>
      </c>
      <c r="R40"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0" s="51">
        <f>(IF(COUNTIF(JF,H_Janv[[#This Row],[Date]]),MAX(0,MIN(fin_dimJF,H_Janv[[#This Row],[Fin corrigée si nuit]])-MAX(deb_dimJF,H_Janv[[#This Row],[début]])),0)+IF(COUNTIF(JF,H_Janv[[#This Row],[Date]]+1),MAX(0,H_Janv[[#This Row],[Fin corrigée si nuit]]-(1+deb_dimJF)),0))*24</f>
        <v>0</v>
      </c>
      <c r="T40"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1" spans="1:20" x14ac:dyDescent="0.3">
      <c r="A41" s="4"/>
      <c r="B41" s="1"/>
      <c r="C41" s="2"/>
      <c r="D41" s="2"/>
      <c r="E41" s="3"/>
      <c r="F41" s="3"/>
      <c r="G41" s="3"/>
      <c r="H41" s="3"/>
      <c r="I41" s="47">
        <f>0.1*(H_Janv[[#This Row],[Heures de nuit]]+IF(H_Janv[[#This Row],[majoration dim &amp; JF]]="non",0,H_Janv[[#This Row],[heures jour dimanche]]+H_Janv[[#This Row],[heures jour fériés]]))</f>
        <v>0</v>
      </c>
      <c r="J41" s="48">
        <f>(MOD(H_Janv[[#This Row],[Fin]]-H_Janv[[#This Row],[début]],1)-MOD(H_Janv[[#This Row],[PNP Fin]]-H_Janv[[#This Row],[PNP Début]],1))*24</f>
        <v>0</v>
      </c>
      <c r="K41" s="119" t="str">
        <f>IFERROR(VLOOKUP(H_Janv[[#This Row],[Service]],Codes[],4,0),"")</f>
        <v/>
      </c>
      <c r="L41" s="49">
        <f>IF(H_Janv[[#This Row],[PNP Début]]=0,0,IF(H_Janv[[#This Row],[PNP Début]]&lt;H_Janv[[#This Row],[début]],1,0)+H_Janv[[#This Row],[PNP Début]])</f>
        <v>0</v>
      </c>
      <c r="M41" s="50">
        <f>IF(H_Janv[[#This Row],[PNP Fin]]=0,0,IF(H_Janv[[#This Row],[PNP Fin]]&lt;H_Janv[[#This Row],[début]],1,0)+H_Janv[[#This Row],[PNP Fin]])</f>
        <v>0</v>
      </c>
      <c r="N41" s="50">
        <f>IF(H_Janv[[#This Row],[Fin]]&lt;H_Janv[[#This Row],[début]],1,0)+H_Janv[[#This Row],[Fin]]</f>
        <v>0</v>
      </c>
      <c r="O41" s="31">
        <f>IF(H_Janv[[#This Row],[Fin]]&lt;H_Janv[[#This Row],[début]],MAX(0,MIN(H_Janv[[#This Row],[Fin corrigée si nuit]],fin_nuit)-MAX(H_Janv[[#This Row],[début]],deb_nuit))*24,(MAX(deb_nuit,H_Janv[[#This Row],[Fin]])-MAX(deb_nuit,H_Janv[[#This Row],[début]])+MAX(MIN(fin_nuit-1,H_Janv[[#This Row],[Fin]])-MIN(fin_nuit-1,H_Janv[[#This Row],[début]]),0))*24)</f>
        <v>0</v>
      </c>
      <c r="P41" s="51">
        <f>(MAX(0,MIN(H_Janv[[#This Row],[Fin corrigée si nuit]],fin_nuit)-MAX(H_Janv[[#This Row],[début]],deb_nuit))-IF(H_Janv[[#This Row],[PNP Début]]=0,0,MIN(H_Janv[[#This Row],[PNP Fin corrigée]],fin_nuit)-MAX(H_Janv[[#This Row],[PNP Début corrigé]],deb_nuit)))*24</f>
        <v>0</v>
      </c>
      <c r="Q41" s="51">
        <f>(IF(WEEKDAY(H_Janv[[#This Row],[Date]],2)=7,MAX(0,MIN(fin_dimJF,H_Janv[[#This Row],[Fin corrigée si nuit]])-MAX(deb_dimJF,H_Janv[[#This Row],[début]])),0)+IF(WEEKDAY(H_Janv[[#This Row],[Date]],2)=6,MAX(0,H_Janv[[#This Row],[Fin corrigée si nuit]]-(1+deb_dimJF)),0))*24</f>
        <v>0</v>
      </c>
      <c r="R41"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1" s="51">
        <f>(IF(COUNTIF(JF,H_Janv[[#This Row],[Date]]),MAX(0,MIN(fin_dimJF,H_Janv[[#This Row],[Fin corrigée si nuit]])-MAX(deb_dimJF,H_Janv[[#This Row],[début]])),0)+IF(COUNTIF(JF,H_Janv[[#This Row],[Date]]+1),MAX(0,H_Janv[[#This Row],[Fin corrigée si nuit]]-(1+deb_dimJF)),0))*24</f>
        <v>0</v>
      </c>
      <c r="T41"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2" spans="1:20" x14ac:dyDescent="0.3">
      <c r="A42" s="4"/>
      <c r="B42" s="1"/>
      <c r="C42" s="2"/>
      <c r="D42" s="2"/>
      <c r="E42" s="3"/>
      <c r="F42" s="3"/>
      <c r="G42" s="3"/>
      <c r="H42" s="3"/>
      <c r="I42" s="47">
        <f>0.1*(H_Janv[[#This Row],[Heures de nuit]]+IF(H_Janv[[#This Row],[majoration dim &amp; JF]]="non",0,H_Janv[[#This Row],[heures jour dimanche]]+H_Janv[[#This Row],[heures jour fériés]]))</f>
        <v>0</v>
      </c>
      <c r="J42" s="48">
        <f>(MOD(H_Janv[[#This Row],[Fin]]-H_Janv[[#This Row],[début]],1)-MOD(H_Janv[[#This Row],[PNP Fin]]-H_Janv[[#This Row],[PNP Début]],1))*24</f>
        <v>0</v>
      </c>
      <c r="K42" s="119" t="str">
        <f>IFERROR(VLOOKUP(H_Janv[[#This Row],[Service]],Codes[],4,0),"")</f>
        <v/>
      </c>
      <c r="L42" s="49">
        <f>IF(H_Janv[[#This Row],[PNP Début]]=0,0,IF(H_Janv[[#This Row],[PNP Début]]&lt;H_Janv[[#This Row],[début]],1,0)+H_Janv[[#This Row],[PNP Début]])</f>
        <v>0</v>
      </c>
      <c r="M42" s="50">
        <f>IF(H_Janv[[#This Row],[PNP Fin]]=0,0,IF(H_Janv[[#This Row],[PNP Fin]]&lt;H_Janv[[#This Row],[début]],1,0)+H_Janv[[#This Row],[PNP Fin]])</f>
        <v>0</v>
      </c>
      <c r="N42" s="50">
        <f>IF(H_Janv[[#This Row],[Fin]]&lt;H_Janv[[#This Row],[début]],1,0)+H_Janv[[#This Row],[Fin]]</f>
        <v>0</v>
      </c>
      <c r="O42" s="31">
        <f>IF(H_Janv[[#This Row],[Fin]]&lt;H_Janv[[#This Row],[début]],MAX(0,MIN(H_Janv[[#This Row],[Fin corrigée si nuit]],fin_nuit)-MAX(H_Janv[[#This Row],[début]],deb_nuit))*24,(MAX(deb_nuit,H_Janv[[#This Row],[Fin]])-MAX(deb_nuit,H_Janv[[#This Row],[début]])+MAX(MIN(fin_nuit-1,H_Janv[[#This Row],[Fin]])-MIN(fin_nuit-1,H_Janv[[#This Row],[début]]),0))*24)</f>
        <v>0</v>
      </c>
      <c r="P42" s="51">
        <f>(MAX(0,MIN(H_Janv[[#This Row],[Fin corrigée si nuit]],fin_nuit)-MAX(H_Janv[[#This Row],[début]],deb_nuit))-IF(H_Janv[[#This Row],[PNP Début]]=0,0,MIN(H_Janv[[#This Row],[PNP Fin corrigée]],fin_nuit)-MAX(H_Janv[[#This Row],[PNP Début corrigé]],deb_nuit)))*24</f>
        <v>0</v>
      </c>
      <c r="Q42" s="51">
        <f>(IF(WEEKDAY(H_Janv[[#This Row],[Date]],2)=7,MAX(0,MIN(fin_dimJF,H_Janv[[#This Row],[Fin corrigée si nuit]])-MAX(deb_dimJF,H_Janv[[#This Row],[début]])),0)+IF(WEEKDAY(H_Janv[[#This Row],[Date]],2)=6,MAX(0,H_Janv[[#This Row],[Fin corrigée si nuit]]-(1+deb_dimJF)),0))*24</f>
        <v>0</v>
      </c>
      <c r="R42"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2" s="51">
        <f>(IF(COUNTIF(JF,H_Janv[[#This Row],[Date]]),MAX(0,MIN(fin_dimJF,H_Janv[[#This Row],[Fin corrigée si nuit]])-MAX(deb_dimJF,H_Janv[[#This Row],[début]])),0)+IF(COUNTIF(JF,H_Janv[[#This Row],[Date]]+1),MAX(0,H_Janv[[#This Row],[Fin corrigée si nuit]]-(1+deb_dimJF)),0))*24</f>
        <v>0</v>
      </c>
      <c r="T42"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3" spans="1:20" x14ac:dyDescent="0.3">
      <c r="A43" s="4"/>
      <c r="B43" s="1"/>
      <c r="C43" s="2"/>
      <c r="D43" s="2"/>
      <c r="E43" s="3"/>
      <c r="F43" s="3"/>
      <c r="G43" s="3"/>
      <c r="H43" s="3"/>
      <c r="I43" s="47">
        <f>0.1*(H_Janv[[#This Row],[Heures de nuit]]+IF(H_Janv[[#This Row],[majoration dim &amp; JF]]="non",0,H_Janv[[#This Row],[heures jour dimanche]]+H_Janv[[#This Row],[heures jour fériés]]))</f>
        <v>0</v>
      </c>
      <c r="J43" s="48">
        <f>(MOD(H_Janv[[#This Row],[Fin]]-H_Janv[[#This Row],[début]],1)-MOD(H_Janv[[#This Row],[PNP Fin]]-H_Janv[[#This Row],[PNP Début]],1))*24</f>
        <v>0</v>
      </c>
      <c r="K43" s="119" t="str">
        <f>IFERROR(VLOOKUP(H_Janv[[#This Row],[Service]],Codes[],4,0),"")</f>
        <v/>
      </c>
      <c r="L43" s="49">
        <f>IF(H_Janv[[#This Row],[PNP Début]]=0,0,IF(H_Janv[[#This Row],[PNP Début]]&lt;H_Janv[[#This Row],[début]],1,0)+H_Janv[[#This Row],[PNP Début]])</f>
        <v>0</v>
      </c>
      <c r="M43" s="50">
        <f>IF(H_Janv[[#This Row],[PNP Fin]]=0,0,IF(H_Janv[[#This Row],[PNP Fin]]&lt;H_Janv[[#This Row],[début]],1,0)+H_Janv[[#This Row],[PNP Fin]])</f>
        <v>0</v>
      </c>
      <c r="N43" s="50">
        <f>IF(H_Janv[[#This Row],[Fin]]&lt;H_Janv[[#This Row],[début]],1,0)+H_Janv[[#This Row],[Fin]]</f>
        <v>0</v>
      </c>
      <c r="O43" s="31">
        <f>IF(H_Janv[[#This Row],[Fin]]&lt;H_Janv[[#This Row],[début]],MAX(0,MIN(H_Janv[[#This Row],[Fin corrigée si nuit]],fin_nuit)-MAX(H_Janv[[#This Row],[début]],deb_nuit))*24,(MAX(deb_nuit,H_Janv[[#This Row],[Fin]])-MAX(deb_nuit,H_Janv[[#This Row],[début]])+MAX(MIN(fin_nuit-1,H_Janv[[#This Row],[Fin]])-MIN(fin_nuit-1,H_Janv[[#This Row],[début]]),0))*24)</f>
        <v>0</v>
      </c>
      <c r="P43" s="51">
        <f>(MAX(0,MIN(H_Janv[[#This Row],[Fin corrigée si nuit]],fin_nuit)-MAX(H_Janv[[#This Row],[début]],deb_nuit))-IF(H_Janv[[#This Row],[PNP Début]]=0,0,MIN(H_Janv[[#This Row],[PNP Fin corrigée]],fin_nuit)-MAX(H_Janv[[#This Row],[PNP Début corrigé]],deb_nuit)))*24</f>
        <v>0</v>
      </c>
      <c r="Q43" s="51">
        <f>(IF(WEEKDAY(H_Janv[[#This Row],[Date]],2)=7,MAX(0,MIN(fin_dimJF,H_Janv[[#This Row],[Fin corrigée si nuit]])-MAX(deb_dimJF,H_Janv[[#This Row],[début]])),0)+IF(WEEKDAY(H_Janv[[#This Row],[Date]],2)=6,MAX(0,H_Janv[[#This Row],[Fin corrigée si nuit]]-(1+deb_dimJF)),0))*24</f>
        <v>0</v>
      </c>
      <c r="R43"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3" s="51">
        <f>(IF(COUNTIF(JF,H_Janv[[#This Row],[Date]]),MAX(0,MIN(fin_dimJF,H_Janv[[#This Row],[Fin corrigée si nuit]])-MAX(deb_dimJF,H_Janv[[#This Row],[début]])),0)+IF(COUNTIF(JF,H_Janv[[#This Row],[Date]]+1),MAX(0,H_Janv[[#This Row],[Fin corrigée si nuit]]-(1+deb_dimJF)),0))*24</f>
        <v>0</v>
      </c>
      <c r="T43"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4" spans="1:20" x14ac:dyDescent="0.3">
      <c r="A44" s="4"/>
      <c r="B44" s="1"/>
      <c r="C44" s="2"/>
      <c r="D44" s="2"/>
      <c r="E44" s="3"/>
      <c r="F44" s="3"/>
      <c r="G44" s="3"/>
      <c r="H44" s="3"/>
      <c r="I44" s="47">
        <f>0.1*(H_Janv[[#This Row],[Heures de nuit]]+IF(H_Janv[[#This Row],[majoration dim &amp; JF]]="non",0,H_Janv[[#This Row],[heures jour dimanche]]+H_Janv[[#This Row],[heures jour fériés]]))</f>
        <v>0</v>
      </c>
      <c r="J44" s="48">
        <f>(MOD(H_Janv[[#This Row],[Fin]]-H_Janv[[#This Row],[début]],1)-MOD(H_Janv[[#This Row],[PNP Fin]]-H_Janv[[#This Row],[PNP Début]],1))*24</f>
        <v>0</v>
      </c>
      <c r="K44" s="119" t="str">
        <f>IFERROR(VLOOKUP(H_Janv[[#This Row],[Service]],Codes[],4,0),"")</f>
        <v/>
      </c>
      <c r="L44" s="49">
        <f>IF(H_Janv[[#This Row],[PNP Début]]=0,0,IF(H_Janv[[#This Row],[PNP Début]]&lt;H_Janv[[#This Row],[début]],1,0)+H_Janv[[#This Row],[PNP Début]])</f>
        <v>0</v>
      </c>
      <c r="M44" s="50">
        <f>IF(H_Janv[[#This Row],[PNP Fin]]=0,0,IF(H_Janv[[#This Row],[PNP Fin]]&lt;H_Janv[[#This Row],[début]],1,0)+H_Janv[[#This Row],[PNP Fin]])</f>
        <v>0</v>
      </c>
      <c r="N44" s="50">
        <f>IF(H_Janv[[#This Row],[Fin]]&lt;H_Janv[[#This Row],[début]],1,0)+H_Janv[[#This Row],[Fin]]</f>
        <v>0</v>
      </c>
      <c r="O44" s="31">
        <f>IF(H_Janv[[#This Row],[Fin]]&lt;H_Janv[[#This Row],[début]],MAX(0,MIN(H_Janv[[#This Row],[Fin corrigée si nuit]],fin_nuit)-MAX(H_Janv[[#This Row],[début]],deb_nuit))*24,(MAX(deb_nuit,H_Janv[[#This Row],[Fin]])-MAX(deb_nuit,H_Janv[[#This Row],[début]])+MAX(MIN(fin_nuit-1,H_Janv[[#This Row],[Fin]])-MIN(fin_nuit-1,H_Janv[[#This Row],[début]]),0))*24)</f>
        <v>0</v>
      </c>
      <c r="P44" s="51">
        <f>(MAX(0,MIN(H_Janv[[#This Row],[Fin corrigée si nuit]],fin_nuit)-MAX(H_Janv[[#This Row],[début]],deb_nuit))-IF(H_Janv[[#This Row],[PNP Début]]=0,0,MIN(H_Janv[[#This Row],[PNP Fin corrigée]],fin_nuit)-MAX(H_Janv[[#This Row],[PNP Début corrigé]],deb_nuit)))*24</f>
        <v>0</v>
      </c>
      <c r="Q44" s="51">
        <f>(IF(WEEKDAY(H_Janv[[#This Row],[Date]],2)=7,MAX(0,MIN(fin_dimJF,H_Janv[[#This Row],[Fin corrigée si nuit]])-MAX(deb_dimJF,H_Janv[[#This Row],[début]])),0)+IF(WEEKDAY(H_Janv[[#This Row],[Date]],2)=6,MAX(0,H_Janv[[#This Row],[Fin corrigée si nuit]]-(1+deb_dimJF)),0))*24</f>
        <v>0</v>
      </c>
      <c r="R44"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4" s="51">
        <f>(IF(COUNTIF(JF,H_Janv[[#This Row],[Date]]),MAX(0,MIN(fin_dimJF,H_Janv[[#This Row],[Fin corrigée si nuit]])-MAX(deb_dimJF,H_Janv[[#This Row],[début]])),0)+IF(COUNTIF(JF,H_Janv[[#This Row],[Date]]+1),MAX(0,H_Janv[[#This Row],[Fin corrigée si nuit]]-(1+deb_dimJF)),0))*24</f>
        <v>0</v>
      </c>
      <c r="T44"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5" spans="1:20" x14ac:dyDescent="0.3">
      <c r="A45" s="4"/>
      <c r="B45" s="1"/>
      <c r="C45" s="2"/>
      <c r="D45" s="2"/>
      <c r="E45" s="3"/>
      <c r="F45" s="3"/>
      <c r="G45" s="3"/>
      <c r="H45" s="3"/>
      <c r="I45" s="47">
        <f>0.1*(H_Janv[[#This Row],[Heures de nuit]]+IF(H_Janv[[#This Row],[majoration dim &amp; JF]]="non",0,H_Janv[[#This Row],[heures jour dimanche]]+H_Janv[[#This Row],[heures jour fériés]]))</f>
        <v>0</v>
      </c>
      <c r="J45" s="48">
        <f>(MOD(H_Janv[[#This Row],[Fin]]-H_Janv[[#This Row],[début]],1)-MOD(H_Janv[[#This Row],[PNP Fin]]-H_Janv[[#This Row],[PNP Début]],1))*24</f>
        <v>0</v>
      </c>
      <c r="K45" s="119" t="str">
        <f>IFERROR(VLOOKUP(H_Janv[[#This Row],[Service]],Codes[],4,0),"")</f>
        <v/>
      </c>
      <c r="L45" s="49">
        <f>IF(H_Janv[[#This Row],[PNP Début]]=0,0,IF(H_Janv[[#This Row],[PNP Début]]&lt;H_Janv[[#This Row],[début]],1,0)+H_Janv[[#This Row],[PNP Début]])</f>
        <v>0</v>
      </c>
      <c r="M45" s="50">
        <f>IF(H_Janv[[#This Row],[PNP Fin]]=0,0,IF(H_Janv[[#This Row],[PNP Fin]]&lt;H_Janv[[#This Row],[début]],1,0)+H_Janv[[#This Row],[PNP Fin]])</f>
        <v>0</v>
      </c>
      <c r="N45" s="50">
        <f>IF(H_Janv[[#This Row],[Fin]]&lt;H_Janv[[#This Row],[début]],1,0)+H_Janv[[#This Row],[Fin]]</f>
        <v>0</v>
      </c>
      <c r="O45" s="31">
        <f>IF(H_Janv[[#This Row],[Fin]]&lt;H_Janv[[#This Row],[début]],MAX(0,MIN(H_Janv[[#This Row],[Fin corrigée si nuit]],fin_nuit)-MAX(H_Janv[[#This Row],[début]],deb_nuit))*24,(MAX(deb_nuit,H_Janv[[#This Row],[Fin]])-MAX(deb_nuit,H_Janv[[#This Row],[début]])+MAX(MIN(fin_nuit-1,H_Janv[[#This Row],[Fin]])-MIN(fin_nuit-1,H_Janv[[#This Row],[début]]),0))*24)</f>
        <v>0</v>
      </c>
      <c r="P45" s="51">
        <f>(MAX(0,MIN(H_Janv[[#This Row],[Fin corrigée si nuit]],fin_nuit)-MAX(H_Janv[[#This Row],[début]],deb_nuit))-IF(H_Janv[[#This Row],[PNP Début]]=0,0,MIN(H_Janv[[#This Row],[PNP Fin corrigée]],fin_nuit)-MAX(H_Janv[[#This Row],[PNP Début corrigé]],deb_nuit)))*24</f>
        <v>0</v>
      </c>
      <c r="Q45" s="51">
        <f>(IF(WEEKDAY(H_Janv[[#This Row],[Date]],2)=7,MAX(0,MIN(fin_dimJF,H_Janv[[#This Row],[Fin corrigée si nuit]])-MAX(deb_dimJF,H_Janv[[#This Row],[début]])),0)+IF(WEEKDAY(H_Janv[[#This Row],[Date]],2)=6,MAX(0,H_Janv[[#This Row],[Fin corrigée si nuit]]-(1+deb_dimJF)),0))*24</f>
        <v>0</v>
      </c>
      <c r="R45"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5" s="51">
        <f>(IF(COUNTIF(JF,H_Janv[[#This Row],[Date]]),MAX(0,MIN(fin_dimJF,H_Janv[[#This Row],[Fin corrigée si nuit]])-MAX(deb_dimJF,H_Janv[[#This Row],[début]])),0)+IF(COUNTIF(JF,H_Janv[[#This Row],[Date]]+1),MAX(0,H_Janv[[#This Row],[Fin corrigée si nuit]]-(1+deb_dimJF)),0))*24</f>
        <v>0</v>
      </c>
      <c r="T45"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6" spans="1:20" x14ac:dyDescent="0.3">
      <c r="A46" s="4"/>
      <c r="B46" s="1"/>
      <c r="C46" s="2"/>
      <c r="D46" s="2"/>
      <c r="E46" s="3"/>
      <c r="F46" s="3"/>
      <c r="G46" s="3"/>
      <c r="H46" s="3"/>
      <c r="I46" s="47">
        <f>0.1*(H_Janv[[#This Row],[Heures de nuit]]+IF(H_Janv[[#This Row],[majoration dim &amp; JF]]="non",0,H_Janv[[#This Row],[heures jour dimanche]]+H_Janv[[#This Row],[heures jour fériés]]))</f>
        <v>0</v>
      </c>
      <c r="J46" s="48">
        <f>(MOD(H_Janv[[#This Row],[Fin]]-H_Janv[[#This Row],[début]],1)-MOD(H_Janv[[#This Row],[PNP Fin]]-H_Janv[[#This Row],[PNP Début]],1))*24</f>
        <v>0</v>
      </c>
      <c r="K46" s="119" t="str">
        <f>IFERROR(VLOOKUP(H_Janv[[#This Row],[Service]],Codes[],4,0),"")</f>
        <v/>
      </c>
      <c r="L46" s="49">
        <f>IF(H_Janv[[#This Row],[PNP Début]]=0,0,IF(H_Janv[[#This Row],[PNP Début]]&lt;H_Janv[[#This Row],[début]],1,0)+H_Janv[[#This Row],[PNP Début]])</f>
        <v>0</v>
      </c>
      <c r="M46" s="50">
        <f>IF(H_Janv[[#This Row],[PNP Fin]]=0,0,IF(H_Janv[[#This Row],[PNP Fin]]&lt;H_Janv[[#This Row],[début]],1,0)+H_Janv[[#This Row],[PNP Fin]])</f>
        <v>0</v>
      </c>
      <c r="N46" s="50">
        <f>IF(H_Janv[[#This Row],[Fin]]&lt;H_Janv[[#This Row],[début]],1,0)+H_Janv[[#This Row],[Fin]]</f>
        <v>0</v>
      </c>
      <c r="O46" s="31">
        <f>IF(H_Janv[[#This Row],[Fin]]&lt;H_Janv[[#This Row],[début]],MAX(0,MIN(H_Janv[[#This Row],[Fin corrigée si nuit]],fin_nuit)-MAX(H_Janv[[#This Row],[début]],deb_nuit))*24,(MAX(deb_nuit,H_Janv[[#This Row],[Fin]])-MAX(deb_nuit,H_Janv[[#This Row],[début]])+MAX(MIN(fin_nuit-1,H_Janv[[#This Row],[Fin]])-MIN(fin_nuit-1,H_Janv[[#This Row],[début]]),0))*24)</f>
        <v>0</v>
      </c>
      <c r="P46" s="51">
        <f>(MAX(0,MIN(H_Janv[[#This Row],[Fin corrigée si nuit]],fin_nuit)-MAX(H_Janv[[#This Row],[début]],deb_nuit))-IF(H_Janv[[#This Row],[PNP Début]]=0,0,MIN(H_Janv[[#This Row],[PNP Fin corrigée]],fin_nuit)-MAX(H_Janv[[#This Row],[PNP Début corrigé]],deb_nuit)))*24</f>
        <v>0</v>
      </c>
      <c r="Q46" s="51">
        <f>(IF(WEEKDAY(H_Janv[[#This Row],[Date]],2)=7,MAX(0,MIN(fin_dimJF,H_Janv[[#This Row],[Fin corrigée si nuit]])-MAX(deb_dimJF,H_Janv[[#This Row],[début]])),0)+IF(WEEKDAY(H_Janv[[#This Row],[Date]],2)=6,MAX(0,H_Janv[[#This Row],[Fin corrigée si nuit]]-(1+deb_dimJF)),0))*24</f>
        <v>0</v>
      </c>
      <c r="R46"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6" s="51">
        <f>(IF(COUNTIF(JF,H_Janv[[#This Row],[Date]]),MAX(0,MIN(fin_dimJF,H_Janv[[#This Row],[Fin corrigée si nuit]])-MAX(deb_dimJF,H_Janv[[#This Row],[début]])),0)+IF(COUNTIF(JF,H_Janv[[#This Row],[Date]]+1),MAX(0,H_Janv[[#This Row],[Fin corrigée si nuit]]-(1+deb_dimJF)),0))*24</f>
        <v>0</v>
      </c>
      <c r="T46"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7" spans="1:20" x14ac:dyDescent="0.3">
      <c r="A47" s="4"/>
      <c r="B47" s="1"/>
      <c r="C47" s="2"/>
      <c r="D47" s="2"/>
      <c r="E47" s="3"/>
      <c r="F47" s="3"/>
      <c r="G47" s="3"/>
      <c r="H47" s="3"/>
      <c r="I47" s="47">
        <f>0.1*(H_Janv[[#This Row],[Heures de nuit]]+IF(H_Janv[[#This Row],[majoration dim &amp; JF]]="non",0,H_Janv[[#This Row],[heures jour dimanche]]+H_Janv[[#This Row],[heures jour fériés]]))</f>
        <v>0</v>
      </c>
      <c r="J47" s="48">
        <f>(MOD(H_Janv[[#This Row],[Fin]]-H_Janv[[#This Row],[début]],1)-MOD(H_Janv[[#This Row],[PNP Fin]]-H_Janv[[#This Row],[PNP Début]],1))*24</f>
        <v>0</v>
      </c>
      <c r="K47" s="119" t="str">
        <f>IFERROR(VLOOKUP(H_Janv[[#This Row],[Service]],Codes[],4,0),"")</f>
        <v/>
      </c>
      <c r="L47" s="49">
        <f>IF(H_Janv[[#This Row],[PNP Début]]=0,0,IF(H_Janv[[#This Row],[PNP Début]]&lt;H_Janv[[#This Row],[début]],1,0)+H_Janv[[#This Row],[PNP Début]])</f>
        <v>0</v>
      </c>
      <c r="M47" s="50">
        <f>IF(H_Janv[[#This Row],[PNP Fin]]=0,0,IF(H_Janv[[#This Row],[PNP Fin]]&lt;H_Janv[[#This Row],[début]],1,0)+H_Janv[[#This Row],[PNP Fin]])</f>
        <v>0</v>
      </c>
      <c r="N47" s="50">
        <f>IF(H_Janv[[#This Row],[Fin]]&lt;H_Janv[[#This Row],[début]],1,0)+H_Janv[[#This Row],[Fin]]</f>
        <v>0</v>
      </c>
      <c r="O47" s="31">
        <f>IF(H_Janv[[#This Row],[Fin]]&lt;H_Janv[[#This Row],[début]],MAX(0,MIN(H_Janv[[#This Row],[Fin corrigée si nuit]],fin_nuit)-MAX(H_Janv[[#This Row],[début]],deb_nuit))*24,(MAX(deb_nuit,H_Janv[[#This Row],[Fin]])-MAX(deb_nuit,H_Janv[[#This Row],[début]])+MAX(MIN(fin_nuit-1,H_Janv[[#This Row],[Fin]])-MIN(fin_nuit-1,H_Janv[[#This Row],[début]]),0))*24)</f>
        <v>0</v>
      </c>
      <c r="P47" s="51">
        <f>(MAX(0,MIN(H_Janv[[#This Row],[Fin corrigée si nuit]],fin_nuit)-MAX(H_Janv[[#This Row],[début]],deb_nuit))-IF(H_Janv[[#This Row],[PNP Début]]=0,0,MIN(H_Janv[[#This Row],[PNP Fin corrigée]],fin_nuit)-MAX(H_Janv[[#This Row],[PNP Début corrigé]],deb_nuit)))*24</f>
        <v>0</v>
      </c>
      <c r="Q47" s="51">
        <f>(IF(WEEKDAY(H_Janv[[#This Row],[Date]],2)=7,MAX(0,MIN(fin_dimJF,H_Janv[[#This Row],[Fin corrigée si nuit]])-MAX(deb_dimJF,H_Janv[[#This Row],[début]])),0)+IF(WEEKDAY(H_Janv[[#This Row],[Date]],2)=6,MAX(0,H_Janv[[#This Row],[Fin corrigée si nuit]]-(1+deb_dimJF)),0))*24</f>
        <v>0</v>
      </c>
      <c r="R47"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7" s="51">
        <f>(IF(COUNTIF(JF,H_Janv[[#This Row],[Date]]),MAX(0,MIN(fin_dimJF,H_Janv[[#This Row],[Fin corrigée si nuit]])-MAX(deb_dimJF,H_Janv[[#This Row],[début]])),0)+IF(COUNTIF(JF,H_Janv[[#This Row],[Date]]+1),MAX(0,H_Janv[[#This Row],[Fin corrigée si nuit]]-(1+deb_dimJF)),0))*24</f>
        <v>0</v>
      </c>
      <c r="T47"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8" spans="1:20" x14ac:dyDescent="0.3">
      <c r="A48" s="4"/>
      <c r="B48" s="1"/>
      <c r="C48" s="2"/>
      <c r="D48" s="2"/>
      <c r="E48" s="3"/>
      <c r="F48" s="3"/>
      <c r="G48" s="3"/>
      <c r="H48" s="3"/>
      <c r="I48" s="47">
        <f>0.1*(H_Janv[[#This Row],[Heures de nuit]]+IF(H_Janv[[#This Row],[majoration dim &amp; JF]]="non",0,H_Janv[[#This Row],[heures jour dimanche]]+H_Janv[[#This Row],[heures jour fériés]]))</f>
        <v>0</v>
      </c>
      <c r="J48" s="48">
        <f>(MOD(H_Janv[[#This Row],[Fin]]-H_Janv[[#This Row],[début]],1)-MOD(H_Janv[[#This Row],[PNP Fin]]-H_Janv[[#This Row],[PNP Début]],1))*24</f>
        <v>0</v>
      </c>
      <c r="K48" s="119" t="str">
        <f>IFERROR(VLOOKUP(H_Janv[[#This Row],[Service]],Codes[],4,0),"")</f>
        <v/>
      </c>
      <c r="L48" s="49">
        <f>IF(H_Janv[[#This Row],[PNP Début]]=0,0,IF(H_Janv[[#This Row],[PNP Début]]&lt;H_Janv[[#This Row],[début]],1,0)+H_Janv[[#This Row],[PNP Début]])</f>
        <v>0</v>
      </c>
      <c r="M48" s="50">
        <f>IF(H_Janv[[#This Row],[PNP Fin]]=0,0,IF(H_Janv[[#This Row],[PNP Fin]]&lt;H_Janv[[#This Row],[début]],1,0)+H_Janv[[#This Row],[PNP Fin]])</f>
        <v>0</v>
      </c>
      <c r="N48" s="50">
        <f>IF(H_Janv[[#This Row],[Fin]]&lt;H_Janv[[#This Row],[début]],1,0)+H_Janv[[#This Row],[Fin]]</f>
        <v>0</v>
      </c>
      <c r="O48" s="31">
        <f>IF(H_Janv[[#This Row],[Fin]]&lt;H_Janv[[#This Row],[début]],MAX(0,MIN(H_Janv[[#This Row],[Fin corrigée si nuit]],fin_nuit)-MAX(H_Janv[[#This Row],[début]],deb_nuit))*24,(MAX(deb_nuit,H_Janv[[#This Row],[Fin]])-MAX(deb_nuit,H_Janv[[#This Row],[début]])+MAX(MIN(fin_nuit-1,H_Janv[[#This Row],[Fin]])-MIN(fin_nuit-1,H_Janv[[#This Row],[début]]),0))*24)</f>
        <v>0</v>
      </c>
      <c r="P48" s="51">
        <f>(MAX(0,MIN(H_Janv[[#This Row],[Fin corrigée si nuit]],fin_nuit)-MAX(H_Janv[[#This Row],[début]],deb_nuit))-IF(H_Janv[[#This Row],[PNP Début]]=0,0,MIN(H_Janv[[#This Row],[PNP Fin corrigée]],fin_nuit)-MAX(H_Janv[[#This Row],[PNP Début corrigé]],deb_nuit)))*24</f>
        <v>0</v>
      </c>
      <c r="Q48" s="51">
        <f>(IF(WEEKDAY(H_Janv[[#This Row],[Date]],2)=7,MAX(0,MIN(fin_dimJF,H_Janv[[#This Row],[Fin corrigée si nuit]])-MAX(deb_dimJF,H_Janv[[#This Row],[début]])),0)+IF(WEEKDAY(H_Janv[[#This Row],[Date]],2)=6,MAX(0,H_Janv[[#This Row],[Fin corrigée si nuit]]-(1+deb_dimJF)),0))*24</f>
        <v>0</v>
      </c>
      <c r="R48"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8" s="51">
        <f>(IF(COUNTIF(JF,H_Janv[[#This Row],[Date]]),MAX(0,MIN(fin_dimJF,H_Janv[[#This Row],[Fin corrigée si nuit]])-MAX(deb_dimJF,H_Janv[[#This Row],[début]])),0)+IF(COUNTIF(JF,H_Janv[[#This Row],[Date]]+1),MAX(0,H_Janv[[#This Row],[Fin corrigée si nuit]]-(1+deb_dimJF)),0))*24</f>
        <v>0</v>
      </c>
      <c r="T48"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49" spans="1:20" ht="15" thickBot="1" x14ac:dyDescent="0.35">
      <c r="A49" s="4"/>
      <c r="B49" s="1"/>
      <c r="C49" s="2"/>
      <c r="D49" s="2"/>
      <c r="E49" s="3"/>
      <c r="F49" s="3"/>
      <c r="G49" s="3"/>
      <c r="H49" s="3"/>
      <c r="I49" s="47">
        <f>0.1*(H_Janv[[#This Row],[Heures de nuit]]+IF(H_Janv[[#This Row],[majoration dim &amp; JF]]="non",0,H_Janv[[#This Row],[heures jour dimanche]]+H_Janv[[#This Row],[heures jour fériés]]))</f>
        <v>0</v>
      </c>
      <c r="J49" s="48">
        <f>(MOD(H_Janv[[#This Row],[Fin]]-H_Janv[[#This Row],[début]],1)-MOD(H_Janv[[#This Row],[PNP Fin]]-H_Janv[[#This Row],[PNP Début]],1))*24</f>
        <v>0</v>
      </c>
      <c r="K49" s="119" t="str">
        <f>IFERROR(VLOOKUP(H_Janv[[#This Row],[Service]],Codes[],4,0),"")</f>
        <v/>
      </c>
      <c r="L49" s="49">
        <f>IF(H_Janv[[#This Row],[PNP Début]]=0,0,IF(H_Janv[[#This Row],[PNP Début]]&lt;H_Janv[[#This Row],[début]],1,0)+H_Janv[[#This Row],[PNP Début]])</f>
        <v>0</v>
      </c>
      <c r="M49" s="50">
        <f>IF(H_Janv[[#This Row],[PNP Fin]]=0,0,IF(H_Janv[[#This Row],[PNP Fin]]&lt;H_Janv[[#This Row],[début]],1,0)+H_Janv[[#This Row],[PNP Fin]])</f>
        <v>0</v>
      </c>
      <c r="N49" s="50">
        <f>IF(H_Janv[[#This Row],[Fin]]&lt;H_Janv[[#This Row],[début]],1,0)+H_Janv[[#This Row],[Fin]]</f>
        <v>0</v>
      </c>
      <c r="O49" s="31">
        <f>IF(H_Janv[[#This Row],[Fin]]&lt;H_Janv[[#This Row],[début]],MAX(0,MIN(H_Janv[[#This Row],[Fin corrigée si nuit]],fin_nuit)-MAX(H_Janv[[#This Row],[début]],deb_nuit))*24,(MAX(deb_nuit,H_Janv[[#This Row],[Fin]])-MAX(deb_nuit,H_Janv[[#This Row],[début]])+MAX(MIN(fin_nuit-1,H_Janv[[#This Row],[Fin]])-MIN(fin_nuit-1,H_Janv[[#This Row],[début]]),0))*24)</f>
        <v>0</v>
      </c>
      <c r="P49" s="51">
        <f>(MAX(0,MIN(H_Janv[[#This Row],[Fin corrigée si nuit]],fin_nuit)-MAX(H_Janv[[#This Row],[début]],deb_nuit))-IF(H_Janv[[#This Row],[PNP Début]]=0,0,MIN(H_Janv[[#This Row],[PNP Fin corrigée]],fin_nuit)-MAX(H_Janv[[#This Row],[PNP Début corrigé]],deb_nuit)))*24</f>
        <v>0</v>
      </c>
      <c r="Q49" s="51">
        <f>(IF(WEEKDAY(H_Janv[[#This Row],[Date]],2)=7,MAX(0,MIN(fin_dimJF,H_Janv[[#This Row],[Fin corrigée si nuit]])-MAX(deb_dimJF,H_Janv[[#This Row],[début]])),0)+IF(WEEKDAY(H_Janv[[#This Row],[Date]],2)=6,MAX(0,H_Janv[[#This Row],[Fin corrigée si nuit]]-(1+deb_dimJF)),0))*24</f>
        <v>0</v>
      </c>
      <c r="R49" s="51">
        <f>(IF(WEEKDAY(H_Janv[[#This Row],[Date]],2)=7,MAX(0,MIN(fin_dimJF,H_Janv[[#This Row],[Fin corrigée si nuit]])-MAX(deb_dimJF,H_Janv[[#This Row],[début]])),0)+IF(WEEKDAY(H_Janv[[#This Row],[Date]],2)=6,MAX(0,H_Janv[[#This Row],[Fin corrigée si nuit]]-(1+deb_dimJF)),0))*24-
(IF(WEEKDAY(H_Janv[[#This Row],[Date]],2)=7,MAX(0,MIN(fin_dimJF,H_Janv[[#This Row],[PNP Fin corrigée]])-MAX(deb_dimJF,H_Janv[[#This Row],[PNP Début corrigé]])),0)+IF(WEEKDAY(H_Janv[[#This Row],[Date]],2)=6,MAX(0,H_Janv[[#This Row],[PNP Fin corrigée]]-(1+deb_dimJF)),0))*24</f>
        <v>0</v>
      </c>
      <c r="S49" s="51">
        <f>(IF(COUNTIF(JF,H_Janv[[#This Row],[Date]]),MAX(0,MIN(fin_dimJF,H_Janv[[#This Row],[Fin corrigée si nuit]])-MAX(deb_dimJF,H_Janv[[#This Row],[début]])),0)+IF(COUNTIF(JF,H_Janv[[#This Row],[Date]]+1),MAX(0,H_Janv[[#This Row],[Fin corrigée si nuit]]-(1+deb_dimJF)),0))*24</f>
        <v>0</v>
      </c>
      <c r="T49" s="51">
        <f>(IF(COUNTIF(JF,H_Janv[[#This Row],[Date]]),MAX(0,MIN(fin_dimJF,H_Janv[[#This Row],[Fin corrigée si nuit]])-MAX(deb_dimJF,H_Janv[[#This Row],[début]])),0)+IF(COUNTIF(JF,H_Janv[[#This Row],[Date]]+1),MAX(0,H_Janv[[#This Row],[Fin corrigée si nuit]]-(1+deb_dimJF)),0))*24-
(IF(COUNTIF(JF,H_Janv[[#This Row],[Date]]),MAX(0,MIN(fin_dimJF,H_Janv[[#This Row],[PNP Fin corrigée]])-MAX(deb_dimJF,H_Janv[[#This Row],[PNP Début corrigé]])),0)+IF(COUNTIF(JF,H_Janv[[#This Row],[Date]]+1),MAX(0,H_Janv[[#This Row],[PNP Fin corrigée]]-(1+deb_dimJF)),0))*24</f>
        <v>0</v>
      </c>
    </row>
    <row r="50" spans="1:20" ht="16.2" thickBot="1" x14ac:dyDescent="0.35">
      <c r="A50" s="52"/>
      <c r="B50" s="15"/>
      <c r="C50" s="15"/>
      <c r="D50" s="15"/>
      <c r="E50" s="144" t="s">
        <v>29</v>
      </c>
      <c r="F50" s="145"/>
      <c r="G50" s="145"/>
      <c r="H50" s="146"/>
      <c r="I50" s="53">
        <f>SUM(H_Janv[Majoration])</f>
        <v>10.1</v>
      </c>
      <c r="J50" s="54">
        <f>SUM(H_Janv[Heures totales payées])</f>
        <v>167</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49"/>
      <c r="B52" s="150"/>
      <c r="C52" s="150"/>
      <c r="D52" s="151"/>
      <c r="E52" s="52"/>
      <c r="F52" s="15"/>
      <c r="G52" s="158"/>
      <c r="H52" s="159"/>
      <c r="I52" s="159"/>
      <c r="J52" s="159"/>
      <c r="K52" s="101"/>
      <c r="L52" s="15"/>
      <c r="M52" s="15"/>
      <c r="N52" s="15"/>
      <c r="O52" s="15"/>
      <c r="P52" s="15"/>
      <c r="Q52" s="15"/>
      <c r="R52" s="15"/>
      <c r="S52" s="15"/>
      <c r="T52" s="15"/>
    </row>
    <row r="53" spans="1:20" x14ac:dyDescent="0.3">
      <c r="A53" s="152"/>
      <c r="B53" s="153"/>
      <c r="C53" s="153"/>
      <c r="D53" s="154"/>
      <c r="E53" s="15"/>
      <c r="F53" s="15"/>
      <c r="G53" s="160"/>
      <c r="H53" s="161"/>
      <c r="I53" s="161"/>
      <c r="J53" s="161"/>
      <c r="K53" s="101"/>
      <c r="L53" s="15"/>
      <c r="M53" s="15"/>
      <c r="N53" s="15"/>
      <c r="O53" s="15"/>
      <c r="P53" s="15"/>
      <c r="Q53" s="15"/>
      <c r="R53" s="15"/>
      <c r="S53" s="15"/>
      <c r="T53" s="15"/>
    </row>
    <row r="54" spans="1:20" ht="7.8" customHeight="1" x14ac:dyDescent="0.3">
      <c r="A54" s="155"/>
      <c r="B54" s="156"/>
      <c r="C54" s="156"/>
      <c r="D54" s="157"/>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6"/>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20">
    <mergeCell ref="E50:H50"/>
    <mergeCell ref="A51:D51"/>
    <mergeCell ref="G51:J51"/>
    <mergeCell ref="A52:D54"/>
    <mergeCell ref="G52:J54"/>
    <mergeCell ref="A9:A11"/>
    <mergeCell ref="B9:B11"/>
    <mergeCell ref="C9:D9"/>
    <mergeCell ref="E9:H9"/>
    <mergeCell ref="I9:I11"/>
    <mergeCell ref="J9:J11"/>
    <mergeCell ref="C10:C11"/>
    <mergeCell ref="D10:D11"/>
    <mergeCell ref="E10:F10"/>
    <mergeCell ref="G10:H10"/>
    <mergeCell ref="A1:B2"/>
    <mergeCell ref="A3:J4"/>
    <mergeCell ref="D5:F5"/>
    <mergeCell ref="G5:H5"/>
    <mergeCell ref="H1:J1"/>
  </mergeCells>
  <conditionalFormatting sqref="C13:D49">
    <cfRule type="expression" dxfId="311" priority="1">
      <formula>$K13="non"</formula>
    </cfRule>
  </conditionalFormatting>
  <dataValidations count="3">
    <dataValidation allowBlank="1" showInputMessage="1" showErrorMessage="1" error="Tapez les heures sous le format_x000a_00:00" sqref="L12:O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J5:K5">
      <formula1>42736</formula1>
    </dataValidation>
  </dataValidations>
  <printOptions horizontalCentered="1"/>
  <pageMargins left="0.23622047244094491" right="0.23622047244094491" top="0" bottom="0" header="0.31496062992125984" footer="0.31496062992125984"/>
  <pageSetup paperSize="9" orientation="portrait" r:id="rId1"/>
  <drawing r:id="rId2"/>
  <legacyDrawing r:id="rId3"/>
  <controls>
    <mc:AlternateContent xmlns:mc="http://schemas.openxmlformats.org/markup-compatibility/2006">
      <mc:Choice Requires="x14">
        <control shapeId="4097" r:id="rId4" name="CommandButton1">
          <controlPr defaultSize="0" print="0" autoLine="0" r:id="rId5">
            <anchor moveWithCells="1">
              <from>
                <xdr:col>8</xdr:col>
                <xdr:colOff>723900</xdr:colOff>
                <xdr:row>0</xdr:row>
                <xdr:rowOff>106680</xdr:rowOff>
              </from>
              <to>
                <xdr:col>21</xdr:col>
                <xdr:colOff>7620</xdr:colOff>
                <xdr:row>3</xdr:row>
                <xdr:rowOff>220980</xdr:rowOff>
              </to>
            </anchor>
          </controlPr>
        </control>
      </mc:Choice>
      <mc:Fallback>
        <control shapeId="4097"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Z60"/>
  <sheetViews>
    <sheetView zoomScaleNormal="100" zoomScalePageLayoutView="55" workbookViewId="0">
      <selection activeCell="B20" sqref="B20"/>
    </sheetView>
  </sheetViews>
  <sheetFormatPr baseColWidth="10" defaultRowHeight="14.4" x14ac:dyDescent="0.3"/>
  <cols>
    <col min="1" max="1" width="20.10937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1.21875" style="11" bestFit="1" customWidth="1"/>
    <col min="11" max="11" width="11.21875" style="11" hidden="1" customWidth="1"/>
    <col min="12" max="12" width="14.44140625" hidden="1" customWidth="1"/>
    <col min="13" max="13" width="12.109375" hidden="1" customWidth="1"/>
    <col min="14" max="14" width="20.6640625" hidden="1" customWidth="1"/>
    <col min="15" max="15" width="17.6640625" hidden="1" customWidth="1"/>
    <col min="16" max="16" width="21.88671875" hidden="1" customWidth="1"/>
    <col min="17" max="17" width="15" hidden="1" customWidth="1"/>
    <col min="18" max="18" width="21.77734375" hidden="1" customWidth="1"/>
    <col min="19" max="19" width="15" hidden="1" customWidth="1"/>
    <col min="20" max="20" width="20.109375" hidden="1" customWidth="1"/>
    <col min="21" max="21" width="2.33203125" hidden="1" customWidth="1"/>
    <col min="22" max="22" width="25.21875" customWidth="1"/>
  </cols>
  <sheetData>
    <row r="1" spans="1:26" ht="15.6" customHeight="1" x14ac:dyDescent="0.3">
      <c r="A1" s="132"/>
      <c r="B1" s="132"/>
      <c r="C1" s="12"/>
      <c r="D1" s="12"/>
      <c r="E1" s="13"/>
      <c r="F1" s="13"/>
      <c r="G1" s="13"/>
      <c r="H1" s="130" t="s">
        <v>35</v>
      </c>
      <c r="I1" s="131"/>
      <c r="J1" s="130"/>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47</v>
      </c>
      <c r="B5" s="81">
        <f>'Janvier 18'!B5</f>
        <v>0</v>
      </c>
      <c r="C5" s="17" t="s">
        <v>36</v>
      </c>
      <c r="D5" s="164">
        <f>'Janvier 18'!D5:F5</f>
        <v>0</v>
      </c>
      <c r="E5" s="165"/>
      <c r="F5" s="165"/>
      <c r="G5" s="137" t="s">
        <v>22</v>
      </c>
      <c r="H5" s="137"/>
      <c r="I5" s="59" t="str">
        <f ca="1">MID(CELL("filename",A1),FIND("]",CELL("filename",A1))+1,99)</f>
        <v>Février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43.2"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0.1*(H_Fev[[#This Row],[Heures de nuit]]+IF(H_Fev[[#This Row],[majoration dim &amp; JF]]="non",0,H_Fev[[#This Row],[heures jour dimanche]]+H_Fev[[#This Row],[heures jour fériés]]))</f>
        <v>0</v>
      </c>
      <c r="J13" s="29">
        <f>(MOD(H_Fev[[#This Row],[Fin]]-H_Fev[[#This Row],[début]],1)-MOD(H_Fev[[#This Row],[PNP Fin]]-H_Fev[[#This Row],[PNP Début]],1))*24</f>
        <v>0</v>
      </c>
      <c r="K13" s="48" t="str">
        <f>IFERROR(VLOOKUP(H_Fev[[#This Row],[Service]],Codes[],4,0),"")</f>
        <v/>
      </c>
      <c r="L13" s="30">
        <f>IF(H_Fev[[#This Row],[PNP Début]]=0,0,IF(H_Fev[[#This Row],[PNP Début]]&lt;H_Fev[[#This Row],[début]],1,0)+H_Fev[[#This Row],[PNP Début]])</f>
        <v>0</v>
      </c>
      <c r="M13" s="30">
        <f>IF(H_Fev[[#This Row],[PNP Fin]]=0,0,IF(H_Fev[[#This Row],[PNP Fin]]&lt;H_Fev[[#This Row],[début]],1,0)+H_Fev[[#This Row],[PNP Fin]])</f>
        <v>0</v>
      </c>
      <c r="N13" s="30">
        <f>IF(H_Fev[[#This Row],[Fin]]&lt;H_Fev[[#This Row],[début]],1,0)+H_Fev[[#This Row],[Fin]]</f>
        <v>0</v>
      </c>
      <c r="O13" s="31">
        <f>IF(H_Fev[[#This Row],[Fin]]&lt;H_Fev[[#This Row],[début]],MAX(0,MIN(H_Fev[[#This Row],[Fin corrigée si nuit]],fin_nuit)-MAX(H_Fev[[#This Row],[début]],deb_nuit))*24,(MAX(deb_nuit,H_Fev[[#This Row],[Fin]])-MAX(deb_nuit,H_Fev[[#This Row],[début]])+MAX(MIN(fin_nuit-1,H_Fev[[#This Row],[Fin]])-MIN(fin_nuit-1,H_Fev[[#This Row],[début]]),0))*24)</f>
        <v>0</v>
      </c>
      <c r="P13" s="31">
        <f>(MAX(0,MIN(H_Fev[[#This Row],[Fin corrigée si nuit]],fin_nuit)-MAX(H_Fev[[#This Row],[début]],deb_nuit))-IF(H_Fev[[#This Row],[PNP Début]]=0,0,MIN(H_Fev[[#This Row],[PNP Fin corrigée]],fin_nuit)-MAX(H_Fev[[#This Row],[PNP Début corrigé]],deb_nuit)))*24</f>
        <v>0</v>
      </c>
      <c r="Q13" s="31">
        <f>(IF(WEEKDAY(H_Fev[[#This Row],[Date]],2)=7,MAX(0,MIN(fin_dimJF,H_Fev[[#This Row],[Fin corrigée si nuit]])-MAX(deb_dimJF,H_Fev[[#This Row],[début]])),0)+IF(WEEKDAY(H_Fev[[#This Row],[Date]],2)=6,MAX(0,H_Fev[[#This Row],[Fin corrigée si nuit]]-(1+deb_dimJF)),0))*24</f>
        <v>0</v>
      </c>
      <c r="R13" s="3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13" s="32">
        <f>(IF(COUNTIF(JF,H_Fev[[#This Row],[Date]]),MAX(0,MIN(fin_dimJF,H_Fev[[#This Row],[Fin corrigée si nuit]])-MAX(deb_dimJF,H_Fev[[#This Row],[début]])),0)+IF(COUNTIF(JF,H_Fev[[#This Row],[Date]]+1),MAX(0,H_Fev[[#This Row],[Fin corrigée si nuit]]-(1+deb_dimJF)),0))*24</f>
        <v>0</v>
      </c>
      <c r="T13" s="32">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c r="V13" s="124"/>
      <c r="W13" s="124"/>
      <c r="X13" s="124"/>
      <c r="Y13" s="124"/>
      <c r="Z13" s="124"/>
    </row>
    <row r="14" spans="1:26" x14ac:dyDescent="0.3">
      <c r="A14" s="4"/>
      <c r="B14" s="1"/>
      <c r="C14" s="113"/>
      <c r="D14" s="113"/>
      <c r="E14" s="3"/>
      <c r="F14" s="3"/>
      <c r="G14" s="3"/>
      <c r="H14" s="3"/>
      <c r="I14" s="28">
        <f>0.1*(H_Fev[[#This Row],[Heures de nuit]]+IF(H_Fev[[#This Row],[majoration dim &amp; JF]]="non",0,H_Fev[[#This Row],[heures jour dimanche]]+H_Fev[[#This Row],[heures jour fériés]]))</f>
        <v>0</v>
      </c>
      <c r="J14" s="29">
        <f>(MOD(H_Fev[[#This Row],[Fin]]-H_Fev[[#This Row],[début]],1)-MOD(H_Fev[[#This Row],[PNP Fin]]-H_Fev[[#This Row],[PNP Début]],1))*24</f>
        <v>0</v>
      </c>
      <c r="K14" s="48" t="str">
        <f>IFERROR(VLOOKUP(H_Fev[[#This Row],[Service]],Codes[],4,0),"")</f>
        <v/>
      </c>
      <c r="L14" s="30">
        <f>IF(H_Fev[[#This Row],[PNP Début]]=0,0,IF(H_Fev[[#This Row],[PNP Début]]&lt;H_Fev[[#This Row],[début]],1,0)+H_Fev[[#This Row],[PNP Début]])</f>
        <v>0</v>
      </c>
      <c r="M14" s="30">
        <f>IF(H_Fev[[#This Row],[PNP Fin]]=0,0,IF(H_Fev[[#This Row],[PNP Fin]]&lt;H_Fev[[#This Row],[début]],1,0)+H_Fev[[#This Row],[PNP Fin]])</f>
        <v>0</v>
      </c>
      <c r="N14" s="30">
        <f>IF(H_Fev[[#This Row],[Fin]]&lt;H_Fev[[#This Row],[début]],1,0)+H_Fev[[#This Row],[Fin]]</f>
        <v>0</v>
      </c>
      <c r="O14" s="31">
        <f>IF(H_Fev[[#This Row],[Fin]]&lt;H_Fev[[#This Row],[début]],MAX(0,MIN(H_Fev[[#This Row],[Fin corrigée si nuit]],fin_nuit)-MAX(H_Fev[[#This Row],[début]],deb_nuit))*24,(MAX(deb_nuit,H_Fev[[#This Row],[Fin]])-MAX(deb_nuit,H_Fev[[#This Row],[début]])+MAX(MIN(fin_nuit-1,H_Fev[[#This Row],[Fin]])-MIN(fin_nuit-1,H_Fev[[#This Row],[début]]),0))*24)</f>
        <v>0</v>
      </c>
      <c r="P14" s="31">
        <f>(MAX(0,MIN(H_Fev[[#This Row],[Fin corrigée si nuit]],fin_nuit)-MAX(H_Fev[[#This Row],[début]],deb_nuit))-IF(H_Fev[[#This Row],[PNP Début]]=0,0,MIN(H_Fev[[#This Row],[PNP Fin corrigée]],fin_nuit)-MAX(H_Fev[[#This Row],[PNP Début corrigé]],deb_nuit)))*24</f>
        <v>0</v>
      </c>
      <c r="Q14" s="31">
        <f>(IF(WEEKDAY(H_Fev[[#This Row],[Date]],2)=7,MAX(0,MIN(fin_dimJF,H_Fev[[#This Row],[Fin corrigée si nuit]])-MAX(deb_dimJF,H_Fev[[#This Row],[début]])),0)+IF(WEEKDAY(H_Fev[[#This Row],[Date]],2)=6,MAX(0,H_Fev[[#This Row],[Fin corrigée si nuit]]-(1+deb_dimJF)),0))*24</f>
        <v>0</v>
      </c>
      <c r="R14" s="3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14" s="32">
        <f>(IF(COUNTIF(JF,H_Fev[[#This Row],[Date]]),MAX(0,MIN(fin_dimJF,H_Fev[[#This Row],[Fin corrigée si nuit]])-MAX(deb_dimJF,H_Fev[[#This Row],[début]])),0)+IF(COUNTIF(JF,H_Fev[[#This Row],[Date]]+1),MAX(0,H_Fev[[#This Row],[Fin corrigée si nuit]]-(1+deb_dimJF)),0))*24</f>
        <v>0</v>
      </c>
      <c r="T14" s="32">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c r="V14" s="124"/>
      <c r="W14" s="124"/>
      <c r="X14" s="124"/>
      <c r="Y14" s="124"/>
      <c r="Z14" s="124"/>
    </row>
    <row r="15" spans="1:26" x14ac:dyDescent="0.3">
      <c r="A15" s="4"/>
      <c r="B15" s="1"/>
      <c r="C15" s="2"/>
      <c r="D15" s="2"/>
      <c r="E15" s="3"/>
      <c r="F15" s="3"/>
      <c r="G15" s="3"/>
      <c r="H15" s="3"/>
      <c r="I15" s="28">
        <f>0.1*(H_Fev[[#This Row],[Heures de nuit]]+IF(H_Fev[[#This Row],[majoration dim &amp; JF]]="non",0,H_Fev[[#This Row],[heures jour dimanche]]+H_Fev[[#This Row],[heures jour fériés]]))</f>
        <v>0</v>
      </c>
      <c r="J15" s="29">
        <f>(MOD(H_Fev[[#This Row],[Fin]]-H_Fev[[#This Row],[début]],1)-MOD(H_Fev[[#This Row],[PNP Fin]]-H_Fev[[#This Row],[PNP Début]],1))*24</f>
        <v>0</v>
      </c>
      <c r="K15" s="48" t="str">
        <f>IFERROR(VLOOKUP(H_Fev[[#This Row],[Service]],Codes[],4,0),"")</f>
        <v/>
      </c>
      <c r="L15" s="30">
        <f>IF(H_Fev[[#This Row],[PNP Début]]=0,0,IF(H_Fev[[#This Row],[PNP Début]]&lt;H_Fev[[#This Row],[début]],1,0)+H_Fev[[#This Row],[PNP Début]])</f>
        <v>0</v>
      </c>
      <c r="M15" s="30">
        <f>IF(H_Fev[[#This Row],[PNP Fin]]=0,0,IF(H_Fev[[#This Row],[PNP Fin]]&lt;H_Fev[[#This Row],[début]],1,0)+H_Fev[[#This Row],[PNP Fin]])</f>
        <v>0</v>
      </c>
      <c r="N15" s="30">
        <f>IF(H_Fev[[#This Row],[Fin]]&lt;H_Fev[[#This Row],[début]],1,0)+H_Fev[[#This Row],[Fin]]</f>
        <v>0</v>
      </c>
      <c r="O15" s="31">
        <f>IF(H_Fev[[#This Row],[Fin]]&lt;H_Fev[[#This Row],[début]],MAX(0,MIN(H_Fev[[#This Row],[Fin corrigée si nuit]],fin_nuit)-MAX(H_Fev[[#This Row],[début]],deb_nuit))*24,(MAX(deb_nuit,H_Fev[[#This Row],[Fin]])-MAX(deb_nuit,H_Fev[[#This Row],[début]])+MAX(MIN(fin_nuit-1,H_Fev[[#This Row],[Fin]])-MIN(fin_nuit-1,H_Fev[[#This Row],[début]]),0))*24)</f>
        <v>0</v>
      </c>
      <c r="P15" s="31">
        <f>(MAX(0,MIN(H_Fev[[#This Row],[Fin corrigée si nuit]],fin_nuit)-MAX(H_Fev[[#This Row],[début]],deb_nuit))-IF(H_Fev[[#This Row],[PNP Début]]=0,0,MIN(H_Fev[[#This Row],[PNP Fin corrigée]],fin_nuit)-MAX(H_Fev[[#This Row],[PNP Début corrigé]],deb_nuit)))*24</f>
        <v>0</v>
      </c>
      <c r="Q15" s="31">
        <f>(IF(WEEKDAY(H_Fev[[#This Row],[Date]],2)=7,MAX(0,MIN(fin_dimJF,H_Fev[[#This Row],[Fin corrigée si nuit]])-MAX(deb_dimJF,H_Fev[[#This Row],[début]])),0)+IF(WEEKDAY(H_Fev[[#This Row],[Date]],2)=6,MAX(0,H_Fev[[#This Row],[Fin corrigée si nuit]]-(1+deb_dimJF)),0))*24</f>
        <v>0</v>
      </c>
      <c r="R15" s="3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15" s="32">
        <f>(IF(COUNTIF(JF,H_Fev[[#This Row],[Date]]),MAX(0,MIN(fin_dimJF,H_Fev[[#This Row],[Fin corrigée si nuit]])-MAX(deb_dimJF,H_Fev[[#This Row],[début]])),0)+IF(COUNTIF(JF,H_Fev[[#This Row],[Date]]+1),MAX(0,H_Fev[[#This Row],[Fin corrigée si nuit]]-(1+deb_dimJF)),0))*24</f>
        <v>0</v>
      </c>
      <c r="T15" s="32">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0.1*(H_Fev[[#This Row],[Heures de nuit]]+IF(H_Fev[[#This Row],[majoration dim &amp; JF]]="non",0,H_Fev[[#This Row],[heures jour dimanche]]+H_Fev[[#This Row],[heures jour fériés]]))</f>
        <v>0</v>
      </c>
      <c r="J16" s="33">
        <f>(MOD(H_Fev[[#This Row],[Fin]]-H_Fev[[#This Row],[début]],1)-MOD(H_Fev[[#This Row],[PNP Fin]]-H_Fev[[#This Row],[PNP Début]],1))*24</f>
        <v>0</v>
      </c>
      <c r="K16" s="48" t="str">
        <f>IFERROR(VLOOKUP(H_Fev[[#This Row],[Service]],Codes[],4,0),"")</f>
        <v/>
      </c>
      <c r="L16" s="30">
        <f>IF(H_Fev[[#This Row],[PNP Début]]=0,0,IF(H_Fev[[#This Row],[PNP Début]]&lt;H_Fev[[#This Row],[début]],1,0)+H_Fev[[#This Row],[PNP Début]])</f>
        <v>0</v>
      </c>
      <c r="M16" s="30">
        <f>IF(H_Fev[[#This Row],[PNP Fin]]=0,0,IF(H_Fev[[#This Row],[PNP Fin]]&lt;H_Fev[[#This Row],[début]],1,0)+H_Fev[[#This Row],[PNP Fin]])</f>
        <v>0</v>
      </c>
      <c r="N16" s="34">
        <f>IF(H_Fev[[#This Row],[Fin]]&lt;H_Fev[[#This Row],[début]],1,0)+H_Fev[[#This Row],[Fin]]</f>
        <v>0</v>
      </c>
      <c r="O16" s="31">
        <f>IF(H_Fev[[#This Row],[Fin]]&lt;H_Fev[[#This Row],[début]],MAX(0,MIN(H_Fev[[#This Row],[Fin corrigée si nuit]],fin_nuit)-MAX(H_Fev[[#This Row],[début]],deb_nuit))*24,(MAX(deb_nuit,H_Fev[[#This Row],[Fin]])-MAX(deb_nuit,H_Fev[[#This Row],[début]])+MAX(MIN(fin_nuit-1,H_Fev[[#This Row],[Fin]])-MIN(fin_nuit-1,H_Fev[[#This Row],[début]]),0))*24)</f>
        <v>0</v>
      </c>
      <c r="P16" s="35">
        <f>(MAX(0,MIN(H_Fev[[#This Row],[Fin corrigée si nuit]],fin_nuit)-MAX(H_Fev[[#This Row],[début]],deb_nuit))-IF(H_Fev[[#This Row],[PNP Début]]=0,0,MIN(H_Fev[[#This Row],[PNP Fin corrigée]],fin_nuit)-MAX(H_Fev[[#This Row],[PNP Début corrigé]],deb_nuit)))*24</f>
        <v>0</v>
      </c>
      <c r="Q16" s="35">
        <f>(IF(WEEKDAY(H_Fev[[#This Row],[Date]],2)=7,MAX(0,MIN(fin_dimJF,H_Fev[[#This Row],[Fin corrigée si nuit]])-MAX(deb_dimJF,H_Fev[[#This Row],[début]])),0)+IF(WEEKDAY(H_Fev[[#This Row],[Date]],2)=6,MAX(0,H_Fev[[#This Row],[Fin corrigée si nuit]]-(1+deb_dimJF)),0))*24</f>
        <v>0</v>
      </c>
      <c r="R16" s="3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16" s="36">
        <f>(IF(COUNTIF(JF,H_Fev[[#This Row],[Date]]),MAX(0,MIN(fin_dimJF,H_Fev[[#This Row],[Fin corrigée si nuit]])-MAX(deb_dimJF,H_Fev[[#This Row],[début]])),0)+IF(COUNTIF(JF,H_Fev[[#This Row],[Date]]+1),MAX(0,H_Fev[[#This Row],[Fin corrigée si nuit]]-(1+deb_dimJF)),0))*24</f>
        <v>0</v>
      </c>
      <c r="T16" s="36">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c r="V16" s="127" t="s">
        <v>135</v>
      </c>
      <c r="W16" s="128">
        <f>'Janvier 18'!Z16</f>
        <v>20.100000000000001</v>
      </c>
      <c r="X16" s="128">
        <f>I50</f>
        <v>0</v>
      </c>
      <c r="Y16" s="128"/>
      <c r="Z16" s="128">
        <f>W16+X16-Y16</f>
        <v>20.100000000000001</v>
      </c>
    </row>
    <row r="17" spans="1:20" x14ac:dyDescent="0.3">
      <c r="A17" s="4"/>
      <c r="B17" s="1"/>
      <c r="C17" s="2"/>
      <c r="D17" s="2"/>
      <c r="E17" s="3"/>
      <c r="F17" s="3"/>
      <c r="G17" s="5"/>
      <c r="H17" s="5"/>
      <c r="I17" s="37">
        <f>0.1*(H_Fev[[#This Row],[Heures de nuit]]+IF(H_Fev[[#This Row],[majoration dim &amp; JF]]="non",0,H_Fev[[#This Row],[heures jour dimanche]]+H_Fev[[#This Row],[heures jour fériés]]))</f>
        <v>0</v>
      </c>
      <c r="J17" s="38">
        <f>(MOD(H_Fev[[#This Row],[Fin]]-H_Fev[[#This Row],[début]],1)-MOD(H_Fev[[#This Row],[PNP Fin]]-H_Fev[[#This Row],[PNP Début]],1))*24</f>
        <v>0</v>
      </c>
      <c r="K17" s="48" t="str">
        <f>IFERROR(VLOOKUP(H_Fev[[#This Row],[Service]],Codes[],4,0),"")</f>
        <v/>
      </c>
      <c r="L17" s="39">
        <f>IF(H_Fev[[#This Row],[PNP Début]]=0,0,IF(H_Fev[[#This Row],[PNP Début]]&lt;H_Fev[[#This Row],[début]],1,0)+H_Fev[[#This Row],[PNP Début]])</f>
        <v>0</v>
      </c>
      <c r="M17" s="40">
        <f>IF(H_Fev[[#This Row],[PNP Fin]]=0,0,IF(H_Fev[[#This Row],[PNP Fin]]&lt;H_Fev[[#This Row],[début]],1,0)+H_Fev[[#This Row],[PNP Fin]])</f>
        <v>0</v>
      </c>
      <c r="N17" s="40">
        <f>IF(H_Fev[[#This Row],[Fin]]&lt;H_Fev[[#This Row],[début]],1,0)+H_Fev[[#This Row],[Fin]]</f>
        <v>0</v>
      </c>
      <c r="O17" s="31">
        <f>IF(H_Fev[[#This Row],[Fin]]&lt;H_Fev[[#This Row],[début]],MAX(0,MIN(H_Fev[[#This Row],[Fin corrigée si nuit]],fin_nuit)-MAX(H_Fev[[#This Row],[début]],deb_nuit))*24,(MAX(deb_nuit,H_Fev[[#This Row],[Fin]])-MAX(deb_nuit,H_Fev[[#This Row],[début]])+MAX(MIN(fin_nuit-1,H_Fev[[#This Row],[Fin]])-MIN(fin_nuit-1,H_Fev[[#This Row],[début]]),0))*24)</f>
        <v>0</v>
      </c>
      <c r="P17" s="41">
        <f>(MAX(0,MIN(H_Fev[[#This Row],[Fin corrigée si nuit]],fin_nuit)-MAX(H_Fev[[#This Row],[début]],deb_nuit))-IF(H_Fev[[#This Row],[PNP Début]]=0,0,MIN(H_Fev[[#This Row],[PNP Fin corrigée]],fin_nuit)-MAX(H_Fev[[#This Row],[PNP Début corrigé]],deb_nuit)))*24</f>
        <v>0</v>
      </c>
      <c r="Q17" s="41">
        <f>(IF(WEEKDAY(H_Fev[[#This Row],[Date]],2)=7,MAX(0,MIN(fin_dimJF,H_Fev[[#This Row],[Fin corrigée si nuit]])-MAX(deb_dimJF,H_Fev[[#This Row],[début]])),0)+IF(WEEKDAY(H_Fev[[#This Row],[Date]],2)=6,MAX(0,H_Fev[[#This Row],[Fin corrigée si nuit]]-(1+deb_dimJF)),0))*24</f>
        <v>0</v>
      </c>
      <c r="R17" s="4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17" s="41">
        <f>(IF(COUNTIF(JF,H_Fev[[#This Row],[Date]]),MAX(0,MIN(fin_dimJF,H_Fev[[#This Row],[Fin corrigée si nuit]])-MAX(deb_dimJF,H_Fev[[#This Row],[début]])),0)+IF(COUNTIF(JF,H_Fev[[#This Row],[Date]]+1),MAX(0,H_Fev[[#This Row],[Fin corrigée si nuit]]-(1+deb_dimJF)),0))*24</f>
        <v>0</v>
      </c>
      <c r="T17" s="4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18" spans="1:20" x14ac:dyDescent="0.3">
      <c r="A18" s="4"/>
      <c r="B18" s="1"/>
      <c r="C18" s="2"/>
      <c r="D18" s="2"/>
      <c r="E18" s="3"/>
      <c r="F18" s="3"/>
      <c r="G18" s="9"/>
      <c r="H18" s="9"/>
      <c r="I18" s="37">
        <f>0.1*(H_Fev[[#This Row],[Heures de nuit]]+IF(H_Fev[[#This Row],[majoration dim &amp; JF]]="non",0,H_Fev[[#This Row],[heures jour dimanche]]+H_Fev[[#This Row],[heures jour fériés]]))</f>
        <v>0</v>
      </c>
      <c r="J18" s="38">
        <f>(MOD(H_Fev[[#This Row],[Fin]]-H_Fev[[#This Row],[début]],1)-MOD(H_Fev[[#This Row],[PNP Fin]]-H_Fev[[#This Row],[PNP Début]],1))*24</f>
        <v>0</v>
      </c>
      <c r="K18" s="48" t="str">
        <f>IFERROR(VLOOKUP(H_Fev[[#This Row],[Service]],Codes[],4,0),"")</f>
        <v/>
      </c>
      <c r="L18" s="39">
        <f>IF(H_Fev[[#This Row],[PNP Début]]=0,0,IF(H_Fev[[#This Row],[PNP Début]]&lt;H_Fev[[#This Row],[début]],1,0)+H_Fev[[#This Row],[PNP Début]])</f>
        <v>0</v>
      </c>
      <c r="M18" s="40">
        <f>IF(H_Fev[[#This Row],[PNP Fin]]=0,0,IF(H_Fev[[#This Row],[PNP Fin]]&lt;H_Fev[[#This Row],[début]],1,0)+H_Fev[[#This Row],[PNP Fin]])</f>
        <v>0</v>
      </c>
      <c r="N18" s="40">
        <f>IF(H_Fev[[#This Row],[Fin]]&lt;H_Fev[[#This Row],[début]],1,0)+H_Fev[[#This Row],[Fin]]</f>
        <v>0</v>
      </c>
      <c r="O18" s="31">
        <f>IF(H_Fev[[#This Row],[Fin]]&lt;H_Fev[[#This Row],[début]],MAX(0,MIN(H_Fev[[#This Row],[Fin corrigée si nuit]],fin_nuit)-MAX(H_Fev[[#This Row],[début]],deb_nuit))*24,(MAX(deb_nuit,H_Fev[[#This Row],[Fin]])-MAX(deb_nuit,H_Fev[[#This Row],[début]])+MAX(MIN(fin_nuit-1,H_Fev[[#This Row],[Fin]])-MIN(fin_nuit-1,H_Fev[[#This Row],[début]]),0))*24)</f>
        <v>0</v>
      </c>
      <c r="P18" s="41">
        <f>(MAX(0,MIN(H_Fev[[#This Row],[Fin corrigée si nuit]],fin_nuit)-MAX(H_Fev[[#This Row],[début]],deb_nuit))-IF(H_Fev[[#This Row],[PNP Début]]=0,0,MIN(H_Fev[[#This Row],[PNP Fin corrigée]],fin_nuit)-MAX(H_Fev[[#This Row],[PNP Début corrigé]],deb_nuit)))*24</f>
        <v>0</v>
      </c>
      <c r="Q18" s="41">
        <f>(IF(WEEKDAY(H_Fev[[#This Row],[Date]],2)=7,MAX(0,MIN(fin_dimJF,H_Fev[[#This Row],[Fin corrigée si nuit]])-MAX(deb_dimJF,H_Fev[[#This Row],[début]])),0)+IF(WEEKDAY(H_Fev[[#This Row],[Date]],2)=6,MAX(0,H_Fev[[#This Row],[Fin corrigée si nuit]]-(1+deb_dimJF)),0))*24</f>
        <v>0</v>
      </c>
      <c r="R18" s="4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18" s="41">
        <f>(IF(COUNTIF(JF,H_Fev[[#This Row],[Date]]),MAX(0,MIN(fin_dimJF,H_Fev[[#This Row],[Fin corrigée si nuit]])-MAX(deb_dimJF,H_Fev[[#This Row],[début]])),0)+IF(COUNTIF(JF,H_Fev[[#This Row],[Date]]+1),MAX(0,H_Fev[[#This Row],[Fin corrigée si nuit]]-(1+deb_dimJF)),0))*24</f>
        <v>0</v>
      </c>
      <c r="T18" s="4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19" spans="1:20" x14ac:dyDescent="0.3">
      <c r="A19" s="4"/>
      <c r="B19" s="1"/>
      <c r="C19" s="2"/>
      <c r="D19" s="2"/>
      <c r="E19" s="3"/>
      <c r="F19" s="3"/>
      <c r="G19" s="9"/>
      <c r="H19" s="9"/>
      <c r="I19" s="37">
        <f>0.1*(H_Fev[[#This Row],[Heures de nuit]]+IF(H_Fev[[#This Row],[majoration dim &amp; JF]]="non",0,H_Fev[[#This Row],[heures jour dimanche]]+H_Fev[[#This Row],[heures jour fériés]]))</f>
        <v>0</v>
      </c>
      <c r="J19" s="38">
        <f>(MOD(H_Fev[[#This Row],[Fin]]-H_Fev[[#This Row],[début]],1)-MOD(H_Fev[[#This Row],[PNP Fin]]-H_Fev[[#This Row],[PNP Début]],1))*24</f>
        <v>0</v>
      </c>
      <c r="K19" s="48" t="str">
        <f>IFERROR(VLOOKUP(H_Fev[[#This Row],[Service]],Codes[],4,0),"")</f>
        <v/>
      </c>
      <c r="L19" s="39">
        <f>IF(H_Fev[[#This Row],[PNP Début]]=0,0,IF(H_Fev[[#This Row],[PNP Début]]&lt;H_Fev[[#This Row],[début]],1,0)+H_Fev[[#This Row],[PNP Début]])</f>
        <v>0</v>
      </c>
      <c r="M19" s="40">
        <f>IF(H_Fev[[#This Row],[PNP Fin]]=0,0,IF(H_Fev[[#This Row],[PNP Fin]]&lt;H_Fev[[#This Row],[début]],1,0)+H_Fev[[#This Row],[PNP Fin]])</f>
        <v>0</v>
      </c>
      <c r="N19" s="40">
        <f>IF(H_Fev[[#This Row],[Fin]]&lt;H_Fev[[#This Row],[début]],1,0)+H_Fev[[#This Row],[Fin]]</f>
        <v>0</v>
      </c>
      <c r="O19" s="31">
        <f>IF(H_Fev[[#This Row],[Fin]]&lt;H_Fev[[#This Row],[début]],MAX(0,MIN(H_Fev[[#This Row],[Fin corrigée si nuit]],fin_nuit)-MAX(H_Fev[[#This Row],[début]],deb_nuit))*24,(MAX(deb_nuit,H_Fev[[#This Row],[Fin]])-MAX(deb_nuit,H_Fev[[#This Row],[début]])+MAX(MIN(fin_nuit-1,H_Fev[[#This Row],[Fin]])-MIN(fin_nuit-1,H_Fev[[#This Row],[début]]),0))*24)</f>
        <v>0</v>
      </c>
      <c r="P19" s="41">
        <f>(MAX(0,MIN(H_Fev[[#This Row],[Fin corrigée si nuit]],fin_nuit)-MAX(H_Fev[[#This Row],[début]],deb_nuit))-IF(H_Fev[[#This Row],[PNP Début]]=0,0,MIN(H_Fev[[#This Row],[PNP Fin corrigée]],fin_nuit)-MAX(H_Fev[[#This Row],[PNP Début corrigé]],deb_nuit)))*24</f>
        <v>0</v>
      </c>
      <c r="Q19" s="41">
        <f>(IF(WEEKDAY(H_Fev[[#This Row],[Date]],2)=7,MAX(0,MIN(fin_dimJF,H_Fev[[#This Row],[Fin corrigée si nuit]])-MAX(deb_dimJF,H_Fev[[#This Row],[début]])),0)+IF(WEEKDAY(H_Fev[[#This Row],[Date]],2)=6,MAX(0,H_Fev[[#This Row],[Fin corrigée si nuit]]-(1+deb_dimJF)),0))*24</f>
        <v>0</v>
      </c>
      <c r="R19" s="4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19" s="41">
        <f>(IF(COUNTIF(JF,H_Fev[[#This Row],[Date]]),MAX(0,MIN(fin_dimJF,H_Fev[[#This Row],[Fin corrigée si nuit]])-MAX(deb_dimJF,H_Fev[[#This Row],[début]])),0)+IF(COUNTIF(JF,H_Fev[[#This Row],[Date]]+1),MAX(0,H_Fev[[#This Row],[Fin corrigée si nuit]]-(1+deb_dimJF)),0))*24</f>
        <v>0</v>
      </c>
      <c r="T19" s="4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0" spans="1:20" x14ac:dyDescent="0.3">
      <c r="A20" s="4"/>
      <c r="B20" s="1"/>
      <c r="C20" s="2"/>
      <c r="D20" s="2"/>
      <c r="E20" s="3"/>
      <c r="F20" s="3"/>
      <c r="G20" s="5"/>
      <c r="H20" s="5"/>
      <c r="I20" s="37">
        <f>0.1*(H_Fev[[#This Row],[Heures de nuit]]+IF(H_Fev[[#This Row],[majoration dim &amp; JF]]="non",0,H_Fev[[#This Row],[heures jour dimanche]]+H_Fev[[#This Row],[heures jour fériés]]))</f>
        <v>0</v>
      </c>
      <c r="J20" s="38">
        <f>(MOD(H_Fev[[#This Row],[Fin]]-H_Fev[[#This Row],[début]],1)-MOD(H_Fev[[#This Row],[PNP Fin]]-H_Fev[[#This Row],[PNP Début]],1))*24</f>
        <v>0</v>
      </c>
      <c r="K20" s="48" t="str">
        <f>IFERROR(VLOOKUP(H_Fev[[#This Row],[Service]],Codes[],4,0),"")</f>
        <v/>
      </c>
      <c r="L20" s="39">
        <f>IF(H_Fev[[#This Row],[PNP Début]]=0,0,IF(H_Fev[[#This Row],[PNP Début]]&lt;H_Fev[[#This Row],[début]],1,0)+H_Fev[[#This Row],[PNP Début]])</f>
        <v>0</v>
      </c>
      <c r="M20" s="40">
        <f>IF(H_Fev[[#This Row],[PNP Fin]]=0,0,IF(H_Fev[[#This Row],[PNP Fin]]&lt;H_Fev[[#This Row],[début]],1,0)+H_Fev[[#This Row],[PNP Fin]])</f>
        <v>0</v>
      </c>
      <c r="N20" s="40">
        <f>IF(H_Fev[[#This Row],[Fin]]&lt;H_Fev[[#This Row],[début]],1,0)+H_Fev[[#This Row],[Fin]]</f>
        <v>0</v>
      </c>
      <c r="O20" s="31">
        <f>IF(H_Fev[[#This Row],[Fin]]&lt;H_Fev[[#This Row],[début]],MAX(0,MIN(H_Fev[[#This Row],[Fin corrigée si nuit]],fin_nuit)-MAX(H_Fev[[#This Row],[début]],deb_nuit))*24,(MAX(deb_nuit,H_Fev[[#This Row],[Fin]])-MAX(deb_nuit,H_Fev[[#This Row],[début]])+MAX(MIN(fin_nuit-1,H_Fev[[#This Row],[Fin]])-MIN(fin_nuit-1,H_Fev[[#This Row],[début]]),0))*24)</f>
        <v>0</v>
      </c>
      <c r="P20" s="41">
        <f>(MAX(0,MIN(H_Fev[[#This Row],[Fin corrigée si nuit]],fin_nuit)-MAX(H_Fev[[#This Row],[début]],deb_nuit))-IF(H_Fev[[#This Row],[PNP Début]]=0,0,MIN(H_Fev[[#This Row],[PNP Fin corrigée]],fin_nuit)-MAX(H_Fev[[#This Row],[PNP Début corrigé]],deb_nuit)))*24</f>
        <v>0</v>
      </c>
      <c r="Q20" s="41">
        <f>(IF(WEEKDAY(H_Fev[[#This Row],[Date]],2)=7,MAX(0,MIN(fin_dimJF,H_Fev[[#This Row],[Fin corrigée si nuit]])-MAX(deb_dimJF,H_Fev[[#This Row],[début]])),0)+IF(WEEKDAY(H_Fev[[#This Row],[Date]],2)=6,MAX(0,H_Fev[[#This Row],[Fin corrigée si nuit]]-(1+deb_dimJF)),0))*24</f>
        <v>0</v>
      </c>
      <c r="R20" s="4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0" s="41">
        <f>(IF(COUNTIF(JF,H_Fev[[#This Row],[Date]]),MAX(0,MIN(fin_dimJF,H_Fev[[#This Row],[Fin corrigée si nuit]])-MAX(deb_dimJF,H_Fev[[#This Row],[début]])),0)+IF(COUNTIF(JF,H_Fev[[#This Row],[Date]]+1),MAX(0,H_Fev[[#This Row],[Fin corrigée si nuit]]-(1+deb_dimJF)),0))*24</f>
        <v>0</v>
      </c>
      <c r="T20" s="4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1" spans="1:20" x14ac:dyDescent="0.3">
      <c r="A21" s="4"/>
      <c r="B21" s="1"/>
      <c r="C21" s="2"/>
      <c r="D21" s="2"/>
      <c r="E21" s="3"/>
      <c r="F21" s="3"/>
      <c r="G21" s="5"/>
      <c r="H21" s="5"/>
      <c r="I21" s="42">
        <f>0.1*(H_Fev[[#This Row],[Heures de nuit]]+IF(H_Fev[[#This Row],[majoration dim &amp; JF]]="non",0,H_Fev[[#This Row],[heures jour dimanche]]+H_Fev[[#This Row],[heures jour fériés]]))</f>
        <v>0</v>
      </c>
      <c r="J21" s="43">
        <f>(MOD(H_Fev[[#This Row],[Fin]]-H_Fev[[#This Row],[début]],1)-MOD(H_Fev[[#This Row],[PNP Fin]]-H_Fev[[#This Row],[PNP Début]],1))*24</f>
        <v>0</v>
      </c>
      <c r="K21" s="48" t="str">
        <f>IFERROR(VLOOKUP(H_Fev[[#This Row],[Service]],Codes[],4,0),"")</f>
        <v/>
      </c>
      <c r="L21" s="44">
        <f>IF(H_Fev[[#This Row],[PNP Début]]=0,0,IF(H_Fev[[#This Row],[PNP Début]]&lt;H_Fev[[#This Row],[début]],1,0)+H_Fev[[#This Row],[PNP Début]])</f>
        <v>0</v>
      </c>
      <c r="M21" s="45">
        <f>IF(H_Fev[[#This Row],[PNP Fin]]=0,0,IF(H_Fev[[#This Row],[PNP Fin]]&lt;H_Fev[[#This Row],[début]],1,0)+H_Fev[[#This Row],[PNP Fin]])</f>
        <v>0</v>
      </c>
      <c r="N21" s="45">
        <f>IF(H_Fev[[#This Row],[Fin]]&lt;H_Fev[[#This Row],[début]],1,0)+H_Fev[[#This Row],[Fin]]</f>
        <v>0</v>
      </c>
      <c r="O21" s="31">
        <f>IF(H_Fev[[#This Row],[Fin]]&lt;H_Fev[[#This Row],[début]],MAX(0,MIN(H_Fev[[#This Row],[Fin corrigée si nuit]],fin_nuit)-MAX(H_Fev[[#This Row],[début]],deb_nuit))*24,(MAX(deb_nuit,H_Fev[[#This Row],[Fin]])-MAX(deb_nuit,H_Fev[[#This Row],[début]])+MAX(MIN(fin_nuit-1,H_Fev[[#This Row],[Fin]])-MIN(fin_nuit-1,H_Fev[[#This Row],[début]]),0))*24)</f>
        <v>0</v>
      </c>
      <c r="P21" s="46">
        <f>(MAX(0,MIN(H_Fev[[#This Row],[Fin corrigée si nuit]],fin_nuit)-MAX(H_Fev[[#This Row],[début]],deb_nuit))-IF(H_Fev[[#This Row],[PNP Début]]=0,0,MIN(H_Fev[[#This Row],[PNP Fin corrigée]],fin_nuit)-MAX(H_Fev[[#This Row],[PNP Début corrigé]],deb_nuit)))*24</f>
        <v>0</v>
      </c>
      <c r="Q21" s="46">
        <f>(IF(WEEKDAY(H_Fev[[#This Row],[Date]],2)=7,MAX(0,MIN(fin_dimJF,H_Fev[[#This Row],[Fin corrigée si nuit]])-MAX(deb_dimJF,H_Fev[[#This Row],[début]])),0)+IF(WEEKDAY(H_Fev[[#This Row],[Date]],2)=6,MAX(0,H_Fev[[#This Row],[Fin corrigée si nuit]]-(1+deb_dimJF)),0))*24</f>
        <v>0</v>
      </c>
      <c r="R21" s="46">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1" s="46">
        <f>(IF(COUNTIF(JF,H_Fev[[#This Row],[Date]]),MAX(0,MIN(fin_dimJF,H_Fev[[#This Row],[Fin corrigée si nuit]])-MAX(deb_dimJF,H_Fev[[#This Row],[début]])),0)+IF(COUNTIF(JF,H_Fev[[#This Row],[Date]]+1),MAX(0,H_Fev[[#This Row],[Fin corrigée si nuit]]-(1+deb_dimJF)),0))*24</f>
        <v>0</v>
      </c>
      <c r="T21" s="46">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2" spans="1:20" ht="14.4" customHeight="1" x14ac:dyDescent="0.3">
      <c r="A22" s="4"/>
      <c r="B22" s="1"/>
      <c r="C22" s="2"/>
      <c r="D22" s="2"/>
      <c r="E22" s="3"/>
      <c r="F22" s="3"/>
      <c r="G22" s="3"/>
      <c r="H22" s="3"/>
      <c r="I22" s="47">
        <f>0.1*(H_Fev[[#This Row],[Heures de nuit]]+IF(H_Fev[[#This Row],[majoration dim &amp; JF]]="non",0,H_Fev[[#This Row],[heures jour dimanche]]+H_Fev[[#This Row],[heures jour fériés]]))</f>
        <v>0</v>
      </c>
      <c r="J22" s="48">
        <f>(MOD(H_Fev[[#This Row],[Fin]]-H_Fev[[#This Row],[début]],1)-MOD(H_Fev[[#This Row],[PNP Fin]]-H_Fev[[#This Row],[PNP Début]],1))*24</f>
        <v>0</v>
      </c>
      <c r="K22" s="48" t="str">
        <f>IFERROR(VLOOKUP(H_Fev[[#This Row],[Service]],Codes[],4,0),"")</f>
        <v/>
      </c>
      <c r="L22" s="49">
        <f>IF(H_Fev[[#This Row],[PNP Début]]=0,0,IF(H_Fev[[#This Row],[PNP Début]]&lt;H_Fev[[#This Row],[début]],1,0)+H_Fev[[#This Row],[PNP Début]])</f>
        <v>0</v>
      </c>
      <c r="M22" s="50">
        <f>IF(H_Fev[[#This Row],[PNP Fin]]=0,0,IF(H_Fev[[#This Row],[PNP Fin]]&lt;H_Fev[[#This Row],[début]],1,0)+H_Fev[[#This Row],[PNP Fin]])</f>
        <v>0</v>
      </c>
      <c r="N22" s="50">
        <f>IF(H_Fev[[#This Row],[Fin]]&lt;H_Fev[[#This Row],[début]],1,0)+H_Fev[[#This Row],[Fin]]</f>
        <v>0</v>
      </c>
      <c r="O22" s="31">
        <f>IF(H_Fev[[#This Row],[Fin]]&lt;H_Fev[[#This Row],[début]],MAX(0,MIN(H_Fev[[#This Row],[Fin corrigée si nuit]],fin_nuit)-MAX(H_Fev[[#This Row],[début]],deb_nuit))*24,(MAX(deb_nuit,H_Fev[[#This Row],[Fin]])-MAX(deb_nuit,H_Fev[[#This Row],[début]])+MAX(MIN(fin_nuit-1,H_Fev[[#This Row],[Fin]])-MIN(fin_nuit-1,H_Fev[[#This Row],[début]]),0))*24)</f>
        <v>0</v>
      </c>
      <c r="P22" s="51">
        <f>(MAX(0,MIN(H_Fev[[#This Row],[Fin corrigée si nuit]],fin_nuit)-MAX(H_Fev[[#This Row],[début]],deb_nuit))-IF(H_Fev[[#This Row],[PNP Début]]=0,0,MIN(H_Fev[[#This Row],[PNP Fin corrigée]],fin_nuit)-MAX(H_Fev[[#This Row],[PNP Début corrigé]],deb_nuit)))*24</f>
        <v>0</v>
      </c>
      <c r="Q22" s="51">
        <f>(IF(WEEKDAY(H_Fev[[#This Row],[Date]],2)=7,MAX(0,MIN(fin_dimJF,H_Fev[[#This Row],[Fin corrigée si nuit]])-MAX(deb_dimJF,H_Fev[[#This Row],[début]])),0)+IF(WEEKDAY(H_Fev[[#This Row],[Date]],2)=6,MAX(0,H_Fev[[#This Row],[Fin corrigée si nuit]]-(1+deb_dimJF)),0))*24</f>
        <v>0</v>
      </c>
      <c r="R22"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2" s="51">
        <f>(IF(COUNTIF(JF,H_Fev[[#This Row],[Date]]),MAX(0,MIN(fin_dimJF,H_Fev[[#This Row],[Fin corrigée si nuit]])-MAX(deb_dimJF,H_Fev[[#This Row],[début]])),0)+IF(COUNTIF(JF,H_Fev[[#This Row],[Date]]+1),MAX(0,H_Fev[[#This Row],[Fin corrigée si nuit]]-(1+deb_dimJF)),0))*24</f>
        <v>0</v>
      </c>
      <c r="T22"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3" spans="1:20" ht="14.4" customHeight="1" x14ac:dyDescent="0.3">
      <c r="A23" s="4"/>
      <c r="B23" s="1"/>
      <c r="C23" s="2"/>
      <c r="D23" s="2"/>
      <c r="E23" s="3"/>
      <c r="F23" s="3"/>
      <c r="G23" s="3"/>
      <c r="H23" s="3"/>
      <c r="I23" s="47">
        <f>0.1*(H_Fev[[#This Row],[Heures de nuit]]+IF(H_Fev[[#This Row],[majoration dim &amp; JF]]="non",0,H_Fev[[#This Row],[heures jour dimanche]]+H_Fev[[#This Row],[heures jour fériés]]))</f>
        <v>0</v>
      </c>
      <c r="J23" s="48">
        <f>(MOD(H_Fev[[#This Row],[Fin]]-H_Fev[[#This Row],[début]],1)-MOD(H_Fev[[#This Row],[PNP Fin]]-H_Fev[[#This Row],[PNP Début]],1))*24</f>
        <v>0</v>
      </c>
      <c r="K23" s="48" t="str">
        <f>IFERROR(VLOOKUP(H_Fev[[#This Row],[Service]],Codes[],4,0),"")</f>
        <v/>
      </c>
      <c r="L23" s="49">
        <f>IF(H_Fev[[#This Row],[PNP Début]]=0,0,IF(H_Fev[[#This Row],[PNP Début]]&lt;H_Fev[[#This Row],[début]],1,0)+H_Fev[[#This Row],[PNP Début]])</f>
        <v>0</v>
      </c>
      <c r="M23" s="50">
        <f>IF(H_Fev[[#This Row],[PNP Fin]]=0,0,IF(H_Fev[[#This Row],[PNP Fin]]&lt;H_Fev[[#This Row],[début]],1,0)+H_Fev[[#This Row],[PNP Fin]])</f>
        <v>0</v>
      </c>
      <c r="N23" s="50">
        <f>IF(H_Fev[[#This Row],[Fin]]&lt;H_Fev[[#This Row],[début]],1,0)+H_Fev[[#This Row],[Fin]]</f>
        <v>0</v>
      </c>
      <c r="O23" s="31">
        <f>IF(H_Fev[[#This Row],[Fin]]&lt;H_Fev[[#This Row],[début]],MAX(0,MIN(H_Fev[[#This Row],[Fin corrigée si nuit]],fin_nuit)-MAX(H_Fev[[#This Row],[début]],deb_nuit))*24,(MAX(deb_nuit,H_Fev[[#This Row],[Fin]])-MAX(deb_nuit,H_Fev[[#This Row],[début]])+MAX(MIN(fin_nuit-1,H_Fev[[#This Row],[Fin]])-MIN(fin_nuit-1,H_Fev[[#This Row],[début]]),0))*24)</f>
        <v>0</v>
      </c>
      <c r="P23" s="51">
        <f>(MAX(0,MIN(H_Fev[[#This Row],[Fin corrigée si nuit]],fin_nuit)-MAX(H_Fev[[#This Row],[début]],deb_nuit))-IF(H_Fev[[#This Row],[PNP Début]]=0,0,MIN(H_Fev[[#This Row],[PNP Fin corrigée]],fin_nuit)-MAX(H_Fev[[#This Row],[PNP Début corrigé]],deb_nuit)))*24</f>
        <v>0</v>
      </c>
      <c r="Q23" s="51">
        <f>(IF(WEEKDAY(H_Fev[[#This Row],[Date]],2)=7,MAX(0,MIN(fin_dimJF,H_Fev[[#This Row],[Fin corrigée si nuit]])-MAX(deb_dimJF,H_Fev[[#This Row],[début]])),0)+IF(WEEKDAY(H_Fev[[#This Row],[Date]],2)=6,MAX(0,H_Fev[[#This Row],[Fin corrigée si nuit]]-(1+deb_dimJF)),0))*24</f>
        <v>0</v>
      </c>
      <c r="R23"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3" s="51">
        <f>(IF(COUNTIF(JF,H_Fev[[#This Row],[Date]]),MAX(0,MIN(fin_dimJF,H_Fev[[#This Row],[Fin corrigée si nuit]])-MAX(deb_dimJF,H_Fev[[#This Row],[début]])),0)+IF(COUNTIF(JF,H_Fev[[#This Row],[Date]]+1),MAX(0,H_Fev[[#This Row],[Fin corrigée si nuit]]-(1+deb_dimJF)),0))*24</f>
        <v>0</v>
      </c>
      <c r="T23"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4" spans="1:20" ht="14.4" customHeight="1" x14ac:dyDescent="0.3">
      <c r="A24" s="4"/>
      <c r="B24" s="1"/>
      <c r="C24" s="2"/>
      <c r="D24" s="2"/>
      <c r="E24" s="3"/>
      <c r="F24" s="3"/>
      <c r="G24" s="5"/>
      <c r="H24" s="5"/>
      <c r="I24" s="47">
        <f>0.1*(H_Fev[[#This Row],[Heures de nuit]]+IF(H_Fev[[#This Row],[majoration dim &amp; JF]]="non",0,H_Fev[[#This Row],[heures jour dimanche]]+H_Fev[[#This Row],[heures jour fériés]]))</f>
        <v>0</v>
      </c>
      <c r="J24" s="48">
        <f>(MOD(H_Fev[[#This Row],[Fin]]-H_Fev[[#This Row],[début]],1)-MOD(H_Fev[[#This Row],[PNP Fin]]-H_Fev[[#This Row],[PNP Début]],1))*24</f>
        <v>0</v>
      </c>
      <c r="K24" s="48" t="str">
        <f>IFERROR(VLOOKUP(H_Fev[[#This Row],[Service]],Codes[],4,0),"")</f>
        <v/>
      </c>
      <c r="L24" s="49">
        <f>IF(H_Fev[[#This Row],[PNP Début]]=0,0,IF(H_Fev[[#This Row],[PNP Début]]&lt;H_Fev[[#This Row],[début]],1,0)+H_Fev[[#This Row],[PNP Début]])</f>
        <v>0</v>
      </c>
      <c r="M24" s="50">
        <f>IF(H_Fev[[#This Row],[PNP Fin]]=0,0,IF(H_Fev[[#This Row],[PNP Fin]]&lt;H_Fev[[#This Row],[début]],1,0)+H_Fev[[#This Row],[PNP Fin]])</f>
        <v>0</v>
      </c>
      <c r="N24" s="50">
        <f>IF(H_Fev[[#This Row],[Fin]]&lt;H_Fev[[#This Row],[début]],1,0)+H_Fev[[#This Row],[Fin]]</f>
        <v>0</v>
      </c>
      <c r="O24" s="31">
        <f>IF(H_Fev[[#This Row],[Fin]]&lt;H_Fev[[#This Row],[début]],MAX(0,MIN(H_Fev[[#This Row],[Fin corrigée si nuit]],fin_nuit)-MAX(H_Fev[[#This Row],[début]],deb_nuit))*24,(MAX(deb_nuit,H_Fev[[#This Row],[Fin]])-MAX(deb_nuit,H_Fev[[#This Row],[début]])+MAX(MIN(fin_nuit-1,H_Fev[[#This Row],[Fin]])-MIN(fin_nuit-1,H_Fev[[#This Row],[début]]),0))*24)</f>
        <v>0</v>
      </c>
      <c r="P24" s="51">
        <f>(MAX(0,MIN(H_Fev[[#This Row],[Fin corrigée si nuit]],fin_nuit)-MAX(H_Fev[[#This Row],[début]],deb_nuit))-IF(H_Fev[[#This Row],[PNP Début]]=0,0,MIN(H_Fev[[#This Row],[PNP Fin corrigée]],fin_nuit)-MAX(H_Fev[[#This Row],[PNP Début corrigé]],deb_nuit)))*24</f>
        <v>0</v>
      </c>
      <c r="Q24" s="51">
        <f>(IF(WEEKDAY(H_Fev[[#This Row],[Date]],2)=7,MAX(0,MIN(fin_dimJF,H_Fev[[#This Row],[Fin corrigée si nuit]])-MAX(deb_dimJF,H_Fev[[#This Row],[début]])),0)+IF(WEEKDAY(H_Fev[[#This Row],[Date]],2)=6,MAX(0,H_Fev[[#This Row],[Fin corrigée si nuit]]-(1+deb_dimJF)),0))*24</f>
        <v>0</v>
      </c>
      <c r="R24"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4" s="51">
        <f>(IF(COUNTIF(JF,H_Fev[[#This Row],[Date]]),MAX(0,MIN(fin_dimJF,H_Fev[[#This Row],[Fin corrigée si nuit]])-MAX(deb_dimJF,H_Fev[[#This Row],[début]])),0)+IF(COUNTIF(JF,H_Fev[[#This Row],[Date]]+1),MAX(0,H_Fev[[#This Row],[Fin corrigée si nuit]]-(1+deb_dimJF)),0))*24</f>
        <v>0</v>
      </c>
      <c r="T24"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5" spans="1:20" ht="14.4" customHeight="1" x14ac:dyDescent="0.3">
      <c r="A25" s="4"/>
      <c r="B25" s="1"/>
      <c r="C25" s="2"/>
      <c r="D25" s="2"/>
      <c r="E25" s="3"/>
      <c r="F25" s="3"/>
      <c r="G25" s="5"/>
      <c r="H25" s="5"/>
      <c r="I25" s="47">
        <f>0.1*(H_Fev[[#This Row],[Heures de nuit]]+IF(H_Fev[[#This Row],[majoration dim &amp; JF]]="non",0,H_Fev[[#This Row],[heures jour dimanche]]+H_Fev[[#This Row],[heures jour fériés]]))</f>
        <v>0</v>
      </c>
      <c r="J25" s="48">
        <f>(MOD(H_Fev[[#This Row],[Fin]]-H_Fev[[#This Row],[début]],1)-MOD(H_Fev[[#This Row],[PNP Fin]]-H_Fev[[#This Row],[PNP Début]],1))*24</f>
        <v>0</v>
      </c>
      <c r="K25" s="48" t="str">
        <f>IFERROR(VLOOKUP(H_Fev[[#This Row],[Service]],Codes[],4,0),"")</f>
        <v/>
      </c>
      <c r="L25" s="49">
        <f>IF(H_Fev[[#This Row],[PNP Début]]=0,0,IF(H_Fev[[#This Row],[PNP Début]]&lt;H_Fev[[#This Row],[début]],1,0)+H_Fev[[#This Row],[PNP Début]])</f>
        <v>0</v>
      </c>
      <c r="M25" s="50">
        <f>IF(H_Fev[[#This Row],[PNP Fin]]=0,0,IF(H_Fev[[#This Row],[PNP Fin]]&lt;H_Fev[[#This Row],[début]],1,0)+H_Fev[[#This Row],[PNP Fin]])</f>
        <v>0</v>
      </c>
      <c r="N25" s="50">
        <f>IF(H_Fev[[#This Row],[Fin]]&lt;H_Fev[[#This Row],[début]],1,0)+H_Fev[[#This Row],[Fin]]</f>
        <v>0</v>
      </c>
      <c r="O25" s="31">
        <f>IF(H_Fev[[#This Row],[Fin]]&lt;H_Fev[[#This Row],[début]],MAX(0,MIN(H_Fev[[#This Row],[Fin corrigée si nuit]],fin_nuit)-MAX(H_Fev[[#This Row],[début]],deb_nuit))*24,(MAX(deb_nuit,H_Fev[[#This Row],[Fin]])-MAX(deb_nuit,H_Fev[[#This Row],[début]])+MAX(MIN(fin_nuit-1,H_Fev[[#This Row],[Fin]])-MIN(fin_nuit-1,H_Fev[[#This Row],[début]]),0))*24)</f>
        <v>0</v>
      </c>
      <c r="P25" s="51">
        <f>(MAX(0,MIN(H_Fev[[#This Row],[Fin corrigée si nuit]],fin_nuit)-MAX(H_Fev[[#This Row],[début]],deb_nuit))-IF(H_Fev[[#This Row],[PNP Début]]=0,0,MIN(H_Fev[[#This Row],[PNP Fin corrigée]],fin_nuit)-MAX(H_Fev[[#This Row],[PNP Début corrigé]],deb_nuit)))*24</f>
        <v>0</v>
      </c>
      <c r="Q25" s="51">
        <f>(IF(WEEKDAY(H_Fev[[#This Row],[Date]],2)=7,MAX(0,MIN(fin_dimJF,H_Fev[[#This Row],[Fin corrigée si nuit]])-MAX(deb_dimJF,H_Fev[[#This Row],[début]])),0)+IF(WEEKDAY(H_Fev[[#This Row],[Date]],2)=6,MAX(0,H_Fev[[#This Row],[Fin corrigée si nuit]]-(1+deb_dimJF)),0))*24</f>
        <v>0</v>
      </c>
      <c r="R25"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5" s="51">
        <f>(IF(COUNTIF(JF,H_Fev[[#This Row],[Date]]),MAX(0,MIN(fin_dimJF,H_Fev[[#This Row],[Fin corrigée si nuit]])-MAX(deb_dimJF,H_Fev[[#This Row],[début]])),0)+IF(COUNTIF(JF,H_Fev[[#This Row],[Date]]+1),MAX(0,H_Fev[[#This Row],[Fin corrigée si nuit]]-(1+deb_dimJF)),0))*24</f>
        <v>0</v>
      </c>
      <c r="T25"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6" spans="1:20" ht="14.4" customHeight="1" x14ac:dyDescent="0.3">
      <c r="A26" s="4"/>
      <c r="B26" s="1"/>
      <c r="C26" s="2"/>
      <c r="D26" s="2"/>
      <c r="E26" s="3"/>
      <c r="F26" s="3"/>
      <c r="G26" s="3"/>
      <c r="H26" s="3"/>
      <c r="I26" s="47">
        <f>0.1*(H_Fev[[#This Row],[Heures de nuit]]+IF(H_Fev[[#This Row],[majoration dim &amp; JF]]="non",0,H_Fev[[#This Row],[heures jour dimanche]]+H_Fev[[#This Row],[heures jour fériés]]))</f>
        <v>0</v>
      </c>
      <c r="J26" s="48">
        <f>(MOD(H_Fev[[#This Row],[Fin]]-H_Fev[[#This Row],[début]],1)-MOD(H_Fev[[#This Row],[PNP Fin]]-H_Fev[[#This Row],[PNP Début]],1))*24</f>
        <v>0</v>
      </c>
      <c r="K26" s="48" t="str">
        <f>IFERROR(VLOOKUP(H_Fev[[#This Row],[Service]],Codes[],4,0),"")</f>
        <v/>
      </c>
      <c r="L26" s="49">
        <f>IF(H_Fev[[#This Row],[PNP Début]]=0,0,IF(H_Fev[[#This Row],[PNP Début]]&lt;H_Fev[[#This Row],[début]],1,0)+H_Fev[[#This Row],[PNP Début]])</f>
        <v>0</v>
      </c>
      <c r="M26" s="50">
        <f>IF(H_Fev[[#This Row],[PNP Fin]]=0,0,IF(H_Fev[[#This Row],[PNP Fin]]&lt;H_Fev[[#This Row],[début]],1,0)+H_Fev[[#This Row],[PNP Fin]])</f>
        <v>0</v>
      </c>
      <c r="N26" s="50">
        <f>IF(H_Fev[[#This Row],[Fin]]&lt;H_Fev[[#This Row],[début]],1,0)+H_Fev[[#This Row],[Fin]]</f>
        <v>0</v>
      </c>
      <c r="O26" s="31">
        <f>IF(H_Fev[[#This Row],[Fin]]&lt;H_Fev[[#This Row],[début]],MAX(0,MIN(H_Fev[[#This Row],[Fin corrigée si nuit]],fin_nuit)-MAX(H_Fev[[#This Row],[début]],deb_nuit))*24,(MAX(deb_nuit,H_Fev[[#This Row],[Fin]])-MAX(deb_nuit,H_Fev[[#This Row],[début]])+MAX(MIN(fin_nuit-1,H_Fev[[#This Row],[Fin]])-MIN(fin_nuit-1,H_Fev[[#This Row],[début]]),0))*24)</f>
        <v>0</v>
      </c>
      <c r="P26" s="51">
        <f>(MAX(0,MIN(H_Fev[[#This Row],[Fin corrigée si nuit]],fin_nuit)-MAX(H_Fev[[#This Row],[début]],deb_nuit))-IF(H_Fev[[#This Row],[PNP Début]]=0,0,MIN(H_Fev[[#This Row],[PNP Fin corrigée]],fin_nuit)-MAX(H_Fev[[#This Row],[PNP Début corrigé]],deb_nuit)))*24</f>
        <v>0</v>
      </c>
      <c r="Q26" s="51">
        <f>(IF(WEEKDAY(H_Fev[[#This Row],[Date]],2)=7,MAX(0,MIN(fin_dimJF,H_Fev[[#This Row],[Fin corrigée si nuit]])-MAX(deb_dimJF,H_Fev[[#This Row],[début]])),0)+IF(WEEKDAY(H_Fev[[#This Row],[Date]],2)=6,MAX(0,H_Fev[[#This Row],[Fin corrigée si nuit]]-(1+deb_dimJF)),0))*24</f>
        <v>0</v>
      </c>
      <c r="R26"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6" s="51">
        <f>(IF(COUNTIF(JF,H_Fev[[#This Row],[Date]]),MAX(0,MIN(fin_dimJF,H_Fev[[#This Row],[Fin corrigée si nuit]])-MAX(deb_dimJF,H_Fev[[#This Row],[début]])),0)+IF(COUNTIF(JF,H_Fev[[#This Row],[Date]]+1),MAX(0,H_Fev[[#This Row],[Fin corrigée si nuit]]-(1+deb_dimJF)),0))*24</f>
        <v>0</v>
      </c>
      <c r="T26"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7" spans="1:20" ht="14.4" customHeight="1" x14ac:dyDescent="0.3">
      <c r="A27" s="4"/>
      <c r="B27" s="1"/>
      <c r="C27" s="2"/>
      <c r="D27" s="2"/>
      <c r="E27" s="3"/>
      <c r="F27" s="3"/>
      <c r="G27" s="3"/>
      <c r="H27" s="3"/>
      <c r="I27" s="47">
        <f>0.1*(H_Fev[[#This Row],[Heures de nuit]]+IF(H_Fev[[#This Row],[majoration dim &amp; JF]]="non",0,H_Fev[[#This Row],[heures jour dimanche]]+H_Fev[[#This Row],[heures jour fériés]]))</f>
        <v>0</v>
      </c>
      <c r="J27" s="48">
        <f>(MOD(H_Fev[[#This Row],[Fin]]-H_Fev[[#This Row],[début]],1)-MOD(H_Fev[[#This Row],[PNP Fin]]-H_Fev[[#This Row],[PNP Début]],1))*24</f>
        <v>0</v>
      </c>
      <c r="K27" s="48" t="str">
        <f>IFERROR(VLOOKUP(H_Fev[[#This Row],[Service]],Codes[],4,0),"")</f>
        <v/>
      </c>
      <c r="L27" s="49">
        <f>IF(H_Fev[[#This Row],[PNP Début]]=0,0,IF(H_Fev[[#This Row],[PNP Début]]&lt;H_Fev[[#This Row],[début]],1,0)+H_Fev[[#This Row],[PNP Début]])</f>
        <v>0</v>
      </c>
      <c r="M27" s="50">
        <f>IF(H_Fev[[#This Row],[PNP Fin]]=0,0,IF(H_Fev[[#This Row],[PNP Fin]]&lt;H_Fev[[#This Row],[début]],1,0)+H_Fev[[#This Row],[PNP Fin]])</f>
        <v>0</v>
      </c>
      <c r="N27" s="50">
        <f>IF(H_Fev[[#This Row],[Fin]]&lt;H_Fev[[#This Row],[début]],1,0)+H_Fev[[#This Row],[Fin]]</f>
        <v>0</v>
      </c>
      <c r="O27" s="31">
        <f>IF(H_Fev[[#This Row],[Fin]]&lt;H_Fev[[#This Row],[début]],MAX(0,MIN(H_Fev[[#This Row],[Fin corrigée si nuit]],fin_nuit)-MAX(H_Fev[[#This Row],[début]],deb_nuit))*24,(MAX(deb_nuit,H_Fev[[#This Row],[Fin]])-MAX(deb_nuit,H_Fev[[#This Row],[début]])+MAX(MIN(fin_nuit-1,H_Fev[[#This Row],[Fin]])-MIN(fin_nuit-1,H_Fev[[#This Row],[début]]),0))*24)</f>
        <v>0</v>
      </c>
      <c r="P27" s="51">
        <f>(MAX(0,MIN(H_Fev[[#This Row],[Fin corrigée si nuit]],fin_nuit)-MAX(H_Fev[[#This Row],[début]],deb_nuit))-IF(H_Fev[[#This Row],[PNP Début]]=0,0,MIN(H_Fev[[#This Row],[PNP Fin corrigée]],fin_nuit)-MAX(H_Fev[[#This Row],[PNP Début corrigé]],deb_nuit)))*24</f>
        <v>0</v>
      </c>
      <c r="Q27" s="51">
        <f>(IF(WEEKDAY(H_Fev[[#This Row],[Date]],2)=7,MAX(0,MIN(fin_dimJF,H_Fev[[#This Row],[Fin corrigée si nuit]])-MAX(deb_dimJF,H_Fev[[#This Row],[début]])),0)+IF(WEEKDAY(H_Fev[[#This Row],[Date]],2)=6,MAX(0,H_Fev[[#This Row],[Fin corrigée si nuit]]-(1+deb_dimJF)),0))*24</f>
        <v>0</v>
      </c>
      <c r="R27"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7" s="51">
        <f>(IF(COUNTIF(JF,H_Fev[[#This Row],[Date]]),MAX(0,MIN(fin_dimJF,H_Fev[[#This Row],[Fin corrigée si nuit]])-MAX(deb_dimJF,H_Fev[[#This Row],[début]])),0)+IF(COUNTIF(JF,H_Fev[[#This Row],[Date]]+1),MAX(0,H_Fev[[#This Row],[Fin corrigée si nuit]]-(1+deb_dimJF)),0))*24</f>
        <v>0</v>
      </c>
      <c r="T27"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8" spans="1:20" ht="14.4" customHeight="1" x14ac:dyDescent="0.3">
      <c r="A28" s="4"/>
      <c r="B28" s="1"/>
      <c r="C28" s="2"/>
      <c r="D28" s="2"/>
      <c r="E28" s="3"/>
      <c r="F28" s="3"/>
      <c r="G28" s="3"/>
      <c r="H28" s="3"/>
      <c r="I28" s="47">
        <f>0.1*(H_Fev[[#This Row],[Heures de nuit]]+IF(H_Fev[[#This Row],[majoration dim &amp; JF]]="non",0,H_Fev[[#This Row],[heures jour dimanche]]+H_Fev[[#This Row],[heures jour fériés]]))</f>
        <v>0</v>
      </c>
      <c r="J28" s="48">
        <f>(MOD(H_Fev[[#This Row],[Fin]]-H_Fev[[#This Row],[début]],1)-MOD(H_Fev[[#This Row],[PNP Fin]]-H_Fev[[#This Row],[PNP Début]],1))*24</f>
        <v>0</v>
      </c>
      <c r="K28" s="48" t="str">
        <f>IFERROR(VLOOKUP(H_Fev[[#This Row],[Service]],Codes[],4,0),"")</f>
        <v/>
      </c>
      <c r="L28" s="49">
        <f>IF(H_Fev[[#This Row],[PNP Début]]=0,0,IF(H_Fev[[#This Row],[PNP Début]]&lt;H_Fev[[#This Row],[début]],1,0)+H_Fev[[#This Row],[PNP Début]])</f>
        <v>0</v>
      </c>
      <c r="M28" s="50">
        <f>IF(H_Fev[[#This Row],[PNP Fin]]=0,0,IF(H_Fev[[#This Row],[PNP Fin]]&lt;H_Fev[[#This Row],[début]],1,0)+H_Fev[[#This Row],[PNP Fin]])</f>
        <v>0</v>
      </c>
      <c r="N28" s="50">
        <f>IF(H_Fev[[#This Row],[Fin]]&lt;H_Fev[[#This Row],[début]],1,0)+H_Fev[[#This Row],[Fin]]</f>
        <v>0</v>
      </c>
      <c r="O28" s="31">
        <f>IF(H_Fev[[#This Row],[Fin]]&lt;H_Fev[[#This Row],[début]],MAX(0,MIN(H_Fev[[#This Row],[Fin corrigée si nuit]],fin_nuit)-MAX(H_Fev[[#This Row],[début]],deb_nuit))*24,(MAX(deb_nuit,H_Fev[[#This Row],[Fin]])-MAX(deb_nuit,H_Fev[[#This Row],[début]])+MAX(MIN(fin_nuit-1,H_Fev[[#This Row],[Fin]])-MIN(fin_nuit-1,H_Fev[[#This Row],[début]]),0))*24)</f>
        <v>0</v>
      </c>
      <c r="P28" s="51">
        <f>(MAX(0,MIN(H_Fev[[#This Row],[Fin corrigée si nuit]],fin_nuit)-MAX(H_Fev[[#This Row],[début]],deb_nuit))-IF(H_Fev[[#This Row],[PNP Début]]=0,0,MIN(H_Fev[[#This Row],[PNP Fin corrigée]],fin_nuit)-MAX(H_Fev[[#This Row],[PNP Début corrigé]],deb_nuit)))*24</f>
        <v>0</v>
      </c>
      <c r="Q28" s="51">
        <f>(IF(WEEKDAY(H_Fev[[#This Row],[Date]],2)=7,MAX(0,MIN(fin_dimJF,H_Fev[[#This Row],[Fin corrigée si nuit]])-MAX(deb_dimJF,H_Fev[[#This Row],[début]])),0)+IF(WEEKDAY(H_Fev[[#This Row],[Date]],2)=6,MAX(0,H_Fev[[#This Row],[Fin corrigée si nuit]]-(1+deb_dimJF)),0))*24</f>
        <v>0</v>
      </c>
      <c r="R28"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8" s="51">
        <f>(IF(COUNTIF(JF,H_Fev[[#This Row],[Date]]),MAX(0,MIN(fin_dimJF,H_Fev[[#This Row],[Fin corrigée si nuit]])-MAX(deb_dimJF,H_Fev[[#This Row],[début]])),0)+IF(COUNTIF(JF,H_Fev[[#This Row],[Date]]+1),MAX(0,H_Fev[[#This Row],[Fin corrigée si nuit]]-(1+deb_dimJF)),0))*24</f>
        <v>0</v>
      </c>
      <c r="T28"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29" spans="1:20" ht="14.4" customHeight="1" x14ac:dyDescent="0.3">
      <c r="A29" s="4"/>
      <c r="B29" s="1"/>
      <c r="C29" s="2"/>
      <c r="D29" s="2"/>
      <c r="E29" s="3"/>
      <c r="F29" s="3"/>
      <c r="G29" s="3"/>
      <c r="H29" s="3"/>
      <c r="I29" s="47">
        <f>0.1*(H_Fev[[#This Row],[Heures de nuit]]+IF(H_Fev[[#This Row],[majoration dim &amp; JF]]="non",0,H_Fev[[#This Row],[heures jour dimanche]]+H_Fev[[#This Row],[heures jour fériés]]))</f>
        <v>0</v>
      </c>
      <c r="J29" s="48">
        <f>(MOD(H_Fev[[#This Row],[Fin]]-H_Fev[[#This Row],[début]],1)-MOD(H_Fev[[#This Row],[PNP Fin]]-H_Fev[[#This Row],[PNP Début]],1))*24</f>
        <v>0</v>
      </c>
      <c r="K29" s="48" t="str">
        <f>IFERROR(VLOOKUP(H_Fev[[#This Row],[Service]],Codes[],4,0),"")</f>
        <v/>
      </c>
      <c r="L29" s="49">
        <f>IF(H_Fev[[#This Row],[PNP Début]]=0,0,IF(H_Fev[[#This Row],[PNP Début]]&lt;H_Fev[[#This Row],[début]],1,0)+H_Fev[[#This Row],[PNP Début]])</f>
        <v>0</v>
      </c>
      <c r="M29" s="50">
        <f>IF(H_Fev[[#This Row],[PNP Fin]]=0,0,IF(H_Fev[[#This Row],[PNP Fin]]&lt;H_Fev[[#This Row],[début]],1,0)+H_Fev[[#This Row],[PNP Fin]])</f>
        <v>0</v>
      </c>
      <c r="N29" s="50">
        <f>IF(H_Fev[[#This Row],[Fin]]&lt;H_Fev[[#This Row],[début]],1,0)+H_Fev[[#This Row],[Fin]]</f>
        <v>0</v>
      </c>
      <c r="O29" s="31">
        <f>IF(H_Fev[[#This Row],[Fin]]&lt;H_Fev[[#This Row],[début]],MAX(0,MIN(H_Fev[[#This Row],[Fin corrigée si nuit]],fin_nuit)-MAX(H_Fev[[#This Row],[début]],deb_nuit))*24,(MAX(deb_nuit,H_Fev[[#This Row],[Fin]])-MAX(deb_nuit,H_Fev[[#This Row],[début]])+MAX(MIN(fin_nuit-1,H_Fev[[#This Row],[Fin]])-MIN(fin_nuit-1,H_Fev[[#This Row],[début]]),0))*24)</f>
        <v>0</v>
      </c>
      <c r="P29" s="51">
        <f>(MAX(0,MIN(H_Fev[[#This Row],[Fin corrigée si nuit]],fin_nuit)-MAX(H_Fev[[#This Row],[début]],deb_nuit))-IF(H_Fev[[#This Row],[PNP Début]]=0,0,MIN(H_Fev[[#This Row],[PNP Fin corrigée]],fin_nuit)-MAX(H_Fev[[#This Row],[PNP Début corrigé]],deb_nuit)))*24</f>
        <v>0</v>
      </c>
      <c r="Q29" s="51">
        <f>(IF(WEEKDAY(H_Fev[[#This Row],[Date]],2)=7,MAX(0,MIN(fin_dimJF,H_Fev[[#This Row],[Fin corrigée si nuit]])-MAX(deb_dimJF,H_Fev[[#This Row],[début]])),0)+IF(WEEKDAY(H_Fev[[#This Row],[Date]],2)=6,MAX(0,H_Fev[[#This Row],[Fin corrigée si nuit]]-(1+deb_dimJF)),0))*24</f>
        <v>0</v>
      </c>
      <c r="R29"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29" s="51">
        <f>(IF(COUNTIF(JF,H_Fev[[#This Row],[Date]]),MAX(0,MIN(fin_dimJF,H_Fev[[#This Row],[Fin corrigée si nuit]])-MAX(deb_dimJF,H_Fev[[#This Row],[début]])),0)+IF(COUNTIF(JF,H_Fev[[#This Row],[Date]]+1),MAX(0,H_Fev[[#This Row],[Fin corrigée si nuit]]-(1+deb_dimJF)),0))*24</f>
        <v>0</v>
      </c>
      <c r="T29"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0" spans="1:20" ht="14.4" customHeight="1" x14ac:dyDescent="0.3">
      <c r="A30" s="4"/>
      <c r="B30" s="1"/>
      <c r="C30" s="2"/>
      <c r="D30" s="2"/>
      <c r="E30" s="3"/>
      <c r="F30" s="3"/>
      <c r="G30" s="3"/>
      <c r="H30" s="3"/>
      <c r="I30" s="47">
        <f>0.1*(H_Fev[[#This Row],[Heures de nuit]]+IF(H_Fev[[#This Row],[majoration dim &amp; JF]]="non",0,H_Fev[[#This Row],[heures jour dimanche]]+H_Fev[[#This Row],[heures jour fériés]]))</f>
        <v>0</v>
      </c>
      <c r="J30" s="48">
        <f>(MOD(H_Fev[[#This Row],[Fin]]-H_Fev[[#This Row],[début]],1)-MOD(H_Fev[[#This Row],[PNP Fin]]-H_Fev[[#This Row],[PNP Début]],1))*24</f>
        <v>0</v>
      </c>
      <c r="K30" s="48" t="str">
        <f>IFERROR(VLOOKUP(H_Fev[[#This Row],[Service]],Codes[],4,0),"")</f>
        <v/>
      </c>
      <c r="L30" s="49">
        <f>IF(H_Fev[[#This Row],[PNP Début]]=0,0,IF(H_Fev[[#This Row],[PNP Début]]&lt;H_Fev[[#This Row],[début]],1,0)+H_Fev[[#This Row],[PNP Début]])</f>
        <v>0</v>
      </c>
      <c r="M30" s="50">
        <f>IF(H_Fev[[#This Row],[PNP Fin]]=0,0,IF(H_Fev[[#This Row],[PNP Fin]]&lt;H_Fev[[#This Row],[début]],1,0)+H_Fev[[#This Row],[PNP Fin]])</f>
        <v>0</v>
      </c>
      <c r="N30" s="50">
        <f>IF(H_Fev[[#This Row],[Fin]]&lt;H_Fev[[#This Row],[début]],1,0)+H_Fev[[#This Row],[Fin]]</f>
        <v>0</v>
      </c>
      <c r="O30" s="31">
        <f>IF(H_Fev[[#This Row],[Fin]]&lt;H_Fev[[#This Row],[début]],MAX(0,MIN(H_Fev[[#This Row],[Fin corrigée si nuit]],fin_nuit)-MAX(H_Fev[[#This Row],[début]],deb_nuit))*24,(MAX(deb_nuit,H_Fev[[#This Row],[Fin]])-MAX(deb_nuit,H_Fev[[#This Row],[début]])+MAX(MIN(fin_nuit-1,H_Fev[[#This Row],[Fin]])-MIN(fin_nuit-1,H_Fev[[#This Row],[début]]),0))*24)</f>
        <v>0</v>
      </c>
      <c r="P30" s="51">
        <f>(MAX(0,MIN(H_Fev[[#This Row],[Fin corrigée si nuit]],fin_nuit)-MAX(H_Fev[[#This Row],[début]],deb_nuit))-IF(H_Fev[[#This Row],[PNP Début]]=0,0,MIN(H_Fev[[#This Row],[PNP Fin corrigée]],fin_nuit)-MAX(H_Fev[[#This Row],[PNP Début corrigé]],deb_nuit)))*24</f>
        <v>0</v>
      </c>
      <c r="Q30" s="51">
        <f>(IF(WEEKDAY(H_Fev[[#This Row],[Date]],2)=7,MAX(0,MIN(fin_dimJF,H_Fev[[#This Row],[Fin corrigée si nuit]])-MAX(deb_dimJF,H_Fev[[#This Row],[début]])),0)+IF(WEEKDAY(H_Fev[[#This Row],[Date]],2)=6,MAX(0,H_Fev[[#This Row],[Fin corrigée si nuit]]-(1+deb_dimJF)),0))*24</f>
        <v>0</v>
      </c>
      <c r="R30"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0" s="51">
        <f>(IF(COUNTIF(JF,H_Fev[[#This Row],[Date]]),MAX(0,MIN(fin_dimJF,H_Fev[[#This Row],[Fin corrigée si nuit]])-MAX(deb_dimJF,H_Fev[[#This Row],[début]])),0)+IF(COUNTIF(JF,H_Fev[[#This Row],[Date]]+1),MAX(0,H_Fev[[#This Row],[Fin corrigée si nuit]]-(1+deb_dimJF)),0))*24</f>
        <v>0</v>
      </c>
      <c r="T30"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1" spans="1:20" x14ac:dyDescent="0.3">
      <c r="A31" s="4"/>
      <c r="B31" s="1"/>
      <c r="C31" s="2"/>
      <c r="D31" s="2"/>
      <c r="E31" s="3"/>
      <c r="F31" s="3"/>
      <c r="G31" s="3"/>
      <c r="H31" s="3"/>
      <c r="I31" s="47">
        <f>0.1*(H_Fev[[#This Row],[Heures de nuit]]+IF(H_Fev[[#This Row],[majoration dim &amp; JF]]="non",0,H_Fev[[#This Row],[heures jour dimanche]]+H_Fev[[#This Row],[heures jour fériés]]))</f>
        <v>0</v>
      </c>
      <c r="J31" s="48">
        <f>(MOD(H_Fev[[#This Row],[Fin]]-H_Fev[[#This Row],[début]],1)-MOD(H_Fev[[#This Row],[PNP Fin]]-H_Fev[[#This Row],[PNP Début]],1))*24</f>
        <v>0</v>
      </c>
      <c r="K31" s="48" t="str">
        <f>IFERROR(VLOOKUP(H_Fev[[#This Row],[Service]],Codes[],4,0),"")</f>
        <v/>
      </c>
      <c r="L31" s="49">
        <f>IF(H_Fev[[#This Row],[PNP Début]]=0,0,IF(H_Fev[[#This Row],[PNP Début]]&lt;H_Fev[[#This Row],[début]],1,0)+H_Fev[[#This Row],[PNP Début]])</f>
        <v>0</v>
      </c>
      <c r="M31" s="50">
        <f>IF(H_Fev[[#This Row],[PNP Fin]]=0,0,IF(H_Fev[[#This Row],[PNP Fin]]&lt;H_Fev[[#This Row],[début]],1,0)+H_Fev[[#This Row],[PNP Fin]])</f>
        <v>0</v>
      </c>
      <c r="N31" s="50">
        <f>IF(H_Fev[[#This Row],[Fin]]&lt;H_Fev[[#This Row],[début]],1,0)+H_Fev[[#This Row],[Fin]]</f>
        <v>0</v>
      </c>
      <c r="O31" s="31">
        <f>IF(H_Fev[[#This Row],[Fin]]&lt;H_Fev[[#This Row],[début]],MAX(0,MIN(H_Fev[[#This Row],[Fin corrigée si nuit]],fin_nuit)-MAX(H_Fev[[#This Row],[début]],deb_nuit))*24,(MAX(deb_nuit,H_Fev[[#This Row],[Fin]])-MAX(deb_nuit,H_Fev[[#This Row],[début]])+MAX(MIN(fin_nuit-1,H_Fev[[#This Row],[Fin]])-MIN(fin_nuit-1,H_Fev[[#This Row],[début]]),0))*24)</f>
        <v>0</v>
      </c>
      <c r="P31" s="51">
        <f>(MAX(0,MIN(H_Fev[[#This Row],[Fin corrigée si nuit]],fin_nuit)-MAX(H_Fev[[#This Row],[début]],deb_nuit))-IF(H_Fev[[#This Row],[PNP Début]]=0,0,MIN(H_Fev[[#This Row],[PNP Fin corrigée]],fin_nuit)-MAX(H_Fev[[#This Row],[PNP Début corrigé]],deb_nuit)))*24</f>
        <v>0</v>
      </c>
      <c r="Q31" s="51">
        <f>(IF(WEEKDAY(H_Fev[[#This Row],[Date]],2)=7,MAX(0,MIN(fin_dimJF,H_Fev[[#This Row],[Fin corrigée si nuit]])-MAX(deb_dimJF,H_Fev[[#This Row],[début]])),0)+IF(WEEKDAY(H_Fev[[#This Row],[Date]],2)=6,MAX(0,H_Fev[[#This Row],[Fin corrigée si nuit]]-(1+deb_dimJF)),0))*24</f>
        <v>0</v>
      </c>
      <c r="R31"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1" s="51">
        <f>(IF(COUNTIF(JF,H_Fev[[#This Row],[Date]]),MAX(0,MIN(fin_dimJF,H_Fev[[#This Row],[Fin corrigée si nuit]])-MAX(deb_dimJF,H_Fev[[#This Row],[début]])),0)+IF(COUNTIF(JF,H_Fev[[#This Row],[Date]]+1),MAX(0,H_Fev[[#This Row],[Fin corrigée si nuit]]-(1+deb_dimJF)),0))*24</f>
        <v>0</v>
      </c>
      <c r="T31"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2" spans="1:20" ht="14.55" customHeight="1" x14ac:dyDescent="0.3">
      <c r="A32" s="4"/>
      <c r="B32" s="1"/>
      <c r="C32" s="2"/>
      <c r="D32" s="2"/>
      <c r="E32" s="3"/>
      <c r="F32" s="3"/>
      <c r="G32" s="3"/>
      <c r="H32" s="3"/>
      <c r="I32" s="47">
        <f>0.1*(H_Fev[[#This Row],[Heures de nuit]]+IF(H_Fev[[#This Row],[majoration dim &amp; JF]]="non",0,H_Fev[[#This Row],[heures jour dimanche]]+H_Fev[[#This Row],[heures jour fériés]]))</f>
        <v>0</v>
      </c>
      <c r="J32" s="48">
        <f>(MOD(H_Fev[[#This Row],[Fin]]-H_Fev[[#This Row],[début]],1)-MOD(H_Fev[[#This Row],[PNP Fin]]-H_Fev[[#This Row],[PNP Début]],1))*24</f>
        <v>0</v>
      </c>
      <c r="K32" s="48" t="str">
        <f>IFERROR(VLOOKUP(H_Fev[[#This Row],[Service]],Codes[],4,0),"")</f>
        <v/>
      </c>
      <c r="L32" s="49">
        <f>IF(H_Fev[[#This Row],[PNP Début]]=0,0,IF(H_Fev[[#This Row],[PNP Début]]&lt;H_Fev[[#This Row],[début]],1,0)+H_Fev[[#This Row],[PNP Début]])</f>
        <v>0</v>
      </c>
      <c r="M32" s="50">
        <f>IF(H_Fev[[#This Row],[PNP Fin]]=0,0,IF(H_Fev[[#This Row],[PNP Fin]]&lt;H_Fev[[#This Row],[début]],1,0)+H_Fev[[#This Row],[PNP Fin]])</f>
        <v>0</v>
      </c>
      <c r="N32" s="50">
        <f>IF(H_Fev[[#This Row],[Fin]]&lt;H_Fev[[#This Row],[début]],1,0)+H_Fev[[#This Row],[Fin]]</f>
        <v>0</v>
      </c>
      <c r="O32" s="31">
        <f>IF(H_Fev[[#This Row],[Fin]]&lt;H_Fev[[#This Row],[début]],MAX(0,MIN(H_Fev[[#This Row],[Fin corrigée si nuit]],fin_nuit)-MAX(H_Fev[[#This Row],[début]],deb_nuit))*24,(MAX(deb_nuit,H_Fev[[#This Row],[Fin]])-MAX(deb_nuit,H_Fev[[#This Row],[début]])+MAX(MIN(fin_nuit-1,H_Fev[[#This Row],[Fin]])-MIN(fin_nuit-1,H_Fev[[#This Row],[début]]),0))*24)</f>
        <v>0</v>
      </c>
      <c r="P32" s="51">
        <f>(MAX(0,MIN(H_Fev[[#This Row],[Fin corrigée si nuit]],fin_nuit)-MAX(H_Fev[[#This Row],[début]],deb_nuit))-IF(H_Fev[[#This Row],[PNP Début]]=0,0,MIN(H_Fev[[#This Row],[PNP Fin corrigée]],fin_nuit)-MAX(H_Fev[[#This Row],[PNP Début corrigé]],deb_nuit)))*24</f>
        <v>0</v>
      </c>
      <c r="Q32" s="51">
        <f>(IF(WEEKDAY(H_Fev[[#This Row],[Date]],2)=7,MAX(0,MIN(fin_dimJF,H_Fev[[#This Row],[Fin corrigée si nuit]])-MAX(deb_dimJF,H_Fev[[#This Row],[début]])),0)+IF(WEEKDAY(H_Fev[[#This Row],[Date]],2)=6,MAX(0,H_Fev[[#This Row],[Fin corrigée si nuit]]-(1+deb_dimJF)),0))*24</f>
        <v>0</v>
      </c>
      <c r="R32"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2" s="51">
        <f>(IF(COUNTIF(JF,H_Fev[[#This Row],[Date]]),MAX(0,MIN(fin_dimJF,H_Fev[[#This Row],[Fin corrigée si nuit]])-MAX(deb_dimJF,H_Fev[[#This Row],[début]])),0)+IF(COUNTIF(JF,H_Fev[[#This Row],[Date]]+1),MAX(0,H_Fev[[#This Row],[Fin corrigée si nuit]]-(1+deb_dimJF)),0))*24</f>
        <v>0</v>
      </c>
      <c r="T32"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3" spans="1:20" x14ac:dyDescent="0.3">
      <c r="A33" s="4"/>
      <c r="B33" s="1"/>
      <c r="C33" s="2"/>
      <c r="D33" s="2"/>
      <c r="E33" s="3"/>
      <c r="F33" s="3"/>
      <c r="G33" s="3"/>
      <c r="H33" s="3"/>
      <c r="I33" s="47">
        <f>0.1*(H_Fev[[#This Row],[Heures de nuit]]+IF(H_Fev[[#This Row],[majoration dim &amp; JF]]="non",0,H_Fev[[#This Row],[heures jour dimanche]]+H_Fev[[#This Row],[heures jour fériés]]))</f>
        <v>0</v>
      </c>
      <c r="J33" s="48">
        <f>(MOD(H_Fev[[#This Row],[Fin]]-H_Fev[[#This Row],[début]],1)-MOD(H_Fev[[#This Row],[PNP Fin]]-H_Fev[[#This Row],[PNP Début]],1))*24</f>
        <v>0</v>
      </c>
      <c r="K33" s="48" t="str">
        <f>IFERROR(VLOOKUP(H_Fev[[#This Row],[Service]],Codes[],4,0),"")</f>
        <v/>
      </c>
      <c r="L33" s="49">
        <f>IF(H_Fev[[#This Row],[PNP Début]]=0,0,IF(H_Fev[[#This Row],[PNP Début]]&lt;H_Fev[[#This Row],[début]],1,0)+H_Fev[[#This Row],[PNP Début]])</f>
        <v>0</v>
      </c>
      <c r="M33" s="50">
        <f>IF(H_Fev[[#This Row],[PNP Fin]]=0,0,IF(H_Fev[[#This Row],[PNP Fin]]&lt;H_Fev[[#This Row],[début]],1,0)+H_Fev[[#This Row],[PNP Fin]])</f>
        <v>0</v>
      </c>
      <c r="N33" s="50">
        <f>IF(H_Fev[[#This Row],[Fin]]&lt;H_Fev[[#This Row],[début]],1,0)+H_Fev[[#This Row],[Fin]]</f>
        <v>0</v>
      </c>
      <c r="O33" s="31">
        <f>IF(H_Fev[[#This Row],[Fin]]&lt;H_Fev[[#This Row],[début]],MAX(0,MIN(H_Fev[[#This Row],[Fin corrigée si nuit]],fin_nuit)-MAX(H_Fev[[#This Row],[début]],deb_nuit))*24,(MAX(deb_nuit,H_Fev[[#This Row],[Fin]])-MAX(deb_nuit,H_Fev[[#This Row],[début]])+MAX(MIN(fin_nuit-1,H_Fev[[#This Row],[Fin]])-MIN(fin_nuit-1,H_Fev[[#This Row],[début]]),0))*24)</f>
        <v>0</v>
      </c>
      <c r="P33" s="51">
        <f>(MAX(0,MIN(H_Fev[[#This Row],[Fin corrigée si nuit]],fin_nuit)-MAX(H_Fev[[#This Row],[début]],deb_nuit))-IF(H_Fev[[#This Row],[PNP Début]]=0,0,MIN(H_Fev[[#This Row],[PNP Fin corrigée]],fin_nuit)-MAX(H_Fev[[#This Row],[PNP Début corrigé]],deb_nuit)))*24</f>
        <v>0</v>
      </c>
      <c r="Q33" s="51">
        <f>(IF(WEEKDAY(H_Fev[[#This Row],[Date]],2)=7,MAX(0,MIN(fin_dimJF,H_Fev[[#This Row],[Fin corrigée si nuit]])-MAX(deb_dimJF,H_Fev[[#This Row],[début]])),0)+IF(WEEKDAY(H_Fev[[#This Row],[Date]],2)=6,MAX(0,H_Fev[[#This Row],[Fin corrigée si nuit]]-(1+deb_dimJF)),0))*24</f>
        <v>0</v>
      </c>
      <c r="R33"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3" s="51">
        <f>(IF(COUNTIF(JF,H_Fev[[#This Row],[Date]]),MAX(0,MIN(fin_dimJF,H_Fev[[#This Row],[Fin corrigée si nuit]])-MAX(deb_dimJF,H_Fev[[#This Row],[début]])),0)+IF(COUNTIF(JF,H_Fev[[#This Row],[Date]]+1),MAX(0,H_Fev[[#This Row],[Fin corrigée si nuit]]-(1+deb_dimJF)),0))*24</f>
        <v>0</v>
      </c>
      <c r="T33"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4" spans="1:20" x14ac:dyDescent="0.3">
      <c r="A34" s="4"/>
      <c r="B34" s="1"/>
      <c r="C34" s="2"/>
      <c r="D34" s="2"/>
      <c r="E34" s="3"/>
      <c r="F34" s="3"/>
      <c r="G34" s="3"/>
      <c r="H34" s="3"/>
      <c r="I34" s="47">
        <f>0.1*(H_Fev[[#This Row],[Heures de nuit]]+IF(H_Fev[[#This Row],[majoration dim &amp; JF]]="non",0,H_Fev[[#This Row],[heures jour dimanche]]+H_Fev[[#This Row],[heures jour fériés]]))</f>
        <v>0</v>
      </c>
      <c r="J34" s="48">
        <f>(MOD(H_Fev[[#This Row],[Fin]]-H_Fev[[#This Row],[début]],1)-MOD(H_Fev[[#This Row],[PNP Fin]]-H_Fev[[#This Row],[PNP Début]],1))*24</f>
        <v>0</v>
      </c>
      <c r="K34" s="48" t="str">
        <f>IFERROR(VLOOKUP(H_Fev[[#This Row],[Service]],Codes[],4,0),"")</f>
        <v/>
      </c>
      <c r="L34" s="49">
        <f>IF(H_Fev[[#This Row],[PNP Début]]=0,0,IF(H_Fev[[#This Row],[PNP Début]]&lt;H_Fev[[#This Row],[début]],1,0)+H_Fev[[#This Row],[PNP Début]])</f>
        <v>0</v>
      </c>
      <c r="M34" s="50">
        <f>IF(H_Fev[[#This Row],[PNP Fin]]=0,0,IF(H_Fev[[#This Row],[PNP Fin]]&lt;H_Fev[[#This Row],[début]],1,0)+H_Fev[[#This Row],[PNP Fin]])</f>
        <v>0</v>
      </c>
      <c r="N34" s="50">
        <f>IF(H_Fev[[#This Row],[Fin]]&lt;H_Fev[[#This Row],[début]],1,0)+H_Fev[[#This Row],[Fin]]</f>
        <v>0</v>
      </c>
      <c r="O34" s="31">
        <f>IF(H_Fev[[#This Row],[Fin]]&lt;H_Fev[[#This Row],[début]],MAX(0,MIN(H_Fev[[#This Row],[Fin corrigée si nuit]],fin_nuit)-MAX(H_Fev[[#This Row],[début]],deb_nuit))*24,(MAX(deb_nuit,H_Fev[[#This Row],[Fin]])-MAX(deb_nuit,H_Fev[[#This Row],[début]])+MAX(MIN(fin_nuit-1,H_Fev[[#This Row],[Fin]])-MIN(fin_nuit-1,H_Fev[[#This Row],[début]]),0))*24)</f>
        <v>0</v>
      </c>
      <c r="P34" s="51">
        <f>(MAX(0,MIN(H_Fev[[#This Row],[Fin corrigée si nuit]],fin_nuit)-MAX(H_Fev[[#This Row],[début]],deb_nuit))-IF(H_Fev[[#This Row],[PNP Début]]=0,0,MIN(H_Fev[[#This Row],[PNP Fin corrigée]],fin_nuit)-MAX(H_Fev[[#This Row],[PNP Début corrigé]],deb_nuit)))*24</f>
        <v>0</v>
      </c>
      <c r="Q34" s="51">
        <f>(IF(WEEKDAY(H_Fev[[#This Row],[Date]],2)=7,MAX(0,MIN(fin_dimJF,H_Fev[[#This Row],[Fin corrigée si nuit]])-MAX(deb_dimJF,H_Fev[[#This Row],[début]])),0)+IF(WEEKDAY(H_Fev[[#This Row],[Date]],2)=6,MAX(0,H_Fev[[#This Row],[Fin corrigée si nuit]]-(1+deb_dimJF)),0))*24</f>
        <v>0</v>
      </c>
      <c r="R34"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4" s="51">
        <f>(IF(COUNTIF(JF,H_Fev[[#This Row],[Date]]),MAX(0,MIN(fin_dimJF,H_Fev[[#This Row],[Fin corrigée si nuit]])-MAX(deb_dimJF,H_Fev[[#This Row],[début]])),0)+IF(COUNTIF(JF,H_Fev[[#This Row],[Date]]+1),MAX(0,H_Fev[[#This Row],[Fin corrigée si nuit]]-(1+deb_dimJF)),0))*24</f>
        <v>0</v>
      </c>
      <c r="T34"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5" spans="1:20" x14ac:dyDescent="0.3">
      <c r="A35" s="4"/>
      <c r="B35" s="1"/>
      <c r="C35" s="2"/>
      <c r="D35" s="2"/>
      <c r="E35" s="3"/>
      <c r="F35" s="3"/>
      <c r="G35" s="3"/>
      <c r="H35" s="3"/>
      <c r="I35" s="47">
        <f>0.1*(H_Fev[[#This Row],[Heures de nuit]]+IF(H_Fev[[#This Row],[majoration dim &amp; JF]]="non",0,H_Fev[[#This Row],[heures jour dimanche]]+H_Fev[[#This Row],[heures jour fériés]]))</f>
        <v>0</v>
      </c>
      <c r="J35" s="48">
        <f>(MOD(H_Fev[[#This Row],[Fin]]-H_Fev[[#This Row],[début]],1)-MOD(H_Fev[[#This Row],[PNP Fin]]-H_Fev[[#This Row],[PNP Début]],1))*24</f>
        <v>0</v>
      </c>
      <c r="K35" s="48" t="str">
        <f>IFERROR(VLOOKUP(H_Fev[[#This Row],[Service]],Codes[],4,0),"")</f>
        <v/>
      </c>
      <c r="L35" s="49">
        <f>IF(H_Fev[[#This Row],[PNP Début]]=0,0,IF(H_Fev[[#This Row],[PNP Début]]&lt;H_Fev[[#This Row],[début]],1,0)+H_Fev[[#This Row],[PNP Début]])</f>
        <v>0</v>
      </c>
      <c r="M35" s="50">
        <f>IF(H_Fev[[#This Row],[PNP Fin]]=0,0,IF(H_Fev[[#This Row],[PNP Fin]]&lt;H_Fev[[#This Row],[début]],1,0)+H_Fev[[#This Row],[PNP Fin]])</f>
        <v>0</v>
      </c>
      <c r="N35" s="50">
        <f>IF(H_Fev[[#This Row],[Fin]]&lt;H_Fev[[#This Row],[début]],1,0)+H_Fev[[#This Row],[Fin]]</f>
        <v>0</v>
      </c>
      <c r="O35" s="31">
        <f>IF(H_Fev[[#This Row],[Fin]]&lt;H_Fev[[#This Row],[début]],MAX(0,MIN(H_Fev[[#This Row],[Fin corrigée si nuit]],fin_nuit)-MAX(H_Fev[[#This Row],[début]],deb_nuit))*24,(MAX(deb_nuit,H_Fev[[#This Row],[Fin]])-MAX(deb_nuit,H_Fev[[#This Row],[début]])+MAX(MIN(fin_nuit-1,H_Fev[[#This Row],[Fin]])-MIN(fin_nuit-1,H_Fev[[#This Row],[début]]),0))*24)</f>
        <v>0</v>
      </c>
      <c r="P35" s="51">
        <f>(MAX(0,MIN(H_Fev[[#This Row],[Fin corrigée si nuit]],fin_nuit)-MAX(H_Fev[[#This Row],[début]],deb_nuit))-IF(H_Fev[[#This Row],[PNP Début]]=0,0,MIN(H_Fev[[#This Row],[PNP Fin corrigée]],fin_nuit)-MAX(H_Fev[[#This Row],[PNP Début corrigé]],deb_nuit)))*24</f>
        <v>0</v>
      </c>
      <c r="Q35" s="51">
        <f>(IF(WEEKDAY(H_Fev[[#This Row],[Date]],2)=7,MAX(0,MIN(fin_dimJF,H_Fev[[#This Row],[Fin corrigée si nuit]])-MAX(deb_dimJF,H_Fev[[#This Row],[début]])),0)+IF(WEEKDAY(H_Fev[[#This Row],[Date]],2)=6,MAX(0,H_Fev[[#This Row],[Fin corrigée si nuit]]-(1+deb_dimJF)),0))*24</f>
        <v>0</v>
      </c>
      <c r="R35"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5" s="51">
        <f>(IF(COUNTIF(JF,H_Fev[[#This Row],[Date]]),MAX(0,MIN(fin_dimJF,H_Fev[[#This Row],[Fin corrigée si nuit]])-MAX(deb_dimJF,H_Fev[[#This Row],[début]])),0)+IF(COUNTIF(JF,H_Fev[[#This Row],[Date]]+1),MAX(0,H_Fev[[#This Row],[Fin corrigée si nuit]]-(1+deb_dimJF)),0))*24</f>
        <v>0</v>
      </c>
      <c r="T35"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6" spans="1:20" x14ac:dyDescent="0.3">
      <c r="A36" s="4"/>
      <c r="B36" s="1"/>
      <c r="C36" s="2"/>
      <c r="D36" s="2"/>
      <c r="E36" s="3"/>
      <c r="F36" s="3"/>
      <c r="G36" s="3"/>
      <c r="H36" s="3"/>
      <c r="I36" s="47">
        <f>0.1*(H_Fev[[#This Row],[Heures de nuit]]+IF(H_Fev[[#This Row],[majoration dim &amp; JF]]="non",0,H_Fev[[#This Row],[heures jour dimanche]]+H_Fev[[#This Row],[heures jour fériés]]))</f>
        <v>0</v>
      </c>
      <c r="J36" s="48">
        <f>(MOD(H_Fev[[#This Row],[Fin]]-H_Fev[[#This Row],[début]],1)-MOD(H_Fev[[#This Row],[PNP Fin]]-H_Fev[[#This Row],[PNP Début]],1))*24</f>
        <v>0</v>
      </c>
      <c r="K36" s="48" t="str">
        <f>IFERROR(VLOOKUP(H_Fev[[#This Row],[Service]],Codes[],4,0),"")</f>
        <v/>
      </c>
      <c r="L36" s="49">
        <f>IF(H_Fev[[#This Row],[PNP Début]]=0,0,IF(H_Fev[[#This Row],[PNP Début]]&lt;H_Fev[[#This Row],[début]],1,0)+H_Fev[[#This Row],[PNP Début]])</f>
        <v>0</v>
      </c>
      <c r="M36" s="50">
        <f>IF(H_Fev[[#This Row],[PNP Fin]]=0,0,IF(H_Fev[[#This Row],[PNP Fin]]&lt;H_Fev[[#This Row],[début]],1,0)+H_Fev[[#This Row],[PNP Fin]])</f>
        <v>0</v>
      </c>
      <c r="N36" s="50">
        <f>IF(H_Fev[[#This Row],[Fin]]&lt;H_Fev[[#This Row],[début]],1,0)+H_Fev[[#This Row],[Fin]]</f>
        <v>0</v>
      </c>
      <c r="O36" s="31">
        <f>IF(H_Fev[[#This Row],[Fin]]&lt;H_Fev[[#This Row],[début]],MAX(0,MIN(H_Fev[[#This Row],[Fin corrigée si nuit]],fin_nuit)-MAX(H_Fev[[#This Row],[début]],deb_nuit))*24,(MAX(deb_nuit,H_Fev[[#This Row],[Fin]])-MAX(deb_nuit,H_Fev[[#This Row],[début]])+MAX(MIN(fin_nuit-1,H_Fev[[#This Row],[Fin]])-MIN(fin_nuit-1,H_Fev[[#This Row],[début]]),0))*24)</f>
        <v>0</v>
      </c>
      <c r="P36" s="51">
        <f>(MAX(0,MIN(H_Fev[[#This Row],[Fin corrigée si nuit]],fin_nuit)-MAX(H_Fev[[#This Row],[début]],deb_nuit))-IF(H_Fev[[#This Row],[PNP Début]]=0,0,MIN(H_Fev[[#This Row],[PNP Fin corrigée]],fin_nuit)-MAX(H_Fev[[#This Row],[PNP Début corrigé]],deb_nuit)))*24</f>
        <v>0</v>
      </c>
      <c r="Q36" s="51">
        <f>(IF(WEEKDAY(H_Fev[[#This Row],[Date]],2)=7,MAX(0,MIN(fin_dimJF,H_Fev[[#This Row],[Fin corrigée si nuit]])-MAX(deb_dimJF,H_Fev[[#This Row],[début]])),0)+IF(WEEKDAY(H_Fev[[#This Row],[Date]],2)=6,MAX(0,H_Fev[[#This Row],[Fin corrigée si nuit]]-(1+deb_dimJF)),0))*24</f>
        <v>0</v>
      </c>
      <c r="R36"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6" s="51">
        <f>(IF(COUNTIF(JF,H_Fev[[#This Row],[Date]]),MAX(0,MIN(fin_dimJF,H_Fev[[#This Row],[Fin corrigée si nuit]])-MAX(deb_dimJF,H_Fev[[#This Row],[début]])),0)+IF(COUNTIF(JF,H_Fev[[#This Row],[Date]]+1),MAX(0,H_Fev[[#This Row],[Fin corrigée si nuit]]-(1+deb_dimJF)),0))*24</f>
        <v>0</v>
      </c>
      <c r="T36"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7" spans="1:20" x14ac:dyDescent="0.3">
      <c r="A37" s="4"/>
      <c r="B37" s="1"/>
      <c r="C37" s="2"/>
      <c r="D37" s="2"/>
      <c r="E37" s="3"/>
      <c r="F37" s="3"/>
      <c r="G37" s="3"/>
      <c r="H37" s="3"/>
      <c r="I37" s="47">
        <f>0.1*(H_Fev[[#This Row],[Heures de nuit]]+IF(H_Fev[[#This Row],[majoration dim &amp; JF]]="non",0,H_Fev[[#This Row],[heures jour dimanche]]+H_Fev[[#This Row],[heures jour fériés]]))</f>
        <v>0</v>
      </c>
      <c r="J37" s="48">
        <f>(MOD(H_Fev[[#This Row],[Fin]]-H_Fev[[#This Row],[début]],1)-MOD(H_Fev[[#This Row],[PNP Fin]]-H_Fev[[#This Row],[PNP Début]],1))*24</f>
        <v>0</v>
      </c>
      <c r="K37" s="48" t="str">
        <f>IFERROR(VLOOKUP(H_Fev[[#This Row],[Service]],Codes[],4,0),"")</f>
        <v/>
      </c>
      <c r="L37" s="49">
        <f>IF(H_Fev[[#This Row],[PNP Début]]=0,0,IF(H_Fev[[#This Row],[PNP Début]]&lt;H_Fev[[#This Row],[début]],1,0)+H_Fev[[#This Row],[PNP Début]])</f>
        <v>0</v>
      </c>
      <c r="M37" s="50">
        <f>IF(H_Fev[[#This Row],[PNP Fin]]=0,0,IF(H_Fev[[#This Row],[PNP Fin]]&lt;H_Fev[[#This Row],[début]],1,0)+H_Fev[[#This Row],[PNP Fin]])</f>
        <v>0</v>
      </c>
      <c r="N37" s="50">
        <f>IF(H_Fev[[#This Row],[Fin]]&lt;H_Fev[[#This Row],[début]],1,0)+H_Fev[[#This Row],[Fin]]</f>
        <v>0</v>
      </c>
      <c r="O37" s="31">
        <f>IF(H_Fev[[#This Row],[Fin]]&lt;H_Fev[[#This Row],[début]],MAX(0,MIN(H_Fev[[#This Row],[Fin corrigée si nuit]],fin_nuit)-MAX(H_Fev[[#This Row],[début]],deb_nuit))*24,(MAX(deb_nuit,H_Fev[[#This Row],[Fin]])-MAX(deb_nuit,H_Fev[[#This Row],[début]])+MAX(MIN(fin_nuit-1,H_Fev[[#This Row],[Fin]])-MIN(fin_nuit-1,H_Fev[[#This Row],[début]]),0))*24)</f>
        <v>0</v>
      </c>
      <c r="P37" s="51">
        <f>(MAX(0,MIN(H_Fev[[#This Row],[Fin corrigée si nuit]],fin_nuit)-MAX(H_Fev[[#This Row],[début]],deb_nuit))-IF(H_Fev[[#This Row],[PNP Début]]=0,0,MIN(H_Fev[[#This Row],[PNP Fin corrigée]],fin_nuit)-MAX(H_Fev[[#This Row],[PNP Début corrigé]],deb_nuit)))*24</f>
        <v>0</v>
      </c>
      <c r="Q37" s="51">
        <f>(IF(WEEKDAY(H_Fev[[#This Row],[Date]],2)=7,MAX(0,MIN(fin_dimJF,H_Fev[[#This Row],[Fin corrigée si nuit]])-MAX(deb_dimJF,H_Fev[[#This Row],[début]])),0)+IF(WEEKDAY(H_Fev[[#This Row],[Date]],2)=6,MAX(0,H_Fev[[#This Row],[Fin corrigée si nuit]]-(1+deb_dimJF)),0))*24</f>
        <v>0</v>
      </c>
      <c r="R37"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7" s="51">
        <f>(IF(COUNTIF(JF,H_Fev[[#This Row],[Date]]),MAX(0,MIN(fin_dimJF,H_Fev[[#This Row],[Fin corrigée si nuit]])-MAX(deb_dimJF,H_Fev[[#This Row],[début]])),0)+IF(COUNTIF(JF,H_Fev[[#This Row],[Date]]+1),MAX(0,H_Fev[[#This Row],[Fin corrigée si nuit]]-(1+deb_dimJF)),0))*24</f>
        <v>0</v>
      </c>
      <c r="T37"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8" spans="1:20" x14ac:dyDescent="0.3">
      <c r="A38" s="4"/>
      <c r="B38" s="1"/>
      <c r="C38" s="2"/>
      <c r="D38" s="2"/>
      <c r="E38" s="3"/>
      <c r="F38" s="3"/>
      <c r="G38" s="3"/>
      <c r="H38" s="3"/>
      <c r="I38" s="47">
        <f>0.1*(H_Fev[[#This Row],[Heures de nuit]]+IF(H_Fev[[#This Row],[majoration dim &amp; JF]]="non",0,H_Fev[[#This Row],[heures jour dimanche]]+H_Fev[[#This Row],[heures jour fériés]]))</f>
        <v>0</v>
      </c>
      <c r="J38" s="48">
        <f>(MOD(H_Fev[[#This Row],[Fin]]-H_Fev[[#This Row],[début]],1)-MOD(H_Fev[[#This Row],[PNP Fin]]-H_Fev[[#This Row],[PNP Début]],1))*24</f>
        <v>0</v>
      </c>
      <c r="K38" s="48" t="str">
        <f>IFERROR(VLOOKUP(H_Fev[[#This Row],[Service]],Codes[],4,0),"")</f>
        <v/>
      </c>
      <c r="L38" s="49">
        <f>IF(H_Fev[[#This Row],[PNP Début]]=0,0,IF(H_Fev[[#This Row],[PNP Début]]&lt;H_Fev[[#This Row],[début]],1,0)+H_Fev[[#This Row],[PNP Début]])</f>
        <v>0</v>
      </c>
      <c r="M38" s="50">
        <f>IF(H_Fev[[#This Row],[PNP Fin]]=0,0,IF(H_Fev[[#This Row],[PNP Fin]]&lt;H_Fev[[#This Row],[début]],1,0)+H_Fev[[#This Row],[PNP Fin]])</f>
        <v>0</v>
      </c>
      <c r="N38" s="50">
        <f>IF(H_Fev[[#This Row],[Fin]]&lt;H_Fev[[#This Row],[début]],1,0)+H_Fev[[#This Row],[Fin]]</f>
        <v>0</v>
      </c>
      <c r="O38" s="31">
        <f>IF(H_Fev[[#This Row],[Fin]]&lt;H_Fev[[#This Row],[début]],MAX(0,MIN(H_Fev[[#This Row],[Fin corrigée si nuit]],fin_nuit)-MAX(H_Fev[[#This Row],[début]],deb_nuit))*24,(MAX(deb_nuit,H_Fev[[#This Row],[Fin]])-MAX(deb_nuit,H_Fev[[#This Row],[début]])+MAX(MIN(fin_nuit-1,H_Fev[[#This Row],[Fin]])-MIN(fin_nuit-1,H_Fev[[#This Row],[début]]),0))*24)</f>
        <v>0</v>
      </c>
      <c r="P38" s="51">
        <f>(MAX(0,MIN(H_Fev[[#This Row],[Fin corrigée si nuit]],fin_nuit)-MAX(H_Fev[[#This Row],[début]],deb_nuit))-IF(H_Fev[[#This Row],[PNP Début]]=0,0,MIN(H_Fev[[#This Row],[PNP Fin corrigée]],fin_nuit)-MAX(H_Fev[[#This Row],[PNP Début corrigé]],deb_nuit)))*24</f>
        <v>0</v>
      </c>
      <c r="Q38" s="51">
        <f>(IF(WEEKDAY(H_Fev[[#This Row],[Date]],2)=7,MAX(0,MIN(fin_dimJF,H_Fev[[#This Row],[Fin corrigée si nuit]])-MAX(deb_dimJF,H_Fev[[#This Row],[début]])),0)+IF(WEEKDAY(H_Fev[[#This Row],[Date]],2)=6,MAX(0,H_Fev[[#This Row],[Fin corrigée si nuit]]-(1+deb_dimJF)),0))*24</f>
        <v>0</v>
      </c>
      <c r="R38"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8" s="51">
        <f>(IF(COUNTIF(JF,H_Fev[[#This Row],[Date]]),MAX(0,MIN(fin_dimJF,H_Fev[[#This Row],[Fin corrigée si nuit]])-MAX(deb_dimJF,H_Fev[[#This Row],[début]])),0)+IF(COUNTIF(JF,H_Fev[[#This Row],[Date]]+1),MAX(0,H_Fev[[#This Row],[Fin corrigée si nuit]]-(1+deb_dimJF)),0))*24</f>
        <v>0</v>
      </c>
      <c r="T38"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39" spans="1:20" x14ac:dyDescent="0.3">
      <c r="A39" s="4"/>
      <c r="B39" s="1"/>
      <c r="C39" s="2"/>
      <c r="D39" s="2"/>
      <c r="E39" s="3"/>
      <c r="F39" s="3"/>
      <c r="G39" s="3"/>
      <c r="H39" s="3"/>
      <c r="I39" s="47">
        <f>0.1*(H_Fev[[#This Row],[Heures de nuit]]+IF(H_Fev[[#This Row],[majoration dim &amp; JF]]="non",0,H_Fev[[#This Row],[heures jour dimanche]]+H_Fev[[#This Row],[heures jour fériés]]))</f>
        <v>0</v>
      </c>
      <c r="J39" s="48">
        <f>(MOD(H_Fev[[#This Row],[Fin]]-H_Fev[[#This Row],[début]],1)-MOD(H_Fev[[#This Row],[PNP Fin]]-H_Fev[[#This Row],[PNP Début]],1))*24</f>
        <v>0</v>
      </c>
      <c r="K39" s="48" t="str">
        <f>IFERROR(VLOOKUP(H_Fev[[#This Row],[Service]],Codes[],4,0),"")</f>
        <v/>
      </c>
      <c r="L39" s="49">
        <f>IF(H_Fev[[#This Row],[PNP Début]]=0,0,IF(H_Fev[[#This Row],[PNP Début]]&lt;H_Fev[[#This Row],[début]],1,0)+H_Fev[[#This Row],[PNP Début]])</f>
        <v>0</v>
      </c>
      <c r="M39" s="50">
        <f>IF(H_Fev[[#This Row],[PNP Fin]]=0,0,IF(H_Fev[[#This Row],[PNP Fin]]&lt;H_Fev[[#This Row],[début]],1,0)+H_Fev[[#This Row],[PNP Fin]])</f>
        <v>0</v>
      </c>
      <c r="N39" s="50">
        <f>IF(H_Fev[[#This Row],[Fin]]&lt;H_Fev[[#This Row],[début]],1,0)+H_Fev[[#This Row],[Fin]]</f>
        <v>0</v>
      </c>
      <c r="O39" s="31">
        <f>IF(H_Fev[[#This Row],[Fin]]&lt;H_Fev[[#This Row],[début]],MAX(0,MIN(H_Fev[[#This Row],[Fin corrigée si nuit]],fin_nuit)-MAX(H_Fev[[#This Row],[début]],deb_nuit))*24,(MAX(deb_nuit,H_Fev[[#This Row],[Fin]])-MAX(deb_nuit,H_Fev[[#This Row],[début]])+MAX(MIN(fin_nuit-1,H_Fev[[#This Row],[Fin]])-MIN(fin_nuit-1,H_Fev[[#This Row],[début]]),0))*24)</f>
        <v>0</v>
      </c>
      <c r="P39" s="51">
        <f>(MAX(0,MIN(H_Fev[[#This Row],[Fin corrigée si nuit]],fin_nuit)-MAX(H_Fev[[#This Row],[début]],deb_nuit))-IF(H_Fev[[#This Row],[PNP Début]]=0,0,MIN(H_Fev[[#This Row],[PNP Fin corrigée]],fin_nuit)-MAX(H_Fev[[#This Row],[PNP Début corrigé]],deb_nuit)))*24</f>
        <v>0</v>
      </c>
      <c r="Q39" s="51">
        <f>(IF(WEEKDAY(H_Fev[[#This Row],[Date]],2)=7,MAX(0,MIN(fin_dimJF,H_Fev[[#This Row],[Fin corrigée si nuit]])-MAX(deb_dimJF,H_Fev[[#This Row],[début]])),0)+IF(WEEKDAY(H_Fev[[#This Row],[Date]],2)=6,MAX(0,H_Fev[[#This Row],[Fin corrigée si nuit]]-(1+deb_dimJF)),0))*24</f>
        <v>0</v>
      </c>
      <c r="R39"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39" s="51">
        <f>(IF(COUNTIF(JF,H_Fev[[#This Row],[Date]]),MAX(0,MIN(fin_dimJF,H_Fev[[#This Row],[Fin corrigée si nuit]])-MAX(deb_dimJF,H_Fev[[#This Row],[début]])),0)+IF(COUNTIF(JF,H_Fev[[#This Row],[Date]]+1),MAX(0,H_Fev[[#This Row],[Fin corrigée si nuit]]-(1+deb_dimJF)),0))*24</f>
        <v>0</v>
      </c>
      <c r="T39"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0" spans="1:20" x14ac:dyDescent="0.3">
      <c r="A40" s="4"/>
      <c r="B40" s="1"/>
      <c r="C40" s="2"/>
      <c r="D40" s="2"/>
      <c r="E40" s="3"/>
      <c r="F40" s="3"/>
      <c r="G40" s="3"/>
      <c r="H40" s="3"/>
      <c r="I40" s="47">
        <f>0.1*(H_Fev[[#This Row],[Heures de nuit]]+IF(H_Fev[[#This Row],[majoration dim &amp; JF]]="non",0,H_Fev[[#This Row],[heures jour dimanche]]+H_Fev[[#This Row],[heures jour fériés]]))</f>
        <v>0</v>
      </c>
      <c r="J40" s="48">
        <f>(MOD(H_Fev[[#This Row],[Fin]]-H_Fev[[#This Row],[début]],1)-MOD(H_Fev[[#This Row],[PNP Fin]]-H_Fev[[#This Row],[PNP Début]],1))*24</f>
        <v>0</v>
      </c>
      <c r="K40" s="48" t="str">
        <f>IFERROR(VLOOKUP(H_Fev[[#This Row],[Service]],Codes[],4,0),"")</f>
        <v/>
      </c>
      <c r="L40" s="49">
        <f>IF(H_Fev[[#This Row],[PNP Début]]=0,0,IF(H_Fev[[#This Row],[PNP Début]]&lt;H_Fev[[#This Row],[début]],1,0)+H_Fev[[#This Row],[PNP Début]])</f>
        <v>0</v>
      </c>
      <c r="M40" s="50">
        <f>IF(H_Fev[[#This Row],[PNP Fin]]=0,0,IF(H_Fev[[#This Row],[PNP Fin]]&lt;H_Fev[[#This Row],[début]],1,0)+H_Fev[[#This Row],[PNP Fin]])</f>
        <v>0</v>
      </c>
      <c r="N40" s="50">
        <f>IF(H_Fev[[#This Row],[Fin]]&lt;H_Fev[[#This Row],[début]],1,0)+H_Fev[[#This Row],[Fin]]</f>
        <v>0</v>
      </c>
      <c r="O40" s="31">
        <f>IF(H_Fev[[#This Row],[Fin]]&lt;H_Fev[[#This Row],[début]],MAX(0,MIN(H_Fev[[#This Row],[Fin corrigée si nuit]],fin_nuit)-MAX(H_Fev[[#This Row],[début]],deb_nuit))*24,(MAX(deb_nuit,H_Fev[[#This Row],[Fin]])-MAX(deb_nuit,H_Fev[[#This Row],[début]])+MAX(MIN(fin_nuit-1,H_Fev[[#This Row],[Fin]])-MIN(fin_nuit-1,H_Fev[[#This Row],[début]]),0))*24)</f>
        <v>0</v>
      </c>
      <c r="P40" s="51">
        <f>(MAX(0,MIN(H_Fev[[#This Row],[Fin corrigée si nuit]],fin_nuit)-MAX(H_Fev[[#This Row],[début]],deb_nuit))-IF(H_Fev[[#This Row],[PNP Début]]=0,0,MIN(H_Fev[[#This Row],[PNP Fin corrigée]],fin_nuit)-MAX(H_Fev[[#This Row],[PNP Début corrigé]],deb_nuit)))*24</f>
        <v>0</v>
      </c>
      <c r="Q40" s="51">
        <f>(IF(WEEKDAY(H_Fev[[#This Row],[Date]],2)=7,MAX(0,MIN(fin_dimJF,H_Fev[[#This Row],[Fin corrigée si nuit]])-MAX(deb_dimJF,H_Fev[[#This Row],[début]])),0)+IF(WEEKDAY(H_Fev[[#This Row],[Date]],2)=6,MAX(0,H_Fev[[#This Row],[Fin corrigée si nuit]]-(1+deb_dimJF)),0))*24</f>
        <v>0</v>
      </c>
      <c r="R40"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0" s="51">
        <f>(IF(COUNTIF(JF,H_Fev[[#This Row],[Date]]),MAX(0,MIN(fin_dimJF,H_Fev[[#This Row],[Fin corrigée si nuit]])-MAX(deb_dimJF,H_Fev[[#This Row],[début]])),0)+IF(COUNTIF(JF,H_Fev[[#This Row],[Date]]+1),MAX(0,H_Fev[[#This Row],[Fin corrigée si nuit]]-(1+deb_dimJF)),0))*24</f>
        <v>0</v>
      </c>
      <c r="T40"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1" spans="1:20" x14ac:dyDescent="0.3">
      <c r="A41" s="4"/>
      <c r="B41" s="1"/>
      <c r="C41" s="2"/>
      <c r="D41" s="2"/>
      <c r="E41" s="3"/>
      <c r="F41" s="3"/>
      <c r="G41" s="3"/>
      <c r="H41" s="3"/>
      <c r="I41" s="47">
        <f>0.1*(H_Fev[[#This Row],[Heures de nuit]]+IF(H_Fev[[#This Row],[majoration dim &amp; JF]]="non",0,H_Fev[[#This Row],[heures jour dimanche]]+H_Fev[[#This Row],[heures jour fériés]]))</f>
        <v>0</v>
      </c>
      <c r="J41" s="48">
        <f>(MOD(H_Fev[[#This Row],[Fin]]-H_Fev[[#This Row],[début]],1)-MOD(H_Fev[[#This Row],[PNP Fin]]-H_Fev[[#This Row],[PNP Début]],1))*24</f>
        <v>0</v>
      </c>
      <c r="K41" s="48" t="str">
        <f>IFERROR(VLOOKUP(H_Fev[[#This Row],[Service]],Codes[],4,0),"")</f>
        <v/>
      </c>
      <c r="L41" s="49">
        <f>IF(H_Fev[[#This Row],[PNP Début]]=0,0,IF(H_Fev[[#This Row],[PNP Début]]&lt;H_Fev[[#This Row],[début]],1,0)+H_Fev[[#This Row],[PNP Début]])</f>
        <v>0</v>
      </c>
      <c r="M41" s="50">
        <f>IF(H_Fev[[#This Row],[PNP Fin]]=0,0,IF(H_Fev[[#This Row],[PNP Fin]]&lt;H_Fev[[#This Row],[début]],1,0)+H_Fev[[#This Row],[PNP Fin]])</f>
        <v>0</v>
      </c>
      <c r="N41" s="50">
        <f>IF(H_Fev[[#This Row],[Fin]]&lt;H_Fev[[#This Row],[début]],1,0)+H_Fev[[#This Row],[Fin]]</f>
        <v>0</v>
      </c>
      <c r="O41" s="31">
        <f>IF(H_Fev[[#This Row],[Fin]]&lt;H_Fev[[#This Row],[début]],MAX(0,MIN(H_Fev[[#This Row],[Fin corrigée si nuit]],fin_nuit)-MAX(H_Fev[[#This Row],[début]],deb_nuit))*24,(MAX(deb_nuit,H_Fev[[#This Row],[Fin]])-MAX(deb_nuit,H_Fev[[#This Row],[début]])+MAX(MIN(fin_nuit-1,H_Fev[[#This Row],[Fin]])-MIN(fin_nuit-1,H_Fev[[#This Row],[début]]),0))*24)</f>
        <v>0</v>
      </c>
      <c r="P41" s="51">
        <f>(MAX(0,MIN(H_Fev[[#This Row],[Fin corrigée si nuit]],fin_nuit)-MAX(H_Fev[[#This Row],[début]],deb_nuit))-IF(H_Fev[[#This Row],[PNP Début]]=0,0,MIN(H_Fev[[#This Row],[PNP Fin corrigée]],fin_nuit)-MAX(H_Fev[[#This Row],[PNP Début corrigé]],deb_nuit)))*24</f>
        <v>0</v>
      </c>
      <c r="Q41" s="51">
        <f>(IF(WEEKDAY(H_Fev[[#This Row],[Date]],2)=7,MAX(0,MIN(fin_dimJF,H_Fev[[#This Row],[Fin corrigée si nuit]])-MAX(deb_dimJF,H_Fev[[#This Row],[début]])),0)+IF(WEEKDAY(H_Fev[[#This Row],[Date]],2)=6,MAX(0,H_Fev[[#This Row],[Fin corrigée si nuit]]-(1+deb_dimJF)),0))*24</f>
        <v>0</v>
      </c>
      <c r="R41"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1" s="51">
        <f>(IF(COUNTIF(JF,H_Fev[[#This Row],[Date]]),MAX(0,MIN(fin_dimJF,H_Fev[[#This Row],[Fin corrigée si nuit]])-MAX(deb_dimJF,H_Fev[[#This Row],[début]])),0)+IF(COUNTIF(JF,H_Fev[[#This Row],[Date]]+1),MAX(0,H_Fev[[#This Row],[Fin corrigée si nuit]]-(1+deb_dimJF)),0))*24</f>
        <v>0</v>
      </c>
      <c r="T41"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2" spans="1:20" x14ac:dyDescent="0.3">
      <c r="A42" s="4"/>
      <c r="B42" s="1"/>
      <c r="C42" s="2"/>
      <c r="D42" s="2"/>
      <c r="E42" s="3"/>
      <c r="F42" s="3"/>
      <c r="G42" s="3"/>
      <c r="H42" s="3"/>
      <c r="I42" s="47">
        <f>0.1*(H_Fev[[#This Row],[Heures de nuit]]+IF(H_Fev[[#This Row],[majoration dim &amp; JF]]="non",0,H_Fev[[#This Row],[heures jour dimanche]]+H_Fev[[#This Row],[heures jour fériés]]))</f>
        <v>0</v>
      </c>
      <c r="J42" s="48">
        <f>(MOD(H_Fev[[#This Row],[Fin]]-H_Fev[[#This Row],[début]],1)-MOD(H_Fev[[#This Row],[PNP Fin]]-H_Fev[[#This Row],[PNP Début]],1))*24</f>
        <v>0</v>
      </c>
      <c r="K42" s="48" t="str">
        <f>IFERROR(VLOOKUP(H_Fev[[#This Row],[Service]],Codes[],4,0),"")</f>
        <v/>
      </c>
      <c r="L42" s="49">
        <f>IF(H_Fev[[#This Row],[PNP Début]]=0,0,IF(H_Fev[[#This Row],[PNP Début]]&lt;H_Fev[[#This Row],[début]],1,0)+H_Fev[[#This Row],[PNP Début]])</f>
        <v>0</v>
      </c>
      <c r="M42" s="50">
        <f>IF(H_Fev[[#This Row],[PNP Fin]]=0,0,IF(H_Fev[[#This Row],[PNP Fin]]&lt;H_Fev[[#This Row],[début]],1,0)+H_Fev[[#This Row],[PNP Fin]])</f>
        <v>0</v>
      </c>
      <c r="N42" s="50">
        <f>IF(H_Fev[[#This Row],[Fin]]&lt;H_Fev[[#This Row],[début]],1,0)+H_Fev[[#This Row],[Fin]]</f>
        <v>0</v>
      </c>
      <c r="O42" s="31">
        <f>IF(H_Fev[[#This Row],[Fin]]&lt;H_Fev[[#This Row],[début]],MAX(0,MIN(H_Fev[[#This Row],[Fin corrigée si nuit]],fin_nuit)-MAX(H_Fev[[#This Row],[début]],deb_nuit))*24,(MAX(deb_nuit,H_Fev[[#This Row],[Fin]])-MAX(deb_nuit,H_Fev[[#This Row],[début]])+MAX(MIN(fin_nuit-1,H_Fev[[#This Row],[Fin]])-MIN(fin_nuit-1,H_Fev[[#This Row],[début]]),0))*24)</f>
        <v>0</v>
      </c>
      <c r="P42" s="51">
        <f>(MAX(0,MIN(H_Fev[[#This Row],[Fin corrigée si nuit]],fin_nuit)-MAX(H_Fev[[#This Row],[début]],deb_nuit))-IF(H_Fev[[#This Row],[PNP Début]]=0,0,MIN(H_Fev[[#This Row],[PNP Fin corrigée]],fin_nuit)-MAX(H_Fev[[#This Row],[PNP Début corrigé]],deb_nuit)))*24</f>
        <v>0</v>
      </c>
      <c r="Q42" s="51">
        <f>(IF(WEEKDAY(H_Fev[[#This Row],[Date]],2)=7,MAX(0,MIN(fin_dimJF,H_Fev[[#This Row],[Fin corrigée si nuit]])-MAX(deb_dimJF,H_Fev[[#This Row],[début]])),0)+IF(WEEKDAY(H_Fev[[#This Row],[Date]],2)=6,MAX(0,H_Fev[[#This Row],[Fin corrigée si nuit]]-(1+deb_dimJF)),0))*24</f>
        <v>0</v>
      </c>
      <c r="R42"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2" s="51">
        <f>(IF(COUNTIF(JF,H_Fev[[#This Row],[Date]]),MAX(0,MIN(fin_dimJF,H_Fev[[#This Row],[Fin corrigée si nuit]])-MAX(deb_dimJF,H_Fev[[#This Row],[début]])),0)+IF(COUNTIF(JF,H_Fev[[#This Row],[Date]]+1),MAX(0,H_Fev[[#This Row],[Fin corrigée si nuit]]-(1+deb_dimJF)),0))*24</f>
        <v>0</v>
      </c>
      <c r="T42"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3" spans="1:20" x14ac:dyDescent="0.3">
      <c r="A43" s="4"/>
      <c r="B43" s="1"/>
      <c r="C43" s="2"/>
      <c r="D43" s="2"/>
      <c r="E43" s="3"/>
      <c r="F43" s="3"/>
      <c r="G43" s="3"/>
      <c r="H43" s="3"/>
      <c r="I43" s="47">
        <f>0.1*(H_Fev[[#This Row],[Heures de nuit]]+IF(H_Fev[[#This Row],[majoration dim &amp; JF]]="non",0,H_Fev[[#This Row],[heures jour dimanche]]+H_Fev[[#This Row],[heures jour fériés]]))</f>
        <v>0</v>
      </c>
      <c r="J43" s="48">
        <f>(MOD(H_Fev[[#This Row],[Fin]]-H_Fev[[#This Row],[début]],1)-MOD(H_Fev[[#This Row],[PNP Fin]]-H_Fev[[#This Row],[PNP Début]],1))*24</f>
        <v>0</v>
      </c>
      <c r="K43" s="48" t="str">
        <f>IFERROR(VLOOKUP(H_Fev[[#This Row],[Service]],Codes[],4,0),"")</f>
        <v/>
      </c>
      <c r="L43" s="49">
        <f>IF(H_Fev[[#This Row],[PNP Début]]=0,0,IF(H_Fev[[#This Row],[PNP Début]]&lt;H_Fev[[#This Row],[début]],1,0)+H_Fev[[#This Row],[PNP Début]])</f>
        <v>0</v>
      </c>
      <c r="M43" s="50">
        <f>IF(H_Fev[[#This Row],[PNP Fin]]=0,0,IF(H_Fev[[#This Row],[PNP Fin]]&lt;H_Fev[[#This Row],[début]],1,0)+H_Fev[[#This Row],[PNP Fin]])</f>
        <v>0</v>
      </c>
      <c r="N43" s="50">
        <f>IF(H_Fev[[#This Row],[Fin]]&lt;H_Fev[[#This Row],[début]],1,0)+H_Fev[[#This Row],[Fin]]</f>
        <v>0</v>
      </c>
      <c r="O43" s="31">
        <f>IF(H_Fev[[#This Row],[Fin]]&lt;H_Fev[[#This Row],[début]],MAX(0,MIN(H_Fev[[#This Row],[Fin corrigée si nuit]],fin_nuit)-MAX(H_Fev[[#This Row],[début]],deb_nuit))*24,(MAX(deb_nuit,H_Fev[[#This Row],[Fin]])-MAX(deb_nuit,H_Fev[[#This Row],[début]])+MAX(MIN(fin_nuit-1,H_Fev[[#This Row],[Fin]])-MIN(fin_nuit-1,H_Fev[[#This Row],[début]]),0))*24)</f>
        <v>0</v>
      </c>
      <c r="P43" s="51">
        <f>(MAX(0,MIN(H_Fev[[#This Row],[Fin corrigée si nuit]],fin_nuit)-MAX(H_Fev[[#This Row],[début]],deb_nuit))-IF(H_Fev[[#This Row],[PNP Début]]=0,0,MIN(H_Fev[[#This Row],[PNP Fin corrigée]],fin_nuit)-MAX(H_Fev[[#This Row],[PNP Début corrigé]],deb_nuit)))*24</f>
        <v>0</v>
      </c>
      <c r="Q43" s="51">
        <f>(IF(WEEKDAY(H_Fev[[#This Row],[Date]],2)=7,MAX(0,MIN(fin_dimJF,H_Fev[[#This Row],[Fin corrigée si nuit]])-MAX(deb_dimJF,H_Fev[[#This Row],[début]])),0)+IF(WEEKDAY(H_Fev[[#This Row],[Date]],2)=6,MAX(0,H_Fev[[#This Row],[Fin corrigée si nuit]]-(1+deb_dimJF)),0))*24</f>
        <v>0</v>
      </c>
      <c r="R43"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3" s="51">
        <f>(IF(COUNTIF(JF,H_Fev[[#This Row],[Date]]),MAX(0,MIN(fin_dimJF,H_Fev[[#This Row],[Fin corrigée si nuit]])-MAX(deb_dimJF,H_Fev[[#This Row],[début]])),0)+IF(COUNTIF(JF,H_Fev[[#This Row],[Date]]+1),MAX(0,H_Fev[[#This Row],[Fin corrigée si nuit]]-(1+deb_dimJF)),0))*24</f>
        <v>0</v>
      </c>
      <c r="T43"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4" spans="1:20" x14ac:dyDescent="0.3">
      <c r="A44" s="4"/>
      <c r="B44" s="1"/>
      <c r="C44" s="2"/>
      <c r="D44" s="2"/>
      <c r="E44" s="3"/>
      <c r="F44" s="3"/>
      <c r="G44" s="3"/>
      <c r="H44" s="3"/>
      <c r="I44" s="47">
        <f>0.1*(H_Fev[[#This Row],[Heures de nuit]]+IF(H_Fev[[#This Row],[majoration dim &amp; JF]]="non",0,H_Fev[[#This Row],[heures jour dimanche]]+H_Fev[[#This Row],[heures jour fériés]]))</f>
        <v>0</v>
      </c>
      <c r="J44" s="48">
        <f>(MOD(H_Fev[[#This Row],[Fin]]-H_Fev[[#This Row],[début]],1)-MOD(H_Fev[[#This Row],[PNP Fin]]-H_Fev[[#This Row],[PNP Début]],1))*24</f>
        <v>0</v>
      </c>
      <c r="K44" s="48" t="str">
        <f>IFERROR(VLOOKUP(H_Fev[[#This Row],[Service]],Codes[],4,0),"")</f>
        <v/>
      </c>
      <c r="L44" s="49">
        <f>IF(H_Fev[[#This Row],[PNP Début]]=0,0,IF(H_Fev[[#This Row],[PNP Début]]&lt;H_Fev[[#This Row],[début]],1,0)+H_Fev[[#This Row],[PNP Début]])</f>
        <v>0</v>
      </c>
      <c r="M44" s="50">
        <f>IF(H_Fev[[#This Row],[PNP Fin]]=0,0,IF(H_Fev[[#This Row],[PNP Fin]]&lt;H_Fev[[#This Row],[début]],1,0)+H_Fev[[#This Row],[PNP Fin]])</f>
        <v>0</v>
      </c>
      <c r="N44" s="50">
        <f>IF(H_Fev[[#This Row],[Fin]]&lt;H_Fev[[#This Row],[début]],1,0)+H_Fev[[#This Row],[Fin]]</f>
        <v>0</v>
      </c>
      <c r="O44" s="31">
        <f>IF(H_Fev[[#This Row],[Fin]]&lt;H_Fev[[#This Row],[début]],MAX(0,MIN(H_Fev[[#This Row],[Fin corrigée si nuit]],fin_nuit)-MAX(H_Fev[[#This Row],[début]],deb_nuit))*24,(MAX(deb_nuit,H_Fev[[#This Row],[Fin]])-MAX(deb_nuit,H_Fev[[#This Row],[début]])+MAX(MIN(fin_nuit-1,H_Fev[[#This Row],[Fin]])-MIN(fin_nuit-1,H_Fev[[#This Row],[début]]),0))*24)</f>
        <v>0</v>
      </c>
      <c r="P44" s="51">
        <f>(MAX(0,MIN(H_Fev[[#This Row],[Fin corrigée si nuit]],fin_nuit)-MAX(H_Fev[[#This Row],[début]],deb_nuit))-IF(H_Fev[[#This Row],[PNP Début]]=0,0,MIN(H_Fev[[#This Row],[PNP Fin corrigée]],fin_nuit)-MAX(H_Fev[[#This Row],[PNP Début corrigé]],deb_nuit)))*24</f>
        <v>0</v>
      </c>
      <c r="Q44" s="51">
        <f>(IF(WEEKDAY(H_Fev[[#This Row],[Date]],2)=7,MAX(0,MIN(fin_dimJF,H_Fev[[#This Row],[Fin corrigée si nuit]])-MAX(deb_dimJF,H_Fev[[#This Row],[début]])),0)+IF(WEEKDAY(H_Fev[[#This Row],[Date]],2)=6,MAX(0,H_Fev[[#This Row],[Fin corrigée si nuit]]-(1+deb_dimJF)),0))*24</f>
        <v>0</v>
      </c>
      <c r="R44"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4" s="51">
        <f>(IF(COUNTIF(JF,H_Fev[[#This Row],[Date]]),MAX(0,MIN(fin_dimJF,H_Fev[[#This Row],[Fin corrigée si nuit]])-MAX(deb_dimJF,H_Fev[[#This Row],[début]])),0)+IF(COUNTIF(JF,H_Fev[[#This Row],[Date]]+1),MAX(0,H_Fev[[#This Row],[Fin corrigée si nuit]]-(1+deb_dimJF)),0))*24</f>
        <v>0</v>
      </c>
      <c r="T44"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5" spans="1:20" x14ac:dyDescent="0.3">
      <c r="A45" s="4"/>
      <c r="B45" s="1"/>
      <c r="C45" s="2"/>
      <c r="D45" s="2"/>
      <c r="E45" s="3"/>
      <c r="F45" s="3"/>
      <c r="G45" s="3"/>
      <c r="H45" s="3"/>
      <c r="I45" s="47">
        <f>0.1*(H_Fev[[#This Row],[Heures de nuit]]+IF(H_Fev[[#This Row],[majoration dim &amp; JF]]="non",0,H_Fev[[#This Row],[heures jour dimanche]]+H_Fev[[#This Row],[heures jour fériés]]))</f>
        <v>0</v>
      </c>
      <c r="J45" s="48">
        <f>(MOD(H_Fev[[#This Row],[Fin]]-H_Fev[[#This Row],[début]],1)-MOD(H_Fev[[#This Row],[PNP Fin]]-H_Fev[[#This Row],[PNP Début]],1))*24</f>
        <v>0</v>
      </c>
      <c r="K45" s="48" t="str">
        <f>IFERROR(VLOOKUP(H_Fev[[#This Row],[Service]],Codes[],4,0),"")</f>
        <v/>
      </c>
      <c r="L45" s="49">
        <f>IF(H_Fev[[#This Row],[PNP Début]]=0,0,IF(H_Fev[[#This Row],[PNP Début]]&lt;H_Fev[[#This Row],[début]],1,0)+H_Fev[[#This Row],[PNP Début]])</f>
        <v>0</v>
      </c>
      <c r="M45" s="50">
        <f>IF(H_Fev[[#This Row],[PNP Fin]]=0,0,IF(H_Fev[[#This Row],[PNP Fin]]&lt;H_Fev[[#This Row],[début]],1,0)+H_Fev[[#This Row],[PNP Fin]])</f>
        <v>0</v>
      </c>
      <c r="N45" s="50">
        <f>IF(H_Fev[[#This Row],[Fin]]&lt;H_Fev[[#This Row],[début]],1,0)+H_Fev[[#This Row],[Fin]]</f>
        <v>0</v>
      </c>
      <c r="O45" s="31">
        <f>IF(H_Fev[[#This Row],[Fin]]&lt;H_Fev[[#This Row],[début]],MAX(0,MIN(H_Fev[[#This Row],[Fin corrigée si nuit]],fin_nuit)-MAX(H_Fev[[#This Row],[début]],deb_nuit))*24,(MAX(deb_nuit,H_Fev[[#This Row],[Fin]])-MAX(deb_nuit,H_Fev[[#This Row],[début]])+MAX(MIN(fin_nuit-1,H_Fev[[#This Row],[Fin]])-MIN(fin_nuit-1,H_Fev[[#This Row],[début]]),0))*24)</f>
        <v>0</v>
      </c>
      <c r="P45" s="51">
        <f>(MAX(0,MIN(H_Fev[[#This Row],[Fin corrigée si nuit]],fin_nuit)-MAX(H_Fev[[#This Row],[début]],deb_nuit))-IF(H_Fev[[#This Row],[PNP Début]]=0,0,MIN(H_Fev[[#This Row],[PNP Fin corrigée]],fin_nuit)-MAX(H_Fev[[#This Row],[PNP Début corrigé]],deb_nuit)))*24</f>
        <v>0</v>
      </c>
      <c r="Q45" s="51">
        <f>(IF(WEEKDAY(H_Fev[[#This Row],[Date]],2)=7,MAX(0,MIN(fin_dimJF,H_Fev[[#This Row],[Fin corrigée si nuit]])-MAX(deb_dimJF,H_Fev[[#This Row],[début]])),0)+IF(WEEKDAY(H_Fev[[#This Row],[Date]],2)=6,MAX(0,H_Fev[[#This Row],[Fin corrigée si nuit]]-(1+deb_dimJF)),0))*24</f>
        <v>0</v>
      </c>
      <c r="R45"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5" s="51">
        <f>(IF(COUNTIF(JF,H_Fev[[#This Row],[Date]]),MAX(0,MIN(fin_dimJF,H_Fev[[#This Row],[Fin corrigée si nuit]])-MAX(deb_dimJF,H_Fev[[#This Row],[début]])),0)+IF(COUNTIF(JF,H_Fev[[#This Row],[Date]]+1),MAX(0,H_Fev[[#This Row],[Fin corrigée si nuit]]-(1+deb_dimJF)),0))*24</f>
        <v>0</v>
      </c>
      <c r="T45"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6" spans="1:20" x14ac:dyDescent="0.3">
      <c r="A46" s="4"/>
      <c r="B46" s="1"/>
      <c r="C46" s="2"/>
      <c r="D46" s="2"/>
      <c r="E46" s="3"/>
      <c r="F46" s="3"/>
      <c r="G46" s="3"/>
      <c r="H46" s="3"/>
      <c r="I46" s="47">
        <f>0.1*(H_Fev[[#This Row],[Heures de nuit]]+IF(H_Fev[[#This Row],[majoration dim &amp; JF]]="non",0,H_Fev[[#This Row],[heures jour dimanche]]+H_Fev[[#This Row],[heures jour fériés]]))</f>
        <v>0</v>
      </c>
      <c r="J46" s="48">
        <f>(MOD(H_Fev[[#This Row],[Fin]]-H_Fev[[#This Row],[début]],1)-MOD(H_Fev[[#This Row],[PNP Fin]]-H_Fev[[#This Row],[PNP Début]],1))*24</f>
        <v>0</v>
      </c>
      <c r="K46" s="48" t="str">
        <f>IFERROR(VLOOKUP(H_Fev[[#This Row],[Service]],Codes[],4,0),"")</f>
        <v/>
      </c>
      <c r="L46" s="49">
        <f>IF(H_Fev[[#This Row],[PNP Début]]=0,0,IF(H_Fev[[#This Row],[PNP Début]]&lt;H_Fev[[#This Row],[début]],1,0)+H_Fev[[#This Row],[PNP Début]])</f>
        <v>0</v>
      </c>
      <c r="M46" s="50">
        <f>IF(H_Fev[[#This Row],[PNP Fin]]=0,0,IF(H_Fev[[#This Row],[PNP Fin]]&lt;H_Fev[[#This Row],[début]],1,0)+H_Fev[[#This Row],[PNP Fin]])</f>
        <v>0</v>
      </c>
      <c r="N46" s="50">
        <f>IF(H_Fev[[#This Row],[Fin]]&lt;H_Fev[[#This Row],[début]],1,0)+H_Fev[[#This Row],[Fin]]</f>
        <v>0</v>
      </c>
      <c r="O46" s="31">
        <f>IF(H_Fev[[#This Row],[Fin]]&lt;H_Fev[[#This Row],[début]],MAX(0,MIN(H_Fev[[#This Row],[Fin corrigée si nuit]],fin_nuit)-MAX(H_Fev[[#This Row],[début]],deb_nuit))*24,(MAX(deb_nuit,H_Fev[[#This Row],[Fin]])-MAX(deb_nuit,H_Fev[[#This Row],[début]])+MAX(MIN(fin_nuit-1,H_Fev[[#This Row],[Fin]])-MIN(fin_nuit-1,H_Fev[[#This Row],[début]]),0))*24)</f>
        <v>0</v>
      </c>
      <c r="P46" s="51">
        <f>(MAX(0,MIN(H_Fev[[#This Row],[Fin corrigée si nuit]],fin_nuit)-MAX(H_Fev[[#This Row],[début]],deb_nuit))-IF(H_Fev[[#This Row],[PNP Début]]=0,0,MIN(H_Fev[[#This Row],[PNP Fin corrigée]],fin_nuit)-MAX(H_Fev[[#This Row],[PNP Début corrigé]],deb_nuit)))*24</f>
        <v>0</v>
      </c>
      <c r="Q46" s="51">
        <f>(IF(WEEKDAY(H_Fev[[#This Row],[Date]],2)=7,MAX(0,MIN(fin_dimJF,H_Fev[[#This Row],[Fin corrigée si nuit]])-MAX(deb_dimJF,H_Fev[[#This Row],[début]])),0)+IF(WEEKDAY(H_Fev[[#This Row],[Date]],2)=6,MAX(0,H_Fev[[#This Row],[Fin corrigée si nuit]]-(1+deb_dimJF)),0))*24</f>
        <v>0</v>
      </c>
      <c r="R46"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6" s="51">
        <f>(IF(COUNTIF(JF,H_Fev[[#This Row],[Date]]),MAX(0,MIN(fin_dimJF,H_Fev[[#This Row],[Fin corrigée si nuit]])-MAX(deb_dimJF,H_Fev[[#This Row],[début]])),0)+IF(COUNTIF(JF,H_Fev[[#This Row],[Date]]+1),MAX(0,H_Fev[[#This Row],[Fin corrigée si nuit]]-(1+deb_dimJF)),0))*24</f>
        <v>0</v>
      </c>
      <c r="T46"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7" spans="1:20" x14ac:dyDescent="0.3">
      <c r="A47" s="4"/>
      <c r="B47" s="1"/>
      <c r="C47" s="2"/>
      <c r="D47" s="2"/>
      <c r="E47" s="3"/>
      <c r="F47" s="3"/>
      <c r="G47" s="3"/>
      <c r="H47" s="3"/>
      <c r="I47" s="47">
        <f>0.1*(H_Fev[[#This Row],[Heures de nuit]]+IF(H_Fev[[#This Row],[majoration dim &amp; JF]]="non",0,H_Fev[[#This Row],[heures jour dimanche]]+H_Fev[[#This Row],[heures jour fériés]]))</f>
        <v>0</v>
      </c>
      <c r="J47" s="48">
        <f>(MOD(H_Fev[[#This Row],[Fin]]-H_Fev[[#This Row],[début]],1)-MOD(H_Fev[[#This Row],[PNP Fin]]-H_Fev[[#This Row],[PNP Début]],1))*24</f>
        <v>0</v>
      </c>
      <c r="K47" s="48" t="str">
        <f>IFERROR(VLOOKUP(H_Fev[[#This Row],[Service]],Codes[],4,0),"")</f>
        <v/>
      </c>
      <c r="L47" s="49">
        <f>IF(H_Fev[[#This Row],[PNP Début]]=0,0,IF(H_Fev[[#This Row],[PNP Début]]&lt;H_Fev[[#This Row],[début]],1,0)+H_Fev[[#This Row],[PNP Début]])</f>
        <v>0</v>
      </c>
      <c r="M47" s="50">
        <f>IF(H_Fev[[#This Row],[PNP Fin]]=0,0,IF(H_Fev[[#This Row],[PNP Fin]]&lt;H_Fev[[#This Row],[début]],1,0)+H_Fev[[#This Row],[PNP Fin]])</f>
        <v>0</v>
      </c>
      <c r="N47" s="50">
        <f>IF(H_Fev[[#This Row],[Fin]]&lt;H_Fev[[#This Row],[début]],1,0)+H_Fev[[#This Row],[Fin]]</f>
        <v>0</v>
      </c>
      <c r="O47" s="31">
        <f>IF(H_Fev[[#This Row],[Fin]]&lt;H_Fev[[#This Row],[début]],MAX(0,MIN(H_Fev[[#This Row],[Fin corrigée si nuit]],fin_nuit)-MAX(H_Fev[[#This Row],[début]],deb_nuit))*24,(MAX(deb_nuit,H_Fev[[#This Row],[Fin]])-MAX(deb_nuit,H_Fev[[#This Row],[début]])+MAX(MIN(fin_nuit-1,H_Fev[[#This Row],[Fin]])-MIN(fin_nuit-1,H_Fev[[#This Row],[début]]),0))*24)</f>
        <v>0</v>
      </c>
      <c r="P47" s="51">
        <f>(MAX(0,MIN(H_Fev[[#This Row],[Fin corrigée si nuit]],fin_nuit)-MAX(H_Fev[[#This Row],[début]],deb_nuit))-IF(H_Fev[[#This Row],[PNP Début]]=0,0,MIN(H_Fev[[#This Row],[PNP Fin corrigée]],fin_nuit)-MAX(H_Fev[[#This Row],[PNP Début corrigé]],deb_nuit)))*24</f>
        <v>0</v>
      </c>
      <c r="Q47" s="51">
        <f>(IF(WEEKDAY(H_Fev[[#This Row],[Date]],2)=7,MAX(0,MIN(fin_dimJF,H_Fev[[#This Row],[Fin corrigée si nuit]])-MAX(deb_dimJF,H_Fev[[#This Row],[début]])),0)+IF(WEEKDAY(H_Fev[[#This Row],[Date]],2)=6,MAX(0,H_Fev[[#This Row],[Fin corrigée si nuit]]-(1+deb_dimJF)),0))*24</f>
        <v>0</v>
      </c>
      <c r="R47"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7" s="51">
        <f>(IF(COUNTIF(JF,H_Fev[[#This Row],[Date]]),MAX(0,MIN(fin_dimJF,H_Fev[[#This Row],[Fin corrigée si nuit]])-MAX(deb_dimJF,H_Fev[[#This Row],[début]])),0)+IF(COUNTIF(JF,H_Fev[[#This Row],[Date]]+1),MAX(0,H_Fev[[#This Row],[Fin corrigée si nuit]]-(1+deb_dimJF)),0))*24</f>
        <v>0</v>
      </c>
      <c r="T47"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8" spans="1:20" x14ac:dyDescent="0.3">
      <c r="A48" s="4"/>
      <c r="B48" s="1"/>
      <c r="C48" s="2"/>
      <c r="D48" s="2"/>
      <c r="E48" s="3"/>
      <c r="F48" s="3"/>
      <c r="G48" s="3"/>
      <c r="H48" s="3"/>
      <c r="I48" s="47">
        <f>0.1*(H_Fev[[#This Row],[Heures de nuit]]+IF(H_Fev[[#This Row],[majoration dim &amp; JF]]="non",0,H_Fev[[#This Row],[heures jour dimanche]]+H_Fev[[#This Row],[heures jour fériés]]))</f>
        <v>0</v>
      </c>
      <c r="J48" s="48">
        <f>(MOD(H_Fev[[#This Row],[Fin]]-H_Fev[[#This Row],[début]],1)-MOD(H_Fev[[#This Row],[PNP Fin]]-H_Fev[[#This Row],[PNP Début]],1))*24</f>
        <v>0</v>
      </c>
      <c r="K48" s="48" t="str">
        <f>IFERROR(VLOOKUP(H_Fev[[#This Row],[Service]],Codes[],4,0),"")</f>
        <v/>
      </c>
      <c r="L48" s="49">
        <f>IF(H_Fev[[#This Row],[PNP Début]]=0,0,IF(H_Fev[[#This Row],[PNP Début]]&lt;H_Fev[[#This Row],[début]],1,0)+H_Fev[[#This Row],[PNP Début]])</f>
        <v>0</v>
      </c>
      <c r="M48" s="50">
        <f>IF(H_Fev[[#This Row],[PNP Fin]]=0,0,IF(H_Fev[[#This Row],[PNP Fin]]&lt;H_Fev[[#This Row],[début]],1,0)+H_Fev[[#This Row],[PNP Fin]])</f>
        <v>0</v>
      </c>
      <c r="N48" s="50">
        <f>IF(H_Fev[[#This Row],[Fin]]&lt;H_Fev[[#This Row],[début]],1,0)+H_Fev[[#This Row],[Fin]]</f>
        <v>0</v>
      </c>
      <c r="O48" s="31">
        <f>IF(H_Fev[[#This Row],[Fin]]&lt;H_Fev[[#This Row],[début]],MAX(0,MIN(H_Fev[[#This Row],[Fin corrigée si nuit]],fin_nuit)-MAX(H_Fev[[#This Row],[début]],deb_nuit))*24,(MAX(deb_nuit,H_Fev[[#This Row],[Fin]])-MAX(deb_nuit,H_Fev[[#This Row],[début]])+MAX(MIN(fin_nuit-1,H_Fev[[#This Row],[Fin]])-MIN(fin_nuit-1,H_Fev[[#This Row],[début]]),0))*24)</f>
        <v>0</v>
      </c>
      <c r="P48" s="51">
        <f>(MAX(0,MIN(H_Fev[[#This Row],[Fin corrigée si nuit]],fin_nuit)-MAX(H_Fev[[#This Row],[début]],deb_nuit))-IF(H_Fev[[#This Row],[PNP Début]]=0,0,MIN(H_Fev[[#This Row],[PNP Fin corrigée]],fin_nuit)-MAX(H_Fev[[#This Row],[PNP Début corrigé]],deb_nuit)))*24</f>
        <v>0</v>
      </c>
      <c r="Q48" s="51">
        <f>(IF(WEEKDAY(H_Fev[[#This Row],[Date]],2)=7,MAX(0,MIN(fin_dimJF,H_Fev[[#This Row],[Fin corrigée si nuit]])-MAX(deb_dimJF,H_Fev[[#This Row],[début]])),0)+IF(WEEKDAY(H_Fev[[#This Row],[Date]],2)=6,MAX(0,H_Fev[[#This Row],[Fin corrigée si nuit]]-(1+deb_dimJF)),0))*24</f>
        <v>0</v>
      </c>
      <c r="R48"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8" s="51">
        <f>(IF(COUNTIF(JF,H_Fev[[#This Row],[Date]]),MAX(0,MIN(fin_dimJF,H_Fev[[#This Row],[Fin corrigée si nuit]])-MAX(deb_dimJF,H_Fev[[#This Row],[début]])),0)+IF(COUNTIF(JF,H_Fev[[#This Row],[Date]]+1),MAX(0,H_Fev[[#This Row],[Fin corrigée si nuit]]-(1+deb_dimJF)),0))*24</f>
        <v>0</v>
      </c>
      <c r="T48"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49" spans="1:20" ht="15" thickBot="1" x14ac:dyDescent="0.35">
      <c r="A49" s="4"/>
      <c r="B49" s="1"/>
      <c r="C49" s="2"/>
      <c r="D49" s="2"/>
      <c r="E49" s="3"/>
      <c r="F49" s="3"/>
      <c r="G49" s="3"/>
      <c r="H49" s="3"/>
      <c r="I49" s="47">
        <f>0.1*(H_Fev[[#This Row],[Heures de nuit]]+IF(H_Fev[[#This Row],[majoration dim &amp; JF]]="non",0,H_Fev[[#This Row],[heures jour dimanche]]+H_Fev[[#This Row],[heures jour fériés]]))</f>
        <v>0</v>
      </c>
      <c r="J49" s="48">
        <f>(MOD(H_Fev[[#This Row],[Fin]]-H_Fev[[#This Row],[début]],1)-MOD(H_Fev[[#This Row],[PNP Fin]]-H_Fev[[#This Row],[PNP Début]],1))*24</f>
        <v>0</v>
      </c>
      <c r="K49" s="48" t="str">
        <f>IFERROR(VLOOKUP(H_Fev[[#This Row],[Service]],Codes[],4,0),"")</f>
        <v/>
      </c>
      <c r="L49" s="49">
        <f>IF(H_Fev[[#This Row],[PNP Début]]=0,0,IF(H_Fev[[#This Row],[PNP Début]]&lt;H_Fev[[#This Row],[début]],1,0)+H_Fev[[#This Row],[PNP Début]])</f>
        <v>0</v>
      </c>
      <c r="M49" s="50">
        <f>IF(H_Fev[[#This Row],[PNP Fin]]=0,0,IF(H_Fev[[#This Row],[PNP Fin]]&lt;H_Fev[[#This Row],[début]],1,0)+H_Fev[[#This Row],[PNP Fin]])</f>
        <v>0</v>
      </c>
      <c r="N49" s="50">
        <f>IF(H_Fev[[#This Row],[Fin]]&lt;H_Fev[[#This Row],[début]],1,0)+H_Fev[[#This Row],[Fin]]</f>
        <v>0</v>
      </c>
      <c r="O49" s="31">
        <f>IF(H_Fev[[#This Row],[Fin]]&lt;H_Fev[[#This Row],[début]],MAX(0,MIN(H_Fev[[#This Row],[Fin corrigée si nuit]],fin_nuit)-MAX(H_Fev[[#This Row],[début]],deb_nuit))*24,(MAX(deb_nuit,H_Fev[[#This Row],[Fin]])-MAX(deb_nuit,H_Fev[[#This Row],[début]])+MAX(MIN(fin_nuit-1,H_Fev[[#This Row],[Fin]])-MIN(fin_nuit-1,H_Fev[[#This Row],[début]]),0))*24)</f>
        <v>0</v>
      </c>
      <c r="P49" s="51">
        <f>(MAX(0,MIN(H_Fev[[#This Row],[Fin corrigée si nuit]],fin_nuit)-MAX(H_Fev[[#This Row],[début]],deb_nuit))-IF(H_Fev[[#This Row],[PNP Début]]=0,0,MIN(H_Fev[[#This Row],[PNP Fin corrigée]],fin_nuit)-MAX(H_Fev[[#This Row],[PNP Début corrigé]],deb_nuit)))*24</f>
        <v>0</v>
      </c>
      <c r="Q49" s="51">
        <f>(IF(WEEKDAY(H_Fev[[#This Row],[Date]],2)=7,MAX(0,MIN(fin_dimJF,H_Fev[[#This Row],[Fin corrigée si nuit]])-MAX(deb_dimJF,H_Fev[[#This Row],[début]])),0)+IF(WEEKDAY(H_Fev[[#This Row],[Date]],2)=6,MAX(0,H_Fev[[#This Row],[Fin corrigée si nuit]]-(1+deb_dimJF)),0))*24</f>
        <v>0</v>
      </c>
      <c r="R49" s="51">
        <f>(IF(WEEKDAY(H_Fev[[#This Row],[Date]],2)=7,MAX(0,MIN(fin_dimJF,H_Fev[[#This Row],[Fin corrigée si nuit]])-MAX(deb_dimJF,H_Fev[[#This Row],[début]])),0)+IF(WEEKDAY(H_Fev[[#This Row],[Date]],2)=6,MAX(0,H_Fev[[#This Row],[Fin corrigée si nuit]]-(1+deb_dimJF)),0))*24-
(IF(WEEKDAY(H_Fev[[#This Row],[Date]],2)=7,MAX(0,MIN(fin_dimJF,H_Fev[[#This Row],[PNP Fin corrigée]])-MAX(deb_dimJF,H_Fev[[#This Row],[PNP Début corrigé]])),0)+IF(WEEKDAY(H_Fev[[#This Row],[Date]],2)=6,MAX(0,H_Fev[[#This Row],[PNP Fin corrigée]]-(1+deb_dimJF)),0))*24</f>
        <v>0</v>
      </c>
      <c r="S49" s="51">
        <f>(IF(COUNTIF(JF,H_Fev[[#This Row],[Date]]),MAX(0,MIN(fin_dimJF,H_Fev[[#This Row],[Fin corrigée si nuit]])-MAX(deb_dimJF,H_Fev[[#This Row],[début]])),0)+IF(COUNTIF(JF,H_Fev[[#This Row],[Date]]+1),MAX(0,H_Fev[[#This Row],[Fin corrigée si nuit]]-(1+deb_dimJF)),0))*24</f>
        <v>0</v>
      </c>
      <c r="T49" s="51">
        <f>(IF(COUNTIF(JF,H_Fev[[#This Row],[Date]]),MAX(0,MIN(fin_dimJF,H_Fev[[#This Row],[Fin corrigée si nuit]])-MAX(deb_dimJF,H_Fev[[#This Row],[début]])),0)+IF(COUNTIF(JF,H_Fev[[#This Row],[Date]]+1),MAX(0,H_Fev[[#This Row],[Fin corrigée si nuit]]-(1+deb_dimJF)),0))*24-
(IF(COUNTIF(JF,H_Fev[[#This Row],[Date]]),MAX(0,MIN(fin_dimJF,H_Fev[[#This Row],[PNP Fin corrigée]])-MAX(deb_dimJF,H_Fev[[#This Row],[PNP Début corrigé]])),0)+IF(COUNTIF(JF,H_Fev[[#This Row],[Date]]+1),MAX(0,H_Fev[[#This Row],[PNP Fin corrigée]]-(1+deb_dimJF)),0))*24</f>
        <v>0</v>
      </c>
    </row>
    <row r="50" spans="1:20" ht="16.2" thickBot="1" x14ac:dyDescent="0.35">
      <c r="A50" s="52"/>
      <c r="B50" s="15"/>
      <c r="C50" s="15"/>
      <c r="D50" s="15"/>
      <c r="E50" s="144" t="s">
        <v>29</v>
      </c>
      <c r="F50" s="145"/>
      <c r="G50" s="145"/>
      <c r="H50" s="146"/>
      <c r="I50" s="53">
        <f>SUM(H_Fev[Majoration])</f>
        <v>0</v>
      </c>
      <c r="J50" s="54">
        <f>SUM(H_Fev[Heures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6"/>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sort="0" autoFilter="0"/>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285" priority="1">
      <formula>$K13="non"</formula>
    </cfRule>
  </conditionalFormatting>
  <dataValidations count="3">
    <dataValidation type="date" operator="greaterThan" allowBlank="1" showInputMessage="1" showErrorMessage="1" error="Tapez le mois sous le format suivant_x000a_09/17" promptTitle="Mois du relevé" sqref="J5:K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L12:O49"/>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5121" r:id="rId4" name="CommandButton1">
          <controlPr defaultSize="0" print="0" autoLine="0" r:id="rId5">
            <anchor moveWithCells="1">
              <from>
                <xdr:col>9</xdr:col>
                <xdr:colOff>297180</xdr:colOff>
                <xdr:row>0</xdr:row>
                <xdr:rowOff>83820</xdr:rowOff>
              </from>
              <to>
                <xdr:col>21</xdr:col>
                <xdr:colOff>312420</xdr:colOff>
                <xdr:row>3</xdr:row>
                <xdr:rowOff>213360</xdr:rowOff>
              </to>
            </anchor>
          </controlPr>
        </control>
      </mc:Choice>
      <mc:Fallback>
        <control shapeId="5121"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Z60"/>
  <sheetViews>
    <sheetView zoomScaleNormal="100" zoomScalePageLayoutView="55" workbookViewId="0">
      <selection activeCell="A20" sqref="A20"/>
    </sheetView>
  </sheetViews>
  <sheetFormatPr baseColWidth="10" defaultRowHeight="14.4" x14ac:dyDescent="0.3"/>
  <cols>
    <col min="1" max="1" width="20.2187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6.2187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47</v>
      </c>
      <c r="B5" s="81">
        <f>'Janvier 18'!B5</f>
        <v>0</v>
      </c>
      <c r="C5" s="17" t="s">
        <v>36</v>
      </c>
      <c r="D5" s="164">
        <f>'Janvier 18'!D5:F5</f>
        <v>0</v>
      </c>
      <c r="E5" s="165"/>
      <c r="F5" s="165"/>
      <c r="G5" s="137" t="s">
        <v>22</v>
      </c>
      <c r="H5" s="137"/>
      <c r="I5" s="59" t="str">
        <f ca="1">MID(CELL("filename",A1),FIND("]",CELL("filename",A1))+1,99)</f>
        <v>Mars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0.1*(H_Mars[[#This Row],[Heures de nuit]]+IF(H_Mars[[#This Row],[majoration dim &amp; JF]]="non",0,H_Mars[[#This Row],[heures jour dimanche]]+H_Mars[[#This Row],[heures jour fériés]]))</f>
        <v>0</v>
      </c>
      <c r="J13" s="29">
        <f>(MOD(H_Mars[[#This Row],[Fin]]-H_Mars[[#This Row],[début]],1)-MOD(H_Mars[[#This Row],[PNP Fin]]-H_Mars[[#This Row],[PNP Début]],1))*24</f>
        <v>0</v>
      </c>
      <c r="K13" s="29" t="str">
        <f>IFERROR(VLOOKUP(H_Mars[[#This Row],[Service]],Codes[],4,0),"")</f>
        <v/>
      </c>
      <c r="L13" s="30">
        <f>IF(H_Mars[[#This Row],[PNP Début]]=0,0,IF(H_Mars[[#This Row],[PNP Début]]&lt;H_Mars[[#This Row],[début]],1,0)+H_Mars[[#This Row],[PNP Début]])</f>
        <v>0</v>
      </c>
      <c r="M13" s="30">
        <f>IF(H_Mars[[#This Row],[PNP Fin]]=0,0,IF(H_Mars[[#This Row],[PNP Fin]]&lt;H_Mars[[#This Row],[début]],1,0)+H_Mars[[#This Row],[PNP Fin]])</f>
        <v>0</v>
      </c>
      <c r="N13" s="30">
        <f>IF(H_Mars[[#This Row],[Fin]]&lt;H_Mars[[#This Row],[début]],1,0)+H_Mars[[#This Row],[Fin]]</f>
        <v>0</v>
      </c>
      <c r="O13" s="31">
        <f>IF(H_Mars[[#This Row],[Fin]]&lt;H_Mars[[#This Row],[début]],MAX(0,MIN(H_Mars[[#This Row],[Fin corrigée si nuit]],fin_nuit)-MAX(H_Mars[[#This Row],[début]],deb_nuit))*24,(MAX(deb_nuit,H_Mars[[#This Row],[Fin]])-MAX(deb_nuit,H_Mars[[#This Row],[début]])+MAX(MIN(fin_nuit-1,H_Mars[[#This Row],[Fin]])-MIN(fin_nuit-1,H_Mars[[#This Row],[début]]),0))*24)</f>
        <v>0</v>
      </c>
      <c r="P13" s="31">
        <f>(MAX(0,MIN(H_Mars[[#This Row],[Fin corrigée si nuit]],fin_nuit)-MAX(H_Mars[[#This Row],[début]],deb_nuit))-IF(H_Mars[[#This Row],[PNP Début]]=0,0,MIN(H_Mars[[#This Row],[PNP Fin corrigée]],fin_nuit)-MAX(H_Mars[[#This Row],[PNP Début corrigé]],deb_nuit)))*24</f>
        <v>0</v>
      </c>
      <c r="Q13" s="31">
        <f>(IF(WEEKDAY(H_Mars[[#This Row],[Date]],2)=7,MAX(0,MIN(fin_dimJF,H_Mars[[#This Row],[Fin corrigée si nuit]])-MAX(deb_dimJF,H_Mars[[#This Row],[début]])),0)+IF(WEEKDAY(H_Mars[[#This Row],[Date]],2)=6,MAX(0,H_Mars[[#This Row],[Fin corrigée si nuit]]-(1+deb_dimJF)),0))*24</f>
        <v>0</v>
      </c>
      <c r="R13" s="3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13" s="32">
        <f>(IF(COUNTIF(JF,H_Mars[[#This Row],[Date]]),MAX(0,MIN(fin_dimJF,H_Mars[[#This Row],[Fin corrigée si nuit]])-MAX(deb_dimJF,H_Mars[[#This Row],[début]])),0)+IF(COUNTIF(JF,H_Mars[[#This Row],[Date]]+1),MAX(0,H_Mars[[#This Row],[Fin corrigée si nuit]]-(1+deb_dimJF)),0))*24</f>
        <v>0</v>
      </c>
      <c r="T13" s="32">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c r="V13" s="124"/>
      <c r="W13" s="124"/>
      <c r="X13" s="124"/>
      <c r="Y13" s="124"/>
      <c r="Z13" s="124"/>
    </row>
    <row r="14" spans="1:26" x14ac:dyDescent="0.3">
      <c r="A14" s="4"/>
      <c r="B14" s="1"/>
      <c r="C14" s="113"/>
      <c r="D14" s="113"/>
      <c r="E14" s="3"/>
      <c r="F14" s="3"/>
      <c r="G14" s="3"/>
      <c r="H14" s="3"/>
      <c r="I14" s="28">
        <f>0.1*(H_Mars[[#This Row],[Heures de nuit]]+IF(H_Mars[[#This Row],[majoration dim &amp; JF]]="non",0,H_Mars[[#This Row],[heures jour dimanche]]+H_Mars[[#This Row],[heures jour fériés]]))</f>
        <v>0</v>
      </c>
      <c r="J14" s="29">
        <f>(MOD(H_Mars[[#This Row],[Fin]]-H_Mars[[#This Row],[début]],1)-MOD(H_Mars[[#This Row],[PNP Fin]]-H_Mars[[#This Row],[PNP Début]],1))*24</f>
        <v>0</v>
      </c>
      <c r="K14" s="29" t="str">
        <f>IFERROR(VLOOKUP(H_Mars[[#This Row],[Service]],Codes[],4,0),"")</f>
        <v/>
      </c>
      <c r="L14" s="30">
        <f>IF(H_Mars[[#This Row],[PNP Début]]=0,0,IF(H_Mars[[#This Row],[PNP Début]]&lt;H_Mars[[#This Row],[début]],1,0)+H_Mars[[#This Row],[PNP Début]])</f>
        <v>0</v>
      </c>
      <c r="M14" s="30">
        <f>IF(H_Mars[[#This Row],[PNP Fin]]=0,0,IF(H_Mars[[#This Row],[PNP Fin]]&lt;H_Mars[[#This Row],[début]],1,0)+H_Mars[[#This Row],[PNP Fin]])</f>
        <v>0</v>
      </c>
      <c r="N14" s="30">
        <f>IF(H_Mars[[#This Row],[Fin]]&lt;H_Mars[[#This Row],[début]],1,0)+H_Mars[[#This Row],[Fin]]</f>
        <v>0</v>
      </c>
      <c r="O14" s="31">
        <f>IF(H_Mars[[#This Row],[Fin]]&lt;H_Mars[[#This Row],[début]],MAX(0,MIN(H_Mars[[#This Row],[Fin corrigée si nuit]],fin_nuit)-MAX(H_Mars[[#This Row],[début]],deb_nuit))*24,(MAX(deb_nuit,H_Mars[[#This Row],[Fin]])-MAX(deb_nuit,H_Mars[[#This Row],[début]])+MAX(MIN(fin_nuit-1,H_Mars[[#This Row],[Fin]])-MIN(fin_nuit-1,H_Mars[[#This Row],[début]]),0))*24)</f>
        <v>0</v>
      </c>
      <c r="P14" s="31">
        <f>(MAX(0,MIN(H_Mars[[#This Row],[Fin corrigée si nuit]],fin_nuit)-MAX(H_Mars[[#This Row],[début]],deb_nuit))-IF(H_Mars[[#This Row],[PNP Début]]=0,0,MIN(H_Mars[[#This Row],[PNP Fin corrigée]],fin_nuit)-MAX(H_Mars[[#This Row],[PNP Début corrigé]],deb_nuit)))*24</f>
        <v>0</v>
      </c>
      <c r="Q14" s="31">
        <f>(IF(WEEKDAY(H_Mars[[#This Row],[Date]],2)=7,MAX(0,MIN(fin_dimJF,H_Mars[[#This Row],[Fin corrigée si nuit]])-MAX(deb_dimJF,H_Mars[[#This Row],[début]])),0)+IF(WEEKDAY(H_Mars[[#This Row],[Date]],2)=6,MAX(0,H_Mars[[#This Row],[Fin corrigée si nuit]]-(1+deb_dimJF)),0))*24</f>
        <v>0</v>
      </c>
      <c r="R14" s="3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14" s="32">
        <f>(IF(COUNTIF(JF,H_Mars[[#This Row],[Date]]),MAX(0,MIN(fin_dimJF,H_Mars[[#This Row],[Fin corrigée si nuit]])-MAX(deb_dimJF,H_Mars[[#This Row],[début]])),0)+IF(COUNTIF(JF,H_Mars[[#This Row],[Date]]+1),MAX(0,H_Mars[[#This Row],[Fin corrigée si nuit]]-(1+deb_dimJF)),0))*24</f>
        <v>0</v>
      </c>
      <c r="T14" s="32">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c r="V14" s="124"/>
      <c r="W14" s="124"/>
      <c r="X14" s="124"/>
      <c r="Y14" s="124"/>
      <c r="Z14" s="124"/>
    </row>
    <row r="15" spans="1:26" x14ac:dyDescent="0.3">
      <c r="A15" s="4"/>
      <c r="B15" s="1"/>
      <c r="C15" s="2"/>
      <c r="D15" s="2"/>
      <c r="E15" s="3"/>
      <c r="F15" s="3"/>
      <c r="G15" s="3"/>
      <c r="H15" s="3"/>
      <c r="I15" s="28">
        <f>0.1*(H_Mars[[#This Row],[Heures de nuit]]+IF(H_Mars[[#This Row],[majoration dim &amp; JF]]="non",0,H_Mars[[#This Row],[heures jour dimanche]]+H_Mars[[#This Row],[heures jour fériés]]))</f>
        <v>0</v>
      </c>
      <c r="J15" s="29">
        <f>(MOD(H_Mars[[#This Row],[Fin]]-H_Mars[[#This Row],[début]],1)-MOD(H_Mars[[#This Row],[PNP Fin]]-H_Mars[[#This Row],[PNP Début]],1))*24</f>
        <v>0</v>
      </c>
      <c r="K15" s="29" t="str">
        <f>IFERROR(VLOOKUP(H_Mars[[#This Row],[Service]],Codes[],4,0),"")</f>
        <v/>
      </c>
      <c r="L15" s="30">
        <f>IF(H_Mars[[#This Row],[PNP Début]]=0,0,IF(H_Mars[[#This Row],[PNP Début]]&lt;H_Mars[[#This Row],[début]],1,0)+H_Mars[[#This Row],[PNP Début]])</f>
        <v>0</v>
      </c>
      <c r="M15" s="30">
        <f>IF(H_Mars[[#This Row],[PNP Fin]]=0,0,IF(H_Mars[[#This Row],[PNP Fin]]&lt;H_Mars[[#This Row],[début]],1,0)+H_Mars[[#This Row],[PNP Fin]])</f>
        <v>0</v>
      </c>
      <c r="N15" s="30">
        <f>IF(H_Mars[[#This Row],[Fin]]&lt;H_Mars[[#This Row],[début]],1,0)+H_Mars[[#This Row],[Fin]]</f>
        <v>0</v>
      </c>
      <c r="O15" s="31">
        <f>IF(H_Mars[[#This Row],[Fin]]&lt;H_Mars[[#This Row],[début]],MAX(0,MIN(H_Mars[[#This Row],[Fin corrigée si nuit]],fin_nuit)-MAX(H_Mars[[#This Row],[début]],deb_nuit))*24,(MAX(deb_nuit,H_Mars[[#This Row],[Fin]])-MAX(deb_nuit,H_Mars[[#This Row],[début]])+MAX(MIN(fin_nuit-1,H_Mars[[#This Row],[Fin]])-MIN(fin_nuit-1,H_Mars[[#This Row],[début]]),0))*24)</f>
        <v>0</v>
      </c>
      <c r="P15" s="31">
        <f>(MAX(0,MIN(H_Mars[[#This Row],[Fin corrigée si nuit]],fin_nuit)-MAX(H_Mars[[#This Row],[début]],deb_nuit))-IF(H_Mars[[#This Row],[PNP Début]]=0,0,MIN(H_Mars[[#This Row],[PNP Fin corrigée]],fin_nuit)-MAX(H_Mars[[#This Row],[PNP Début corrigé]],deb_nuit)))*24</f>
        <v>0</v>
      </c>
      <c r="Q15" s="31">
        <f>(IF(WEEKDAY(H_Mars[[#This Row],[Date]],2)=7,MAX(0,MIN(fin_dimJF,H_Mars[[#This Row],[Fin corrigée si nuit]])-MAX(deb_dimJF,H_Mars[[#This Row],[début]])),0)+IF(WEEKDAY(H_Mars[[#This Row],[Date]],2)=6,MAX(0,H_Mars[[#This Row],[Fin corrigée si nuit]]-(1+deb_dimJF)),0))*24</f>
        <v>0</v>
      </c>
      <c r="R15" s="3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15" s="32">
        <f>(IF(COUNTIF(JF,H_Mars[[#This Row],[Date]]),MAX(0,MIN(fin_dimJF,H_Mars[[#This Row],[Fin corrigée si nuit]])-MAX(deb_dimJF,H_Mars[[#This Row],[début]])),0)+IF(COUNTIF(JF,H_Mars[[#This Row],[Date]]+1),MAX(0,H_Mars[[#This Row],[Fin corrigée si nuit]]-(1+deb_dimJF)),0))*24</f>
        <v>0</v>
      </c>
      <c r="T15" s="32">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0.1*(H_Mars[[#This Row],[Heures de nuit]]+IF(H_Mars[[#This Row],[majoration dim &amp; JF]]="non",0,H_Mars[[#This Row],[heures jour dimanche]]+H_Mars[[#This Row],[heures jour fériés]]))</f>
        <v>0</v>
      </c>
      <c r="J16" s="33">
        <f>(MOD(H_Mars[[#This Row],[Fin]]-H_Mars[[#This Row],[début]],1)-MOD(H_Mars[[#This Row],[PNP Fin]]-H_Mars[[#This Row],[PNP Début]],1))*24</f>
        <v>0</v>
      </c>
      <c r="K16" s="33" t="str">
        <f>IFERROR(VLOOKUP(H_Mars[[#This Row],[Service]],Codes[],4,0),"")</f>
        <v/>
      </c>
      <c r="L16" s="30">
        <f>IF(H_Mars[[#This Row],[PNP Début]]=0,0,IF(H_Mars[[#This Row],[PNP Début]]&lt;H_Mars[[#This Row],[début]],1,0)+H_Mars[[#This Row],[PNP Début]])</f>
        <v>0</v>
      </c>
      <c r="M16" s="30">
        <f>IF(H_Mars[[#This Row],[PNP Fin]]=0,0,IF(H_Mars[[#This Row],[PNP Fin]]&lt;H_Mars[[#This Row],[début]],1,0)+H_Mars[[#This Row],[PNP Fin]])</f>
        <v>0</v>
      </c>
      <c r="N16" s="34">
        <f>IF(H_Mars[[#This Row],[Fin]]&lt;H_Mars[[#This Row],[début]],1,0)+H_Mars[[#This Row],[Fin]]</f>
        <v>0</v>
      </c>
      <c r="O16" s="31">
        <f>IF(H_Mars[[#This Row],[Fin]]&lt;H_Mars[[#This Row],[début]],MAX(0,MIN(H_Mars[[#This Row],[Fin corrigée si nuit]],fin_nuit)-MAX(H_Mars[[#This Row],[début]],deb_nuit))*24,(MAX(deb_nuit,H_Mars[[#This Row],[Fin]])-MAX(deb_nuit,H_Mars[[#This Row],[début]])+MAX(MIN(fin_nuit-1,H_Mars[[#This Row],[Fin]])-MIN(fin_nuit-1,H_Mars[[#This Row],[début]]),0))*24)</f>
        <v>0</v>
      </c>
      <c r="P16" s="35">
        <f>(MAX(0,MIN(H_Mars[[#This Row],[Fin corrigée si nuit]],fin_nuit)-MAX(H_Mars[[#This Row],[début]],deb_nuit))-IF(H_Mars[[#This Row],[PNP Début]]=0,0,MIN(H_Mars[[#This Row],[PNP Fin corrigée]],fin_nuit)-MAX(H_Mars[[#This Row],[PNP Début corrigé]],deb_nuit)))*24</f>
        <v>0</v>
      </c>
      <c r="Q16" s="35">
        <f>(IF(WEEKDAY(H_Mars[[#This Row],[Date]],2)=7,MAX(0,MIN(fin_dimJF,H_Mars[[#This Row],[Fin corrigée si nuit]])-MAX(deb_dimJF,H_Mars[[#This Row],[début]])),0)+IF(WEEKDAY(H_Mars[[#This Row],[Date]],2)=6,MAX(0,H_Mars[[#This Row],[Fin corrigée si nuit]]-(1+deb_dimJF)),0))*24</f>
        <v>0</v>
      </c>
      <c r="R16" s="3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16" s="36">
        <f>(IF(COUNTIF(JF,H_Mars[[#This Row],[Date]]),MAX(0,MIN(fin_dimJF,H_Mars[[#This Row],[Fin corrigée si nuit]])-MAX(deb_dimJF,H_Mars[[#This Row],[début]])),0)+IF(COUNTIF(JF,H_Mars[[#This Row],[Date]]+1),MAX(0,H_Mars[[#This Row],[Fin corrigée si nuit]]-(1+deb_dimJF)),0))*24</f>
        <v>0</v>
      </c>
      <c r="T16" s="36">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c r="V16" s="127" t="s">
        <v>135</v>
      </c>
      <c r="W16" s="128">
        <f>'Février 18'!Z16</f>
        <v>20.100000000000001</v>
      </c>
      <c r="X16" s="128">
        <f>I50</f>
        <v>0</v>
      </c>
      <c r="Y16" s="128"/>
      <c r="Z16" s="128">
        <f>W16+X16-Y16</f>
        <v>20.100000000000001</v>
      </c>
    </row>
    <row r="17" spans="1:20" x14ac:dyDescent="0.3">
      <c r="A17" s="4"/>
      <c r="B17" s="1"/>
      <c r="C17" s="2"/>
      <c r="D17" s="2"/>
      <c r="E17" s="3"/>
      <c r="F17" s="3"/>
      <c r="G17" s="9"/>
      <c r="H17" s="9"/>
      <c r="I17" s="37">
        <f>0.1*(H_Mars[[#This Row],[Heures de nuit]]+IF(H_Mars[[#This Row],[majoration dim &amp; JF]]="non",0,H_Mars[[#This Row],[heures jour dimanche]]+H_Mars[[#This Row],[heures jour fériés]]))</f>
        <v>0</v>
      </c>
      <c r="J17" s="38">
        <f>(MOD(H_Mars[[#This Row],[Fin]]-H_Mars[[#This Row],[début]],1)-MOD(H_Mars[[#This Row],[PNP Fin]]-H_Mars[[#This Row],[PNP Début]],1))*24</f>
        <v>0</v>
      </c>
      <c r="K17" s="122" t="str">
        <f>IFERROR(VLOOKUP(H_Mars[[#This Row],[Service]],Codes[],4,0),"")</f>
        <v/>
      </c>
      <c r="L17" s="39">
        <f>IF(H_Mars[[#This Row],[PNP Début]]=0,0,IF(H_Mars[[#This Row],[PNP Début]]&lt;H_Mars[[#This Row],[début]],1,0)+H_Mars[[#This Row],[PNP Début]])</f>
        <v>0</v>
      </c>
      <c r="M17" s="40">
        <f>IF(H_Mars[[#This Row],[PNP Fin]]=0,0,IF(H_Mars[[#This Row],[PNP Fin]]&lt;H_Mars[[#This Row],[début]],1,0)+H_Mars[[#This Row],[PNP Fin]])</f>
        <v>0</v>
      </c>
      <c r="N17" s="40">
        <f>IF(H_Mars[[#This Row],[Fin]]&lt;H_Mars[[#This Row],[début]],1,0)+H_Mars[[#This Row],[Fin]]</f>
        <v>0</v>
      </c>
      <c r="O17" s="31">
        <f>IF(H_Mars[[#This Row],[Fin]]&lt;H_Mars[[#This Row],[début]],MAX(0,MIN(H_Mars[[#This Row],[Fin corrigée si nuit]],fin_nuit)-MAX(H_Mars[[#This Row],[début]],deb_nuit))*24,(MAX(deb_nuit,H_Mars[[#This Row],[Fin]])-MAX(deb_nuit,H_Mars[[#This Row],[début]])+MAX(MIN(fin_nuit-1,H_Mars[[#This Row],[Fin]])-MIN(fin_nuit-1,H_Mars[[#This Row],[début]]),0))*24)</f>
        <v>0</v>
      </c>
      <c r="P17" s="41">
        <f>(MAX(0,MIN(H_Mars[[#This Row],[Fin corrigée si nuit]],fin_nuit)-MAX(H_Mars[[#This Row],[début]],deb_nuit))-IF(H_Mars[[#This Row],[PNP Début]]=0,0,MIN(H_Mars[[#This Row],[PNP Fin corrigée]],fin_nuit)-MAX(H_Mars[[#This Row],[PNP Début corrigé]],deb_nuit)))*24</f>
        <v>0</v>
      </c>
      <c r="Q17" s="41">
        <f>(IF(WEEKDAY(H_Mars[[#This Row],[Date]],2)=7,MAX(0,MIN(fin_dimJF,H_Mars[[#This Row],[Fin corrigée si nuit]])-MAX(deb_dimJF,H_Mars[[#This Row],[début]])),0)+IF(WEEKDAY(H_Mars[[#This Row],[Date]],2)=6,MAX(0,H_Mars[[#This Row],[Fin corrigée si nuit]]-(1+deb_dimJF)),0))*24</f>
        <v>0</v>
      </c>
      <c r="R17" s="4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17" s="41">
        <f>(IF(COUNTIF(JF,H_Mars[[#This Row],[Date]]),MAX(0,MIN(fin_dimJF,H_Mars[[#This Row],[Fin corrigée si nuit]])-MAX(deb_dimJF,H_Mars[[#This Row],[début]])),0)+IF(COUNTIF(JF,H_Mars[[#This Row],[Date]]+1),MAX(0,H_Mars[[#This Row],[Fin corrigée si nuit]]-(1+deb_dimJF)),0))*24</f>
        <v>0</v>
      </c>
      <c r="T17" s="4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18" spans="1:20" x14ac:dyDescent="0.3">
      <c r="A18" s="4"/>
      <c r="B18" s="1"/>
      <c r="C18" s="2"/>
      <c r="D18" s="2"/>
      <c r="E18" s="9"/>
      <c r="F18" s="9"/>
      <c r="G18" s="9"/>
      <c r="H18" s="9"/>
      <c r="I18" s="37">
        <f>0.1*(H_Mars[[#This Row],[Heures de nuit]]+IF(H_Mars[[#This Row],[majoration dim &amp; JF]]="non",0,H_Mars[[#This Row],[heures jour dimanche]]+H_Mars[[#This Row],[heures jour fériés]]))</f>
        <v>0</v>
      </c>
      <c r="J18" s="38">
        <f>(MOD(H_Mars[[#This Row],[Fin]]-H_Mars[[#This Row],[début]],1)-MOD(H_Mars[[#This Row],[PNP Fin]]-H_Mars[[#This Row],[PNP Début]],1))*24</f>
        <v>0</v>
      </c>
      <c r="K18" s="122" t="str">
        <f>IFERROR(VLOOKUP(H_Mars[[#This Row],[Service]],Codes[],4,0),"")</f>
        <v/>
      </c>
      <c r="L18" s="39">
        <f>IF(H_Mars[[#This Row],[PNP Début]]=0,0,IF(H_Mars[[#This Row],[PNP Début]]&lt;H_Mars[[#This Row],[début]],1,0)+H_Mars[[#This Row],[PNP Début]])</f>
        <v>0</v>
      </c>
      <c r="M18" s="40">
        <f>IF(H_Mars[[#This Row],[PNP Fin]]=0,0,IF(H_Mars[[#This Row],[PNP Fin]]&lt;H_Mars[[#This Row],[début]],1,0)+H_Mars[[#This Row],[PNP Fin]])</f>
        <v>0</v>
      </c>
      <c r="N18" s="40">
        <f>IF(H_Mars[[#This Row],[Fin]]&lt;H_Mars[[#This Row],[début]],1,0)+H_Mars[[#This Row],[Fin]]</f>
        <v>0</v>
      </c>
      <c r="O18" s="31">
        <f>IF(H_Mars[[#This Row],[Fin]]&lt;H_Mars[[#This Row],[début]],MAX(0,MIN(H_Mars[[#This Row],[Fin corrigée si nuit]],fin_nuit)-MAX(H_Mars[[#This Row],[début]],deb_nuit))*24,(MAX(deb_nuit,H_Mars[[#This Row],[Fin]])-MAX(deb_nuit,H_Mars[[#This Row],[début]])+MAX(MIN(fin_nuit-1,H_Mars[[#This Row],[Fin]])-MIN(fin_nuit-1,H_Mars[[#This Row],[début]]),0))*24)</f>
        <v>0</v>
      </c>
      <c r="P18" s="41">
        <f>(MAX(0,MIN(H_Mars[[#This Row],[Fin corrigée si nuit]],fin_nuit)-MAX(H_Mars[[#This Row],[début]],deb_nuit))-IF(H_Mars[[#This Row],[PNP Début]]=0,0,MIN(H_Mars[[#This Row],[PNP Fin corrigée]],fin_nuit)-MAX(H_Mars[[#This Row],[PNP Début corrigé]],deb_nuit)))*24</f>
        <v>0</v>
      </c>
      <c r="Q18" s="41">
        <f>(IF(WEEKDAY(H_Mars[[#This Row],[Date]],2)=7,MAX(0,MIN(fin_dimJF,H_Mars[[#This Row],[Fin corrigée si nuit]])-MAX(deb_dimJF,H_Mars[[#This Row],[début]])),0)+IF(WEEKDAY(H_Mars[[#This Row],[Date]],2)=6,MAX(0,H_Mars[[#This Row],[Fin corrigée si nuit]]-(1+deb_dimJF)),0))*24</f>
        <v>0</v>
      </c>
      <c r="R18" s="4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18" s="41">
        <f>(IF(COUNTIF(JF,H_Mars[[#This Row],[Date]]),MAX(0,MIN(fin_dimJF,H_Mars[[#This Row],[Fin corrigée si nuit]])-MAX(deb_dimJF,H_Mars[[#This Row],[début]])),0)+IF(COUNTIF(JF,H_Mars[[#This Row],[Date]]+1),MAX(0,H_Mars[[#This Row],[Fin corrigée si nuit]]-(1+deb_dimJF)),0))*24</f>
        <v>0</v>
      </c>
      <c r="T18" s="4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19" spans="1:20" x14ac:dyDescent="0.3">
      <c r="A19" s="4"/>
      <c r="B19" s="1"/>
      <c r="C19" s="2"/>
      <c r="D19" s="2"/>
      <c r="E19" s="3"/>
      <c r="F19" s="3"/>
      <c r="G19" s="9"/>
      <c r="H19" s="9"/>
      <c r="I19" s="37">
        <f>0.1*(H_Mars[[#This Row],[Heures de nuit]]+IF(H_Mars[[#This Row],[majoration dim &amp; JF]]="non",0,H_Mars[[#This Row],[heures jour dimanche]]+H_Mars[[#This Row],[heures jour fériés]]))</f>
        <v>0</v>
      </c>
      <c r="J19" s="38">
        <f>(MOD(H_Mars[[#This Row],[Fin]]-H_Mars[[#This Row],[début]],1)-MOD(H_Mars[[#This Row],[PNP Fin]]-H_Mars[[#This Row],[PNP Début]],1))*24</f>
        <v>0</v>
      </c>
      <c r="K19" s="122" t="str">
        <f>IFERROR(VLOOKUP(H_Mars[[#This Row],[Service]],Codes[],4,0),"")</f>
        <v/>
      </c>
      <c r="L19" s="39">
        <f>IF(H_Mars[[#This Row],[PNP Début]]=0,0,IF(H_Mars[[#This Row],[PNP Début]]&lt;H_Mars[[#This Row],[début]],1,0)+H_Mars[[#This Row],[PNP Début]])</f>
        <v>0</v>
      </c>
      <c r="M19" s="40">
        <f>IF(H_Mars[[#This Row],[PNP Fin]]=0,0,IF(H_Mars[[#This Row],[PNP Fin]]&lt;H_Mars[[#This Row],[début]],1,0)+H_Mars[[#This Row],[PNP Fin]])</f>
        <v>0</v>
      </c>
      <c r="N19" s="40">
        <f>IF(H_Mars[[#This Row],[Fin]]&lt;H_Mars[[#This Row],[début]],1,0)+H_Mars[[#This Row],[Fin]]</f>
        <v>0</v>
      </c>
      <c r="O19" s="31">
        <f>IF(H_Mars[[#This Row],[Fin]]&lt;H_Mars[[#This Row],[début]],MAX(0,MIN(H_Mars[[#This Row],[Fin corrigée si nuit]],fin_nuit)-MAX(H_Mars[[#This Row],[début]],deb_nuit))*24,(MAX(deb_nuit,H_Mars[[#This Row],[Fin]])-MAX(deb_nuit,H_Mars[[#This Row],[début]])+MAX(MIN(fin_nuit-1,H_Mars[[#This Row],[Fin]])-MIN(fin_nuit-1,H_Mars[[#This Row],[début]]),0))*24)</f>
        <v>0</v>
      </c>
      <c r="P19" s="41">
        <f>(MAX(0,MIN(H_Mars[[#This Row],[Fin corrigée si nuit]],fin_nuit)-MAX(H_Mars[[#This Row],[début]],deb_nuit))-IF(H_Mars[[#This Row],[PNP Début]]=0,0,MIN(H_Mars[[#This Row],[PNP Fin corrigée]],fin_nuit)-MAX(H_Mars[[#This Row],[PNP Début corrigé]],deb_nuit)))*24</f>
        <v>0</v>
      </c>
      <c r="Q19" s="41">
        <f>(IF(WEEKDAY(H_Mars[[#This Row],[Date]],2)=7,MAX(0,MIN(fin_dimJF,H_Mars[[#This Row],[Fin corrigée si nuit]])-MAX(deb_dimJF,H_Mars[[#This Row],[début]])),0)+IF(WEEKDAY(H_Mars[[#This Row],[Date]],2)=6,MAX(0,H_Mars[[#This Row],[Fin corrigée si nuit]]-(1+deb_dimJF)),0))*24</f>
        <v>0</v>
      </c>
      <c r="R19" s="4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19" s="41">
        <f>(IF(COUNTIF(JF,H_Mars[[#This Row],[Date]]),MAX(0,MIN(fin_dimJF,H_Mars[[#This Row],[Fin corrigée si nuit]])-MAX(deb_dimJF,H_Mars[[#This Row],[début]])),0)+IF(COUNTIF(JF,H_Mars[[#This Row],[Date]]+1),MAX(0,H_Mars[[#This Row],[Fin corrigée si nuit]]-(1+deb_dimJF)),0))*24</f>
        <v>0</v>
      </c>
      <c r="T19" s="4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0" spans="1:20" x14ac:dyDescent="0.3">
      <c r="A20" s="4"/>
      <c r="B20" s="1"/>
      <c r="C20" s="2"/>
      <c r="D20" s="2"/>
      <c r="E20" s="3"/>
      <c r="F20" s="3"/>
      <c r="G20" s="3"/>
      <c r="H20" s="3"/>
      <c r="I20" s="47">
        <f>0.1*(H_Mars[[#This Row],[Heures de nuit]]+IF(H_Mars[[#This Row],[majoration dim &amp; JF]]="non",0,H_Mars[[#This Row],[heures jour dimanche]]+H_Mars[[#This Row],[heures jour fériés]]))</f>
        <v>0</v>
      </c>
      <c r="J20" s="48">
        <f>(MOD(H_Mars[[#This Row],[Fin]]-H_Mars[[#This Row],[début]],1)-MOD(H_Mars[[#This Row],[PNP Fin]]-H_Mars[[#This Row],[PNP Début]],1))*24</f>
        <v>0</v>
      </c>
      <c r="K20" s="119" t="str">
        <f>IFERROR(VLOOKUP(H_Mars[[#This Row],[Service]],Codes[],4,0),"")</f>
        <v/>
      </c>
      <c r="L20" s="49">
        <f>IF(H_Mars[[#This Row],[PNP Début]]=0,0,IF(H_Mars[[#This Row],[PNP Début]]&lt;H_Mars[[#This Row],[début]],1,0)+H_Mars[[#This Row],[PNP Début]])</f>
        <v>0</v>
      </c>
      <c r="M20" s="50">
        <f>IF(H_Mars[[#This Row],[PNP Fin]]=0,0,IF(H_Mars[[#This Row],[PNP Fin]]&lt;H_Mars[[#This Row],[début]],1,0)+H_Mars[[#This Row],[PNP Fin]])</f>
        <v>0</v>
      </c>
      <c r="N20" s="50">
        <f>IF(H_Mars[[#This Row],[Fin]]&lt;H_Mars[[#This Row],[début]],1,0)+H_Mars[[#This Row],[Fin]]</f>
        <v>0</v>
      </c>
      <c r="O20" s="31">
        <f>IF(H_Mars[[#This Row],[Fin]]&lt;H_Mars[[#This Row],[début]],MAX(0,MIN(H_Mars[[#This Row],[Fin corrigée si nuit]],fin_nuit)-MAX(H_Mars[[#This Row],[début]],deb_nuit))*24,(MAX(deb_nuit,H_Mars[[#This Row],[Fin]])-MAX(deb_nuit,H_Mars[[#This Row],[début]])+MAX(MIN(fin_nuit-1,H_Mars[[#This Row],[Fin]])-MIN(fin_nuit-1,H_Mars[[#This Row],[début]]),0))*24)</f>
        <v>0</v>
      </c>
      <c r="P20" s="51">
        <f>(MAX(0,MIN(H_Mars[[#This Row],[Fin corrigée si nuit]],fin_nuit)-MAX(H_Mars[[#This Row],[début]],deb_nuit))-IF(H_Mars[[#This Row],[PNP Début]]=0,0,MIN(H_Mars[[#This Row],[PNP Fin corrigée]],fin_nuit)-MAX(H_Mars[[#This Row],[PNP Début corrigé]],deb_nuit)))*24</f>
        <v>0</v>
      </c>
      <c r="Q20" s="51">
        <f>(IF(WEEKDAY(H_Mars[[#This Row],[Date]],2)=7,MAX(0,MIN(fin_dimJF,H_Mars[[#This Row],[Fin corrigée si nuit]])-MAX(deb_dimJF,H_Mars[[#This Row],[début]])),0)+IF(WEEKDAY(H_Mars[[#This Row],[Date]],2)=6,MAX(0,H_Mars[[#This Row],[Fin corrigée si nuit]]-(1+deb_dimJF)),0))*24</f>
        <v>0</v>
      </c>
      <c r="R20"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0" s="51">
        <f>(IF(COUNTIF(JF,H_Mars[[#This Row],[Date]]),MAX(0,MIN(fin_dimJF,H_Mars[[#This Row],[Fin corrigée si nuit]])-MAX(deb_dimJF,H_Mars[[#This Row],[début]])),0)+IF(COUNTIF(JF,H_Mars[[#This Row],[Date]]+1),MAX(0,H_Mars[[#This Row],[Fin corrigée si nuit]]-(1+deb_dimJF)),0))*24</f>
        <v>0</v>
      </c>
      <c r="T20"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1" spans="1:20" x14ac:dyDescent="0.3">
      <c r="A21" s="4"/>
      <c r="B21" s="1"/>
      <c r="C21" s="2"/>
      <c r="D21" s="2"/>
      <c r="E21" s="3"/>
      <c r="F21" s="3"/>
      <c r="G21" s="10"/>
      <c r="H21" s="10"/>
      <c r="I21" s="42">
        <f>0.1*(H_Mars[[#This Row],[Heures de nuit]]+IF(H_Mars[[#This Row],[majoration dim &amp; JF]]="non",0,H_Mars[[#This Row],[heures jour dimanche]]+H_Mars[[#This Row],[heures jour fériés]]))</f>
        <v>0</v>
      </c>
      <c r="J21" s="43">
        <f>(MOD(H_Mars[[#This Row],[Fin]]-H_Mars[[#This Row],[début]],1)-MOD(H_Mars[[#This Row],[PNP Fin]]-H_Mars[[#This Row],[PNP Début]],1))*24</f>
        <v>0</v>
      </c>
      <c r="K21" s="123" t="str">
        <f>IFERROR(VLOOKUP(H_Mars[[#This Row],[Service]],Codes[],4,0),"")</f>
        <v/>
      </c>
      <c r="L21" s="44">
        <f>IF(H_Mars[[#This Row],[PNP Début]]=0,0,IF(H_Mars[[#This Row],[PNP Début]]&lt;H_Mars[[#This Row],[début]],1,0)+H_Mars[[#This Row],[PNP Début]])</f>
        <v>0</v>
      </c>
      <c r="M21" s="45">
        <f>IF(H_Mars[[#This Row],[PNP Fin]]=0,0,IF(H_Mars[[#This Row],[PNP Fin]]&lt;H_Mars[[#This Row],[début]],1,0)+H_Mars[[#This Row],[PNP Fin]])</f>
        <v>0</v>
      </c>
      <c r="N21" s="45">
        <f>IF(H_Mars[[#This Row],[Fin]]&lt;H_Mars[[#This Row],[début]],1,0)+H_Mars[[#This Row],[Fin]]</f>
        <v>0</v>
      </c>
      <c r="O21" s="31">
        <f>IF(H_Mars[[#This Row],[Fin]]&lt;H_Mars[[#This Row],[début]],MAX(0,MIN(H_Mars[[#This Row],[Fin corrigée si nuit]],fin_nuit)-MAX(H_Mars[[#This Row],[début]],deb_nuit))*24,(MAX(deb_nuit,H_Mars[[#This Row],[Fin]])-MAX(deb_nuit,H_Mars[[#This Row],[début]])+MAX(MIN(fin_nuit-1,H_Mars[[#This Row],[Fin]])-MIN(fin_nuit-1,H_Mars[[#This Row],[début]]),0))*24)</f>
        <v>0</v>
      </c>
      <c r="P21" s="46">
        <f>(MAX(0,MIN(H_Mars[[#This Row],[Fin corrigée si nuit]],fin_nuit)-MAX(H_Mars[[#This Row],[début]],deb_nuit))-IF(H_Mars[[#This Row],[PNP Début]]=0,0,MIN(H_Mars[[#This Row],[PNP Fin corrigée]],fin_nuit)-MAX(H_Mars[[#This Row],[PNP Début corrigé]],deb_nuit)))*24</f>
        <v>0</v>
      </c>
      <c r="Q21" s="46">
        <f>(IF(WEEKDAY(H_Mars[[#This Row],[Date]],2)=7,MAX(0,MIN(fin_dimJF,H_Mars[[#This Row],[Fin corrigée si nuit]])-MAX(deb_dimJF,H_Mars[[#This Row],[début]])),0)+IF(WEEKDAY(H_Mars[[#This Row],[Date]],2)=6,MAX(0,H_Mars[[#This Row],[Fin corrigée si nuit]]-(1+deb_dimJF)),0))*24</f>
        <v>0</v>
      </c>
      <c r="R21" s="46">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1" s="46">
        <f>(IF(COUNTIF(JF,H_Mars[[#This Row],[Date]]),MAX(0,MIN(fin_dimJF,H_Mars[[#This Row],[Fin corrigée si nuit]])-MAX(deb_dimJF,H_Mars[[#This Row],[début]])),0)+IF(COUNTIF(JF,H_Mars[[#This Row],[Date]]+1),MAX(0,H_Mars[[#This Row],[Fin corrigée si nuit]]-(1+deb_dimJF)),0))*24</f>
        <v>0</v>
      </c>
      <c r="T21" s="46">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2" spans="1:20" ht="14.4" customHeight="1" x14ac:dyDescent="0.3">
      <c r="A22" s="4"/>
      <c r="B22" s="1"/>
      <c r="C22" s="2"/>
      <c r="D22" s="2"/>
      <c r="E22" s="3"/>
      <c r="F22" s="3"/>
      <c r="G22" s="10"/>
      <c r="H22" s="10"/>
      <c r="I22" s="37">
        <f>0.1*(H_Mars[[#This Row],[Heures de nuit]]+IF(H_Mars[[#This Row],[majoration dim &amp; JF]]="non",0,H_Mars[[#This Row],[heures jour dimanche]]+H_Mars[[#This Row],[heures jour fériés]]))</f>
        <v>0</v>
      </c>
      <c r="J22" s="38">
        <f>(MOD(H_Mars[[#This Row],[Fin]]-H_Mars[[#This Row],[début]],1)-MOD(H_Mars[[#This Row],[PNP Fin]]-H_Mars[[#This Row],[PNP Début]],1))*24</f>
        <v>0</v>
      </c>
      <c r="K22" s="122" t="str">
        <f>IFERROR(VLOOKUP(H_Mars[[#This Row],[Service]],Codes[],4,0),"")</f>
        <v/>
      </c>
      <c r="L22" s="39">
        <f>IF(H_Mars[[#This Row],[PNP Début]]=0,0,IF(H_Mars[[#This Row],[PNP Début]]&lt;H_Mars[[#This Row],[début]],1,0)+H_Mars[[#This Row],[PNP Début]])</f>
        <v>0</v>
      </c>
      <c r="M22" s="40">
        <f>IF(H_Mars[[#This Row],[PNP Fin]]=0,0,IF(H_Mars[[#This Row],[PNP Fin]]&lt;H_Mars[[#This Row],[début]],1,0)+H_Mars[[#This Row],[PNP Fin]])</f>
        <v>0</v>
      </c>
      <c r="N22" s="40">
        <f>IF(H_Mars[[#This Row],[Fin]]&lt;H_Mars[[#This Row],[début]],1,0)+H_Mars[[#This Row],[Fin]]</f>
        <v>0</v>
      </c>
      <c r="O22" s="31">
        <f>IF(H_Mars[[#This Row],[Fin]]&lt;H_Mars[[#This Row],[début]],MAX(0,MIN(H_Mars[[#This Row],[Fin corrigée si nuit]],fin_nuit)-MAX(H_Mars[[#This Row],[début]],deb_nuit))*24,(MAX(deb_nuit,H_Mars[[#This Row],[Fin]])-MAX(deb_nuit,H_Mars[[#This Row],[début]])+MAX(MIN(fin_nuit-1,H_Mars[[#This Row],[Fin]])-MIN(fin_nuit-1,H_Mars[[#This Row],[début]]),0))*24)</f>
        <v>0</v>
      </c>
      <c r="P22" s="41">
        <f>(MAX(0,MIN(H_Mars[[#This Row],[Fin corrigée si nuit]],fin_nuit)-MAX(H_Mars[[#This Row],[début]],deb_nuit))-IF(H_Mars[[#This Row],[PNP Début]]=0,0,MIN(H_Mars[[#This Row],[PNP Fin corrigée]],fin_nuit)-MAX(H_Mars[[#This Row],[PNP Début corrigé]],deb_nuit)))*24</f>
        <v>0</v>
      </c>
      <c r="Q22" s="41">
        <f>(IF(WEEKDAY(H_Mars[[#This Row],[Date]],2)=7,MAX(0,MIN(fin_dimJF,H_Mars[[#This Row],[Fin corrigée si nuit]])-MAX(deb_dimJF,H_Mars[[#This Row],[début]])),0)+IF(WEEKDAY(H_Mars[[#This Row],[Date]],2)=6,MAX(0,H_Mars[[#This Row],[Fin corrigée si nuit]]-(1+deb_dimJF)),0))*24</f>
        <v>0</v>
      </c>
      <c r="R22" s="4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2" s="41">
        <f>(IF(COUNTIF(JF,H_Mars[[#This Row],[Date]]),MAX(0,MIN(fin_dimJF,H_Mars[[#This Row],[Fin corrigée si nuit]])-MAX(deb_dimJF,H_Mars[[#This Row],[début]])),0)+IF(COUNTIF(JF,H_Mars[[#This Row],[Date]]+1),MAX(0,H_Mars[[#This Row],[Fin corrigée si nuit]]-(1+deb_dimJF)),0))*24</f>
        <v>0</v>
      </c>
      <c r="T22" s="4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3" spans="1:20" ht="14.4" customHeight="1" x14ac:dyDescent="0.3">
      <c r="A23" s="4"/>
      <c r="B23" s="1"/>
      <c r="C23" s="2"/>
      <c r="D23" s="2"/>
      <c r="E23" s="3"/>
      <c r="F23" s="3"/>
      <c r="G23" s="10"/>
      <c r="H23" s="10"/>
      <c r="I23" s="47">
        <f>0.1*(H_Mars[[#This Row],[Heures de nuit]]+IF(H_Mars[[#This Row],[majoration dim &amp; JF]]="non",0,H_Mars[[#This Row],[heures jour dimanche]]+H_Mars[[#This Row],[heures jour fériés]]))</f>
        <v>0</v>
      </c>
      <c r="J23" s="48">
        <f>(MOD(H_Mars[[#This Row],[Fin]]-H_Mars[[#This Row],[début]],1)-MOD(H_Mars[[#This Row],[PNP Fin]]-H_Mars[[#This Row],[PNP Début]],1))*24</f>
        <v>0</v>
      </c>
      <c r="K23" s="119" t="str">
        <f>IFERROR(VLOOKUP(H_Mars[[#This Row],[Service]],Codes[],4,0),"")</f>
        <v/>
      </c>
      <c r="L23" s="49">
        <f>IF(H_Mars[[#This Row],[PNP Début]]=0,0,IF(H_Mars[[#This Row],[PNP Début]]&lt;H_Mars[[#This Row],[début]],1,0)+H_Mars[[#This Row],[PNP Début]])</f>
        <v>0</v>
      </c>
      <c r="M23" s="50">
        <f>IF(H_Mars[[#This Row],[PNP Fin]]=0,0,IF(H_Mars[[#This Row],[PNP Fin]]&lt;H_Mars[[#This Row],[début]],1,0)+H_Mars[[#This Row],[PNP Fin]])</f>
        <v>0</v>
      </c>
      <c r="N23" s="50">
        <f>IF(H_Mars[[#This Row],[Fin]]&lt;H_Mars[[#This Row],[début]],1,0)+H_Mars[[#This Row],[Fin]]</f>
        <v>0</v>
      </c>
      <c r="O23" s="31">
        <f>IF(H_Mars[[#This Row],[Fin]]&lt;H_Mars[[#This Row],[début]],MAX(0,MIN(H_Mars[[#This Row],[Fin corrigée si nuit]],fin_nuit)-MAX(H_Mars[[#This Row],[début]],deb_nuit))*24,(MAX(deb_nuit,H_Mars[[#This Row],[Fin]])-MAX(deb_nuit,H_Mars[[#This Row],[début]])+MAX(MIN(fin_nuit-1,H_Mars[[#This Row],[Fin]])-MIN(fin_nuit-1,H_Mars[[#This Row],[début]]),0))*24)</f>
        <v>0</v>
      </c>
      <c r="P23" s="51">
        <f>(MAX(0,MIN(H_Mars[[#This Row],[Fin corrigée si nuit]],fin_nuit)-MAX(H_Mars[[#This Row],[début]],deb_nuit))-IF(H_Mars[[#This Row],[PNP Début]]=0,0,MIN(H_Mars[[#This Row],[PNP Fin corrigée]],fin_nuit)-MAX(H_Mars[[#This Row],[PNP Début corrigé]],deb_nuit)))*24</f>
        <v>0</v>
      </c>
      <c r="Q23" s="51">
        <f>(IF(WEEKDAY(H_Mars[[#This Row],[Date]],2)=7,MAX(0,MIN(fin_dimJF,H_Mars[[#This Row],[Fin corrigée si nuit]])-MAX(deb_dimJF,H_Mars[[#This Row],[début]])),0)+IF(WEEKDAY(H_Mars[[#This Row],[Date]],2)=6,MAX(0,H_Mars[[#This Row],[Fin corrigée si nuit]]-(1+deb_dimJF)),0))*24</f>
        <v>0</v>
      </c>
      <c r="R23"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3" s="51">
        <f>(IF(COUNTIF(JF,H_Mars[[#This Row],[Date]]),MAX(0,MIN(fin_dimJF,H_Mars[[#This Row],[Fin corrigée si nuit]])-MAX(deb_dimJF,H_Mars[[#This Row],[début]])),0)+IF(COUNTIF(JF,H_Mars[[#This Row],[Date]]+1),MAX(0,H_Mars[[#This Row],[Fin corrigée si nuit]]-(1+deb_dimJF)),0))*24</f>
        <v>0</v>
      </c>
      <c r="T23"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4" spans="1:20" ht="14.4" customHeight="1" x14ac:dyDescent="0.3">
      <c r="A24" s="4"/>
      <c r="B24" s="1"/>
      <c r="C24" s="2"/>
      <c r="D24" s="2"/>
      <c r="E24" s="3"/>
      <c r="F24" s="3"/>
      <c r="G24" s="10"/>
      <c r="H24" s="10"/>
      <c r="I24" s="47">
        <f>0.1*(H_Mars[[#This Row],[Heures de nuit]]+IF(H_Mars[[#This Row],[majoration dim &amp; JF]]="non",0,H_Mars[[#This Row],[heures jour dimanche]]+H_Mars[[#This Row],[heures jour fériés]]))</f>
        <v>0</v>
      </c>
      <c r="J24" s="48">
        <f>(MOD(H_Mars[[#This Row],[Fin]]-H_Mars[[#This Row],[début]],1)-MOD(H_Mars[[#This Row],[PNP Fin]]-H_Mars[[#This Row],[PNP Début]],1))*24</f>
        <v>0</v>
      </c>
      <c r="K24" s="119" t="str">
        <f>IFERROR(VLOOKUP(H_Mars[[#This Row],[Service]],Codes[],4,0),"")</f>
        <v/>
      </c>
      <c r="L24" s="49">
        <f>IF(H_Mars[[#This Row],[PNP Début]]=0,0,IF(H_Mars[[#This Row],[PNP Début]]&lt;H_Mars[[#This Row],[début]],1,0)+H_Mars[[#This Row],[PNP Début]])</f>
        <v>0</v>
      </c>
      <c r="M24" s="50">
        <f>IF(H_Mars[[#This Row],[PNP Fin]]=0,0,IF(H_Mars[[#This Row],[PNP Fin]]&lt;H_Mars[[#This Row],[début]],1,0)+H_Mars[[#This Row],[PNP Fin]])</f>
        <v>0</v>
      </c>
      <c r="N24" s="50">
        <f>IF(H_Mars[[#This Row],[Fin]]&lt;H_Mars[[#This Row],[début]],1,0)+H_Mars[[#This Row],[Fin]]</f>
        <v>0</v>
      </c>
      <c r="O24" s="31">
        <f>IF(H_Mars[[#This Row],[Fin]]&lt;H_Mars[[#This Row],[début]],MAX(0,MIN(H_Mars[[#This Row],[Fin corrigée si nuit]],fin_nuit)-MAX(H_Mars[[#This Row],[début]],deb_nuit))*24,(MAX(deb_nuit,H_Mars[[#This Row],[Fin]])-MAX(deb_nuit,H_Mars[[#This Row],[début]])+MAX(MIN(fin_nuit-1,H_Mars[[#This Row],[Fin]])-MIN(fin_nuit-1,H_Mars[[#This Row],[début]]),0))*24)</f>
        <v>0</v>
      </c>
      <c r="P24" s="51">
        <f>(MAX(0,MIN(H_Mars[[#This Row],[Fin corrigée si nuit]],fin_nuit)-MAX(H_Mars[[#This Row],[début]],deb_nuit))-IF(H_Mars[[#This Row],[PNP Début]]=0,0,MIN(H_Mars[[#This Row],[PNP Fin corrigée]],fin_nuit)-MAX(H_Mars[[#This Row],[PNP Début corrigé]],deb_nuit)))*24</f>
        <v>0</v>
      </c>
      <c r="Q24" s="51">
        <f>(IF(WEEKDAY(H_Mars[[#This Row],[Date]],2)=7,MAX(0,MIN(fin_dimJF,H_Mars[[#This Row],[Fin corrigée si nuit]])-MAX(deb_dimJF,H_Mars[[#This Row],[début]])),0)+IF(WEEKDAY(H_Mars[[#This Row],[Date]],2)=6,MAX(0,H_Mars[[#This Row],[Fin corrigée si nuit]]-(1+deb_dimJF)),0))*24</f>
        <v>0</v>
      </c>
      <c r="R24"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4" s="51">
        <f>(IF(COUNTIF(JF,H_Mars[[#This Row],[Date]]),MAX(0,MIN(fin_dimJF,H_Mars[[#This Row],[Fin corrigée si nuit]])-MAX(deb_dimJF,H_Mars[[#This Row],[début]])),0)+IF(COUNTIF(JF,H_Mars[[#This Row],[Date]]+1),MAX(0,H_Mars[[#This Row],[Fin corrigée si nuit]]-(1+deb_dimJF)),0))*24</f>
        <v>0</v>
      </c>
      <c r="T24"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5" spans="1:20" ht="14.4" customHeight="1" x14ac:dyDescent="0.3">
      <c r="A25" s="4"/>
      <c r="B25" s="1"/>
      <c r="C25" s="2"/>
      <c r="D25" s="2"/>
      <c r="E25" s="3"/>
      <c r="F25" s="3"/>
      <c r="G25" s="9"/>
      <c r="H25" s="9"/>
      <c r="I25" s="47">
        <f>0.1*(H_Mars[[#This Row],[Heures de nuit]]+IF(H_Mars[[#This Row],[majoration dim &amp; JF]]="non",0,H_Mars[[#This Row],[heures jour dimanche]]+H_Mars[[#This Row],[heures jour fériés]]))</f>
        <v>0</v>
      </c>
      <c r="J25" s="48">
        <f>(MOD(H_Mars[[#This Row],[Fin]]-H_Mars[[#This Row],[début]],1)-MOD(H_Mars[[#This Row],[PNP Fin]]-H_Mars[[#This Row],[PNP Début]],1))*24</f>
        <v>0</v>
      </c>
      <c r="K25" s="119" t="str">
        <f>IFERROR(VLOOKUP(H_Mars[[#This Row],[Service]],Codes[],4,0),"")</f>
        <v/>
      </c>
      <c r="L25" s="49">
        <f>IF(H_Mars[[#This Row],[PNP Début]]=0,0,IF(H_Mars[[#This Row],[PNP Début]]&lt;H_Mars[[#This Row],[début]],1,0)+H_Mars[[#This Row],[PNP Début]])</f>
        <v>0</v>
      </c>
      <c r="M25" s="50">
        <f>IF(H_Mars[[#This Row],[PNP Fin]]=0,0,IF(H_Mars[[#This Row],[PNP Fin]]&lt;H_Mars[[#This Row],[début]],1,0)+H_Mars[[#This Row],[PNP Fin]])</f>
        <v>0</v>
      </c>
      <c r="N25" s="50">
        <f>IF(H_Mars[[#This Row],[Fin]]&lt;H_Mars[[#This Row],[début]],1,0)+H_Mars[[#This Row],[Fin]]</f>
        <v>0</v>
      </c>
      <c r="O25" s="31">
        <f>IF(H_Mars[[#This Row],[Fin]]&lt;H_Mars[[#This Row],[début]],MAX(0,MIN(H_Mars[[#This Row],[Fin corrigée si nuit]],fin_nuit)-MAX(H_Mars[[#This Row],[début]],deb_nuit))*24,(MAX(deb_nuit,H_Mars[[#This Row],[Fin]])-MAX(deb_nuit,H_Mars[[#This Row],[début]])+MAX(MIN(fin_nuit-1,H_Mars[[#This Row],[Fin]])-MIN(fin_nuit-1,H_Mars[[#This Row],[début]]),0))*24)</f>
        <v>0</v>
      </c>
      <c r="P25" s="51">
        <f>(MAX(0,MIN(H_Mars[[#This Row],[Fin corrigée si nuit]],fin_nuit)-MAX(H_Mars[[#This Row],[début]],deb_nuit))-IF(H_Mars[[#This Row],[PNP Début]]=0,0,MIN(H_Mars[[#This Row],[PNP Fin corrigée]],fin_nuit)-MAX(H_Mars[[#This Row],[PNP Début corrigé]],deb_nuit)))*24</f>
        <v>0</v>
      </c>
      <c r="Q25" s="51">
        <f>(IF(WEEKDAY(H_Mars[[#This Row],[Date]],2)=7,MAX(0,MIN(fin_dimJF,H_Mars[[#This Row],[Fin corrigée si nuit]])-MAX(deb_dimJF,H_Mars[[#This Row],[début]])),0)+IF(WEEKDAY(H_Mars[[#This Row],[Date]],2)=6,MAX(0,H_Mars[[#This Row],[Fin corrigée si nuit]]-(1+deb_dimJF)),0))*24</f>
        <v>0</v>
      </c>
      <c r="R25"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5" s="51">
        <f>(IF(COUNTIF(JF,H_Mars[[#This Row],[Date]]),MAX(0,MIN(fin_dimJF,H_Mars[[#This Row],[Fin corrigée si nuit]])-MAX(deb_dimJF,H_Mars[[#This Row],[début]])),0)+IF(COUNTIF(JF,H_Mars[[#This Row],[Date]]+1),MAX(0,H_Mars[[#This Row],[Fin corrigée si nuit]]-(1+deb_dimJF)),0))*24</f>
        <v>0</v>
      </c>
      <c r="T25"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6" spans="1:20" ht="14.4" customHeight="1" x14ac:dyDescent="0.3">
      <c r="A26" s="4"/>
      <c r="B26" s="1"/>
      <c r="C26" s="2"/>
      <c r="D26" s="2"/>
      <c r="E26" s="3"/>
      <c r="F26" s="3"/>
      <c r="G26" s="3"/>
      <c r="H26" s="3"/>
      <c r="I26" s="47">
        <f>0.1*(H_Mars[[#This Row],[Heures de nuit]]+IF(H_Mars[[#This Row],[majoration dim &amp; JF]]="non",0,H_Mars[[#This Row],[heures jour dimanche]]+H_Mars[[#This Row],[heures jour fériés]]))</f>
        <v>0</v>
      </c>
      <c r="J26" s="48">
        <f>(MOD(H_Mars[[#This Row],[Fin]]-H_Mars[[#This Row],[début]],1)-MOD(H_Mars[[#This Row],[PNP Fin]]-H_Mars[[#This Row],[PNP Début]],1))*24</f>
        <v>0</v>
      </c>
      <c r="K26" s="119" t="str">
        <f>IFERROR(VLOOKUP(H_Mars[[#This Row],[Service]],Codes[],4,0),"")</f>
        <v/>
      </c>
      <c r="L26" s="49">
        <f>IF(H_Mars[[#This Row],[PNP Début]]=0,0,IF(H_Mars[[#This Row],[PNP Début]]&lt;H_Mars[[#This Row],[début]],1,0)+H_Mars[[#This Row],[PNP Début]])</f>
        <v>0</v>
      </c>
      <c r="M26" s="50">
        <f>IF(H_Mars[[#This Row],[PNP Fin]]=0,0,IF(H_Mars[[#This Row],[PNP Fin]]&lt;H_Mars[[#This Row],[début]],1,0)+H_Mars[[#This Row],[PNP Fin]])</f>
        <v>0</v>
      </c>
      <c r="N26" s="50">
        <f>IF(H_Mars[[#This Row],[Fin]]&lt;H_Mars[[#This Row],[début]],1,0)+H_Mars[[#This Row],[Fin]]</f>
        <v>0</v>
      </c>
      <c r="O26" s="31">
        <f>IF(H_Mars[[#This Row],[Fin]]&lt;H_Mars[[#This Row],[début]],MAX(0,MIN(H_Mars[[#This Row],[Fin corrigée si nuit]],fin_nuit)-MAX(H_Mars[[#This Row],[début]],deb_nuit))*24,(MAX(deb_nuit,H_Mars[[#This Row],[Fin]])-MAX(deb_nuit,H_Mars[[#This Row],[début]])+MAX(MIN(fin_nuit-1,H_Mars[[#This Row],[Fin]])-MIN(fin_nuit-1,H_Mars[[#This Row],[début]]),0))*24)</f>
        <v>0</v>
      </c>
      <c r="P26" s="51">
        <f>(MAX(0,MIN(H_Mars[[#This Row],[Fin corrigée si nuit]],fin_nuit)-MAX(H_Mars[[#This Row],[début]],deb_nuit))-IF(H_Mars[[#This Row],[PNP Début]]=0,0,MIN(H_Mars[[#This Row],[PNP Fin corrigée]],fin_nuit)-MAX(H_Mars[[#This Row],[PNP Début corrigé]],deb_nuit)))*24</f>
        <v>0</v>
      </c>
      <c r="Q26" s="51">
        <f>(IF(WEEKDAY(H_Mars[[#This Row],[Date]],2)=7,MAX(0,MIN(fin_dimJF,H_Mars[[#This Row],[Fin corrigée si nuit]])-MAX(deb_dimJF,H_Mars[[#This Row],[début]])),0)+IF(WEEKDAY(H_Mars[[#This Row],[Date]],2)=6,MAX(0,H_Mars[[#This Row],[Fin corrigée si nuit]]-(1+deb_dimJF)),0))*24</f>
        <v>0</v>
      </c>
      <c r="R26"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6" s="51">
        <f>(IF(COUNTIF(JF,H_Mars[[#This Row],[Date]]),MAX(0,MIN(fin_dimJF,H_Mars[[#This Row],[Fin corrigée si nuit]])-MAX(deb_dimJF,H_Mars[[#This Row],[début]])),0)+IF(COUNTIF(JF,H_Mars[[#This Row],[Date]]+1),MAX(0,H_Mars[[#This Row],[Fin corrigée si nuit]]-(1+deb_dimJF)),0))*24</f>
        <v>0</v>
      </c>
      <c r="T26"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7" spans="1:20" ht="14.4" customHeight="1" x14ac:dyDescent="0.3">
      <c r="A27" s="4"/>
      <c r="B27" s="1"/>
      <c r="C27" s="2"/>
      <c r="D27" s="2"/>
      <c r="E27" s="3"/>
      <c r="F27" s="3"/>
      <c r="G27" s="5"/>
      <c r="H27" s="5"/>
      <c r="I27" s="47">
        <f>0.1*(H_Mars[[#This Row],[Heures de nuit]]+IF(H_Mars[[#This Row],[majoration dim &amp; JF]]="non",0,H_Mars[[#This Row],[heures jour dimanche]]+H_Mars[[#This Row],[heures jour fériés]]))</f>
        <v>0</v>
      </c>
      <c r="J27" s="48">
        <f>(MOD(H_Mars[[#This Row],[Fin]]-H_Mars[[#This Row],[début]],1)-MOD(H_Mars[[#This Row],[PNP Fin]]-H_Mars[[#This Row],[PNP Début]],1))*24</f>
        <v>0</v>
      </c>
      <c r="K27" s="119" t="str">
        <f>IFERROR(VLOOKUP(H_Mars[[#This Row],[Service]],Codes[],4,0),"")</f>
        <v/>
      </c>
      <c r="L27" s="49">
        <f>IF(H_Mars[[#This Row],[PNP Début]]=0,0,IF(H_Mars[[#This Row],[PNP Début]]&lt;H_Mars[[#This Row],[début]],1,0)+H_Mars[[#This Row],[PNP Début]])</f>
        <v>0</v>
      </c>
      <c r="M27" s="50">
        <f>IF(H_Mars[[#This Row],[PNP Fin]]=0,0,IF(H_Mars[[#This Row],[PNP Fin]]&lt;H_Mars[[#This Row],[début]],1,0)+H_Mars[[#This Row],[PNP Fin]])</f>
        <v>0</v>
      </c>
      <c r="N27" s="50">
        <f>IF(H_Mars[[#This Row],[Fin]]&lt;H_Mars[[#This Row],[début]],1,0)+H_Mars[[#This Row],[Fin]]</f>
        <v>0</v>
      </c>
      <c r="O27" s="31">
        <f>IF(H_Mars[[#This Row],[Fin]]&lt;H_Mars[[#This Row],[début]],MAX(0,MIN(H_Mars[[#This Row],[Fin corrigée si nuit]],fin_nuit)-MAX(H_Mars[[#This Row],[début]],deb_nuit))*24,(MAX(deb_nuit,H_Mars[[#This Row],[Fin]])-MAX(deb_nuit,H_Mars[[#This Row],[début]])+MAX(MIN(fin_nuit-1,H_Mars[[#This Row],[Fin]])-MIN(fin_nuit-1,H_Mars[[#This Row],[début]]),0))*24)</f>
        <v>0</v>
      </c>
      <c r="P27" s="51">
        <f>(MAX(0,MIN(H_Mars[[#This Row],[Fin corrigée si nuit]],fin_nuit)-MAX(H_Mars[[#This Row],[début]],deb_nuit))-IF(H_Mars[[#This Row],[PNP Début]]=0,0,MIN(H_Mars[[#This Row],[PNP Fin corrigée]],fin_nuit)-MAX(H_Mars[[#This Row],[PNP Début corrigé]],deb_nuit)))*24</f>
        <v>0</v>
      </c>
      <c r="Q27" s="51">
        <f>(IF(WEEKDAY(H_Mars[[#This Row],[Date]],2)=7,MAX(0,MIN(fin_dimJF,H_Mars[[#This Row],[Fin corrigée si nuit]])-MAX(deb_dimJF,H_Mars[[#This Row],[début]])),0)+IF(WEEKDAY(H_Mars[[#This Row],[Date]],2)=6,MAX(0,H_Mars[[#This Row],[Fin corrigée si nuit]]-(1+deb_dimJF)),0))*24</f>
        <v>0</v>
      </c>
      <c r="R27"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7" s="51">
        <f>(IF(COUNTIF(JF,H_Mars[[#This Row],[Date]]),MAX(0,MIN(fin_dimJF,H_Mars[[#This Row],[Fin corrigée si nuit]])-MAX(deb_dimJF,H_Mars[[#This Row],[début]])),0)+IF(COUNTIF(JF,H_Mars[[#This Row],[Date]]+1),MAX(0,H_Mars[[#This Row],[Fin corrigée si nuit]]-(1+deb_dimJF)),0))*24</f>
        <v>0</v>
      </c>
      <c r="T27"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8" spans="1:20" ht="14.4" customHeight="1" x14ac:dyDescent="0.3">
      <c r="A28" s="4"/>
      <c r="B28" s="1"/>
      <c r="C28" s="2"/>
      <c r="D28" s="2"/>
      <c r="E28" s="3"/>
      <c r="F28" s="3"/>
      <c r="G28" s="10"/>
      <c r="H28" s="10"/>
      <c r="I28" s="47">
        <f>0.1*(H_Mars[[#This Row],[Heures de nuit]]+IF(H_Mars[[#This Row],[majoration dim &amp; JF]]="non",0,H_Mars[[#This Row],[heures jour dimanche]]+H_Mars[[#This Row],[heures jour fériés]]))</f>
        <v>0</v>
      </c>
      <c r="J28" s="48">
        <f>(MOD(H_Mars[[#This Row],[Fin]]-H_Mars[[#This Row],[début]],1)-MOD(H_Mars[[#This Row],[PNP Fin]]-H_Mars[[#This Row],[PNP Début]],1))*24</f>
        <v>0</v>
      </c>
      <c r="K28" s="119" t="str">
        <f>IFERROR(VLOOKUP(H_Mars[[#This Row],[Service]],Codes[],4,0),"")</f>
        <v/>
      </c>
      <c r="L28" s="49">
        <f>IF(H_Mars[[#This Row],[PNP Début]]=0,0,IF(H_Mars[[#This Row],[PNP Début]]&lt;H_Mars[[#This Row],[début]],1,0)+H_Mars[[#This Row],[PNP Début]])</f>
        <v>0</v>
      </c>
      <c r="M28" s="50">
        <f>IF(H_Mars[[#This Row],[PNP Fin]]=0,0,IF(H_Mars[[#This Row],[PNP Fin]]&lt;H_Mars[[#This Row],[début]],1,0)+H_Mars[[#This Row],[PNP Fin]])</f>
        <v>0</v>
      </c>
      <c r="N28" s="50">
        <f>IF(H_Mars[[#This Row],[Fin]]&lt;H_Mars[[#This Row],[début]],1,0)+H_Mars[[#This Row],[Fin]]</f>
        <v>0</v>
      </c>
      <c r="O28" s="31">
        <f>IF(H_Mars[[#This Row],[Fin]]&lt;H_Mars[[#This Row],[début]],MAX(0,MIN(H_Mars[[#This Row],[Fin corrigée si nuit]],fin_nuit)-MAX(H_Mars[[#This Row],[début]],deb_nuit))*24,(MAX(deb_nuit,H_Mars[[#This Row],[Fin]])-MAX(deb_nuit,H_Mars[[#This Row],[début]])+MAX(MIN(fin_nuit-1,H_Mars[[#This Row],[Fin]])-MIN(fin_nuit-1,H_Mars[[#This Row],[début]]),0))*24)</f>
        <v>0</v>
      </c>
      <c r="P28" s="51">
        <f>(MAX(0,MIN(H_Mars[[#This Row],[Fin corrigée si nuit]],fin_nuit)-MAX(H_Mars[[#This Row],[début]],deb_nuit))-IF(H_Mars[[#This Row],[PNP Début]]=0,0,MIN(H_Mars[[#This Row],[PNP Fin corrigée]],fin_nuit)-MAX(H_Mars[[#This Row],[PNP Début corrigé]],deb_nuit)))*24</f>
        <v>0</v>
      </c>
      <c r="Q28" s="51">
        <f>(IF(WEEKDAY(H_Mars[[#This Row],[Date]],2)=7,MAX(0,MIN(fin_dimJF,H_Mars[[#This Row],[Fin corrigée si nuit]])-MAX(deb_dimJF,H_Mars[[#This Row],[début]])),0)+IF(WEEKDAY(H_Mars[[#This Row],[Date]],2)=6,MAX(0,H_Mars[[#This Row],[Fin corrigée si nuit]]-(1+deb_dimJF)),0))*24</f>
        <v>0</v>
      </c>
      <c r="R28"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8" s="51">
        <f>(IF(COUNTIF(JF,H_Mars[[#This Row],[Date]]),MAX(0,MIN(fin_dimJF,H_Mars[[#This Row],[Fin corrigée si nuit]])-MAX(deb_dimJF,H_Mars[[#This Row],[début]])),0)+IF(COUNTIF(JF,H_Mars[[#This Row],[Date]]+1),MAX(0,H_Mars[[#This Row],[Fin corrigée si nuit]]-(1+deb_dimJF)),0))*24</f>
        <v>0</v>
      </c>
      <c r="T28"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29" spans="1:20" ht="14.4" customHeight="1" x14ac:dyDescent="0.3">
      <c r="A29" s="4"/>
      <c r="B29" s="1"/>
      <c r="C29" s="2"/>
      <c r="D29" s="2"/>
      <c r="E29" s="3"/>
      <c r="F29" s="3"/>
      <c r="G29" s="9"/>
      <c r="H29" s="9"/>
      <c r="I29" s="47">
        <f>0.1*(H_Mars[[#This Row],[Heures de nuit]]+IF(H_Mars[[#This Row],[majoration dim &amp; JF]]="non",0,H_Mars[[#This Row],[heures jour dimanche]]+H_Mars[[#This Row],[heures jour fériés]]))</f>
        <v>0</v>
      </c>
      <c r="J29" s="48">
        <f>(MOD(H_Mars[[#This Row],[Fin]]-H_Mars[[#This Row],[début]],1)-MOD(H_Mars[[#This Row],[PNP Fin]]-H_Mars[[#This Row],[PNP Début]],1))*24</f>
        <v>0</v>
      </c>
      <c r="K29" s="119" t="str">
        <f>IFERROR(VLOOKUP(H_Mars[[#This Row],[Service]],Codes[],4,0),"")</f>
        <v/>
      </c>
      <c r="L29" s="49">
        <f>IF(H_Mars[[#This Row],[PNP Début]]=0,0,IF(H_Mars[[#This Row],[PNP Début]]&lt;H_Mars[[#This Row],[début]],1,0)+H_Mars[[#This Row],[PNP Début]])</f>
        <v>0</v>
      </c>
      <c r="M29" s="50">
        <f>IF(H_Mars[[#This Row],[PNP Fin]]=0,0,IF(H_Mars[[#This Row],[PNP Fin]]&lt;H_Mars[[#This Row],[début]],1,0)+H_Mars[[#This Row],[PNP Fin]])</f>
        <v>0</v>
      </c>
      <c r="N29" s="50">
        <f>IF(H_Mars[[#This Row],[Fin]]&lt;H_Mars[[#This Row],[début]],1,0)+H_Mars[[#This Row],[Fin]]</f>
        <v>0</v>
      </c>
      <c r="O29" s="31">
        <f>IF(H_Mars[[#This Row],[Fin]]&lt;H_Mars[[#This Row],[début]],MAX(0,MIN(H_Mars[[#This Row],[Fin corrigée si nuit]],fin_nuit)-MAX(H_Mars[[#This Row],[début]],deb_nuit))*24,(MAX(deb_nuit,H_Mars[[#This Row],[Fin]])-MAX(deb_nuit,H_Mars[[#This Row],[début]])+MAX(MIN(fin_nuit-1,H_Mars[[#This Row],[Fin]])-MIN(fin_nuit-1,H_Mars[[#This Row],[début]]),0))*24)</f>
        <v>0</v>
      </c>
      <c r="P29" s="51">
        <f>(MAX(0,MIN(H_Mars[[#This Row],[Fin corrigée si nuit]],fin_nuit)-MAX(H_Mars[[#This Row],[début]],deb_nuit))-IF(H_Mars[[#This Row],[PNP Début]]=0,0,MIN(H_Mars[[#This Row],[PNP Fin corrigée]],fin_nuit)-MAX(H_Mars[[#This Row],[PNP Début corrigé]],deb_nuit)))*24</f>
        <v>0</v>
      </c>
      <c r="Q29" s="51">
        <f>(IF(WEEKDAY(H_Mars[[#This Row],[Date]],2)=7,MAX(0,MIN(fin_dimJF,H_Mars[[#This Row],[Fin corrigée si nuit]])-MAX(deb_dimJF,H_Mars[[#This Row],[début]])),0)+IF(WEEKDAY(H_Mars[[#This Row],[Date]],2)=6,MAX(0,H_Mars[[#This Row],[Fin corrigée si nuit]]-(1+deb_dimJF)),0))*24</f>
        <v>0</v>
      </c>
      <c r="R29"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29" s="51">
        <f>(IF(COUNTIF(JF,H_Mars[[#This Row],[Date]]),MAX(0,MIN(fin_dimJF,H_Mars[[#This Row],[Fin corrigée si nuit]])-MAX(deb_dimJF,H_Mars[[#This Row],[début]])),0)+IF(COUNTIF(JF,H_Mars[[#This Row],[Date]]+1),MAX(0,H_Mars[[#This Row],[Fin corrigée si nuit]]-(1+deb_dimJF)),0))*24</f>
        <v>0</v>
      </c>
      <c r="T29"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0" spans="1:20" ht="14.4" customHeight="1" x14ac:dyDescent="0.3">
      <c r="A30" s="4"/>
      <c r="B30" s="1"/>
      <c r="C30" s="2"/>
      <c r="D30" s="2"/>
      <c r="E30" s="3"/>
      <c r="F30" s="3"/>
      <c r="G30" s="3"/>
      <c r="H30" s="3"/>
      <c r="I30" s="47">
        <f>0.1*(H_Mars[[#This Row],[Heures de nuit]]+IF(H_Mars[[#This Row],[majoration dim &amp; JF]]="non",0,H_Mars[[#This Row],[heures jour dimanche]]+H_Mars[[#This Row],[heures jour fériés]]))</f>
        <v>0</v>
      </c>
      <c r="J30" s="48">
        <f>(MOD(H_Mars[[#This Row],[Fin]]-H_Mars[[#This Row],[début]],1)-MOD(H_Mars[[#This Row],[PNP Fin]]-H_Mars[[#This Row],[PNP Début]],1))*24</f>
        <v>0</v>
      </c>
      <c r="K30" s="119" t="str">
        <f>IFERROR(VLOOKUP(H_Mars[[#This Row],[Service]],Codes[],4,0),"")</f>
        <v/>
      </c>
      <c r="L30" s="49">
        <f>IF(H_Mars[[#This Row],[PNP Début]]=0,0,IF(H_Mars[[#This Row],[PNP Début]]&lt;H_Mars[[#This Row],[début]],1,0)+H_Mars[[#This Row],[PNP Début]])</f>
        <v>0</v>
      </c>
      <c r="M30" s="50">
        <f>IF(H_Mars[[#This Row],[PNP Fin]]=0,0,IF(H_Mars[[#This Row],[PNP Fin]]&lt;H_Mars[[#This Row],[début]],1,0)+H_Mars[[#This Row],[PNP Fin]])</f>
        <v>0</v>
      </c>
      <c r="N30" s="50">
        <f>IF(H_Mars[[#This Row],[Fin]]&lt;H_Mars[[#This Row],[début]],1,0)+H_Mars[[#This Row],[Fin]]</f>
        <v>0</v>
      </c>
      <c r="O30" s="31">
        <f>IF(H_Mars[[#This Row],[Fin]]&lt;H_Mars[[#This Row],[début]],MAX(0,MIN(H_Mars[[#This Row],[Fin corrigée si nuit]],fin_nuit)-MAX(H_Mars[[#This Row],[début]],deb_nuit))*24,(MAX(deb_nuit,H_Mars[[#This Row],[Fin]])-MAX(deb_nuit,H_Mars[[#This Row],[début]])+MAX(MIN(fin_nuit-1,H_Mars[[#This Row],[Fin]])-MIN(fin_nuit-1,H_Mars[[#This Row],[début]]),0))*24)</f>
        <v>0</v>
      </c>
      <c r="P30" s="51">
        <f>(MAX(0,MIN(H_Mars[[#This Row],[Fin corrigée si nuit]],fin_nuit)-MAX(H_Mars[[#This Row],[début]],deb_nuit))-IF(H_Mars[[#This Row],[PNP Début]]=0,0,MIN(H_Mars[[#This Row],[PNP Fin corrigée]],fin_nuit)-MAX(H_Mars[[#This Row],[PNP Début corrigé]],deb_nuit)))*24</f>
        <v>0</v>
      </c>
      <c r="Q30" s="51">
        <f>(IF(WEEKDAY(H_Mars[[#This Row],[Date]],2)=7,MAX(0,MIN(fin_dimJF,H_Mars[[#This Row],[Fin corrigée si nuit]])-MAX(deb_dimJF,H_Mars[[#This Row],[début]])),0)+IF(WEEKDAY(H_Mars[[#This Row],[Date]],2)=6,MAX(0,H_Mars[[#This Row],[Fin corrigée si nuit]]-(1+deb_dimJF)),0))*24</f>
        <v>0</v>
      </c>
      <c r="R30"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0" s="51">
        <f>(IF(COUNTIF(JF,H_Mars[[#This Row],[Date]]),MAX(0,MIN(fin_dimJF,H_Mars[[#This Row],[Fin corrigée si nuit]])-MAX(deb_dimJF,H_Mars[[#This Row],[début]])),0)+IF(COUNTIF(JF,H_Mars[[#This Row],[Date]]+1),MAX(0,H_Mars[[#This Row],[Fin corrigée si nuit]]-(1+deb_dimJF)),0))*24</f>
        <v>0</v>
      </c>
      <c r="T30"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1" spans="1:20" x14ac:dyDescent="0.3">
      <c r="A31" s="4"/>
      <c r="B31" s="1"/>
      <c r="C31" s="2"/>
      <c r="D31" s="2"/>
      <c r="E31" s="3"/>
      <c r="F31" s="3"/>
      <c r="G31" s="3"/>
      <c r="H31" s="3"/>
      <c r="I31" s="47">
        <f>0.1*(H_Mars[[#This Row],[Heures de nuit]]+IF(H_Mars[[#This Row],[majoration dim &amp; JF]]="non",0,H_Mars[[#This Row],[heures jour dimanche]]+H_Mars[[#This Row],[heures jour fériés]]))</f>
        <v>0</v>
      </c>
      <c r="J31" s="48">
        <f>(MOD(H_Mars[[#This Row],[Fin]]-H_Mars[[#This Row],[début]],1)-MOD(H_Mars[[#This Row],[PNP Fin]]-H_Mars[[#This Row],[PNP Début]],1))*24</f>
        <v>0</v>
      </c>
      <c r="K31" s="119" t="str">
        <f>IFERROR(VLOOKUP(H_Mars[[#This Row],[Service]],Codes[],4,0),"")</f>
        <v/>
      </c>
      <c r="L31" s="49">
        <f>IF(H_Mars[[#This Row],[PNP Début]]=0,0,IF(H_Mars[[#This Row],[PNP Début]]&lt;H_Mars[[#This Row],[début]],1,0)+H_Mars[[#This Row],[PNP Début]])</f>
        <v>0</v>
      </c>
      <c r="M31" s="50">
        <f>IF(H_Mars[[#This Row],[PNP Fin]]=0,0,IF(H_Mars[[#This Row],[PNP Fin]]&lt;H_Mars[[#This Row],[début]],1,0)+H_Mars[[#This Row],[PNP Fin]])</f>
        <v>0</v>
      </c>
      <c r="N31" s="50">
        <f>IF(H_Mars[[#This Row],[Fin]]&lt;H_Mars[[#This Row],[début]],1,0)+H_Mars[[#This Row],[Fin]]</f>
        <v>0</v>
      </c>
      <c r="O31" s="31">
        <f>IF(H_Mars[[#This Row],[Fin]]&lt;H_Mars[[#This Row],[début]],MAX(0,MIN(H_Mars[[#This Row],[Fin corrigée si nuit]],fin_nuit)-MAX(H_Mars[[#This Row],[début]],deb_nuit))*24,(MAX(deb_nuit,H_Mars[[#This Row],[Fin]])-MAX(deb_nuit,H_Mars[[#This Row],[début]])+MAX(MIN(fin_nuit-1,H_Mars[[#This Row],[Fin]])-MIN(fin_nuit-1,H_Mars[[#This Row],[début]]),0))*24)</f>
        <v>0</v>
      </c>
      <c r="P31" s="51">
        <f>(MAX(0,MIN(H_Mars[[#This Row],[Fin corrigée si nuit]],fin_nuit)-MAX(H_Mars[[#This Row],[début]],deb_nuit))-IF(H_Mars[[#This Row],[PNP Début]]=0,0,MIN(H_Mars[[#This Row],[PNP Fin corrigée]],fin_nuit)-MAX(H_Mars[[#This Row],[PNP Début corrigé]],deb_nuit)))*24</f>
        <v>0</v>
      </c>
      <c r="Q31" s="51">
        <f>(IF(WEEKDAY(H_Mars[[#This Row],[Date]],2)=7,MAX(0,MIN(fin_dimJF,H_Mars[[#This Row],[Fin corrigée si nuit]])-MAX(deb_dimJF,H_Mars[[#This Row],[début]])),0)+IF(WEEKDAY(H_Mars[[#This Row],[Date]],2)=6,MAX(0,H_Mars[[#This Row],[Fin corrigée si nuit]]-(1+deb_dimJF)),0))*24</f>
        <v>0</v>
      </c>
      <c r="R31"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1" s="51">
        <f>(IF(COUNTIF(JF,H_Mars[[#This Row],[Date]]),MAX(0,MIN(fin_dimJF,H_Mars[[#This Row],[Fin corrigée si nuit]])-MAX(deb_dimJF,H_Mars[[#This Row],[début]])),0)+IF(COUNTIF(JF,H_Mars[[#This Row],[Date]]+1),MAX(0,H_Mars[[#This Row],[Fin corrigée si nuit]]-(1+deb_dimJF)),0))*24</f>
        <v>0</v>
      </c>
      <c r="T31"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2" spans="1:20" ht="14.55" customHeight="1" x14ac:dyDescent="0.3">
      <c r="A32" s="4"/>
      <c r="B32" s="1"/>
      <c r="C32" s="2"/>
      <c r="D32" s="2"/>
      <c r="E32" s="3"/>
      <c r="F32" s="3"/>
      <c r="G32" s="3"/>
      <c r="H32" s="3"/>
      <c r="I32" s="47">
        <f>0.1*(H_Mars[[#This Row],[Heures de nuit]]+IF(H_Mars[[#This Row],[majoration dim &amp; JF]]="non",0,H_Mars[[#This Row],[heures jour dimanche]]+H_Mars[[#This Row],[heures jour fériés]]))</f>
        <v>0</v>
      </c>
      <c r="J32" s="48">
        <f>(MOD(H_Mars[[#This Row],[Fin]]-H_Mars[[#This Row],[début]],1)-MOD(H_Mars[[#This Row],[PNP Fin]]-H_Mars[[#This Row],[PNP Début]],1))*24</f>
        <v>0</v>
      </c>
      <c r="K32" s="119" t="str">
        <f>IFERROR(VLOOKUP(H_Mars[[#This Row],[Service]],Codes[],4,0),"")</f>
        <v/>
      </c>
      <c r="L32" s="49">
        <f>IF(H_Mars[[#This Row],[PNP Début]]=0,0,IF(H_Mars[[#This Row],[PNP Début]]&lt;H_Mars[[#This Row],[début]],1,0)+H_Mars[[#This Row],[PNP Début]])</f>
        <v>0</v>
      </c>
      <c r="M32" s="50">
        <f>IF(H_Mars[[#This Row],[PNP Fin]]=0,0,IF(H_Mars[[#This Row],[PNP Fin]]&lt;H_Mars[[#This Row],[début]],1,0)+H_Mars[[#This Row],[PNP Fin]])</f>
        <v>0</v>
      </c>
      <c r="N32" s="50">
        <f>IF(H_Mars[[#This Row],[Fin]]&lt;H_Mars[[#This Row],[début]],1,0)+H_Mars[[#This Row],[Fin]]</f>
        <v>0</v>
      </c>
      <c r="O32" s="31">
        <f>IF(H_Mars[[#This Row],[Fin]]&lt;H_Mars[[#This Row],[début]],MAX(0,MIN(H_Mars[[#This Row],[Fin corrigée si nuit]],fin_nuit)-MAX(H_Mars[[#This Row],[début]],deb_nuit))*24,(MAX(deb_nuit,H_Mars[[#This Row],[Fin]])-MAX(deb_nuit,H_Mars[[#This Row],[début]])+MAX(MIN(fin_nuit-1,H_Mars[[#This Row],[Fin]])-MIN(fin_nuit-1,H_Mars[[#This Row],[début]]),0))*24)</f>
        <v>0</v>
      </c>
      <c r="P32" s="51">
        <f>(MAX(0,MIN(H_Mars[[#This Row],[Fin corrigée si nuit]],fin_nuit)-MAX(H_Mars[[#This Row],[début]],deb_nuit))-IF(H_Mars[[#This Row],[PNP Début]]=0,0,MIN(H_Mars[[#This Row],[PNP Fin corrigée]],fin_nuit)-MAX(H_Mars[[#This Row],[PNP Début corrigé]],deb_nuit)))*24</f>
        <v>0</v>
      </c>
      <c r="Q32" s="51">
        <f>(IF(WEEKDAY(H_Mars[[#This Row],[Date]],2)=7,MAX(0,MIN(fin_dimJF,H_Mars[[#This Row],[Fin corrigée si nuit]])-MAX(deb_dimJF,H_Mars[[#This Row],[début]])),0)+IF(WEEKDAY(H_Mars[[#This Row],[Date]],2)=6,MAX(0,H_Mars[[#This Row],[Fin corrigée si nuit]]-(1+deb_dimJF)),0))*24</f>
        <v>0</v>
      </c>
      <c r="R32"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2" s="51">
        <f>(IF(COUNTIF(JF,H_Mars[[#This Row],[Date]]),MAX(0,MIN(fin_dimJF,H_Mars[[#This Row],[Fin corrigée si nuit]])-MAX(deb_dimJF,H_Mars[[#This Row],[début]])),0)+IF(COUNTIF(JF,H_Mars[[#This Row],[Date]]+1),MAX(0,H_Mars[[#This Row],[Fin corrigée si nuit]]-(1+deb_dimJF)),0))*24</f>
        <v>0</v>
      </c>
      <c r="T32"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3" spans="1:20" x14ac:dyDescent="0.3">
      <c r="A33" s="4"/>
      <c r="B33" s="1"/>
      <c r="C33" s="2"/>
      <c r="D33" s="2"/>
      <c r="E33" s="3"/>
      <c r="F33" s="3"/>
      <c r="G33" s="3"/>
      <c r="H33" s="3"/>
      <c r="I33" s="47">
        <f>0.1*(H_Mars[[#This Row],[Heures de nuit]]+IF(H_Mars[[#This Row],[majoration dim &amp; JF]]="non",0,H_Mars[[#This Row],[heures jour dimanche]]+H_Mars[[#This Row],[heures jour fériés]]))</f>
        <v>0</v>
      </c>
      <c r="J33" s="48">
        <f>(MOD(H_Mars[[#This Row],[Fin]]-H_Mars[[#This Row],[début]],1)-MOD(H_Mars[[#This Row],[PNP Fin]]-H_Mars[[#This Row],[PNP Début]],1))*24</f>
        <v>0</v>
      </c>
      <c r="K33" s="119" t="str">
        <f>IFERROR(VLOOKUP(H_Mars[[#This Row],[Service]],Codes[],4,0),"")</f>
        <v/>
      </c>
      <c r="L33" s="49">
        <f>IF(H_Mars[[#This Row],[PNP Début]]=0,0,IF(H_Mars[[#This Row],[PNP Début]]&lt;H_Mars[[#This Row],[début]],1,0)+H_Mars[[#This Row],[PNP Début]])</f>
        <v>0</v>
      </c>
      <c r="M33" s="50">
        <f>IF(H_Mars[[#This Row],[PNP Fin]]=0,0,IF(H_Mars[[#This Row],[PNP Fin]]&lt;H_Mars[[#This Row],[début]],1,0)+H_Mars[[#This Row],[PNP Fin]])</f>
        <v>0</v>
      </c>
      <c r="N33" s="50">
        <f>IF(H_Mars[[#This Row],[Fin]]&lt;H_Mars[[#This Row],[début]],1,0)+H_Mars[[#This Row],[Fin]]</f>
        <v>0</v>
      </c>
      <c r="O33" s="31">
        <f>IF(H_Mars[[#This Row],[Fin]]&lt;H_Mars[[#This Row],[début]],MAX(0,MIN(H_Mars[[#This Row],[Fin corrigée si nuit]],fin_nuit)-MAX(H_Mars[[#This Row],[début]],deb_nuit))*24,(MAX(deb_nuit,H_Mars[[#This Row],[Fin]])-MAX(deb_nuit,H_Mars[[#This Row],[début]])+MAX(MIN(fin_nuit-1,H_Mars[[#This Row],[Fin]])-MIN(fin_nuit-1,H_Mars[[#This Row],[début]]),0))*24)</f>
        <v>0</v>
      </c>
      <c r="P33" s="51">
        <f>(MAX(0,MIN(H_Mars[[#This Row],[Fin corrigée si nuit]],fin_nuit)-MAX(H_Mars[[#This Row],[début]],deb_nuit))-IF(H_Mars[[#This Row],[PNP Début]]=0,0,MIN(H_Mars[[#This Row],[PNP Fin corrigée]],fin_nuit)-MAX(H_Mars[[#This Row],[PNP Début corrigé]],deb_nuit)))*24</f>
        <v>0</v>
      </c>
      <c r="Q33" s="51">
        <f>(IF(WEEKDAY(H_Mars[[#This Row],[Date]],2)=7,MAX(0,MIN(fin_dimJF,H_Mars[[#This Row],[Fin corrigée si nuit]])-MAX(deb_dimJF,H_Mars[[#This Row],[début]])),0)+IF(WEEKDAY(H_Mars[[#This Row],[Date]],2)=6,MAX(0,H_Mars[[#This Row],[Fin corrigée si nuit]]-(1+deb_dimJF)),0))*24</f>
        <v>0</v>
      </c>
      <c r="R33"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3" s="51">
        <f>(IF(COUNTIF(JF,H_Mars[[#This Row],[Date]]),MAX(0,MIN(fin_dimJF,H_Mars[[#This Row],[Fin corrigée si nuit]])-MAX(deb_dimJF,H_Mars[[#This Row],[début]])),0)+IF(COUNTIF(JF,H_Mars[[#This Row],[Date]]+1),MAX(0,H_Mars[[#This Row],[Fin corrigée si nuit]]-(1+deb_dimJF)),0))*24</f>
        <v>0</v>
      </c>
      <c r="T33"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4" spans="1:20" x14ac:dyDescent="0.3">
      <c r="A34" s="4"/>
      <c r="B34" s="1"/>
      <c r="C34" s="2"/>
      <c r="D34" s="2"/>
      <c r="E34" s="3"/>
      <c r="F34" s="3"/>
      <c r="G34" s="3"/>
      <c r="H34" s="3"/>
      <c r="I34" s="47">
        <f>0.1*(H_Mars[[#This Row],[Heures de nuit]]+IF(H_Mars[[#This Row],[majoration dim &amp; JF]]="non",0,H_Mars[[#This Row],[heures jour dimanche]]+H_Mars[[#This Row],[heures jour fériés]]))</f>
        <v>0</v>
      </c>
      <c r="J34" s="48">
        <f>(MOD(H_Mars[[#This Row],[Fin]]-H_Mars[[#This Row],[début]],1)-MOD(H_Mars[[#This Row],[PNP Fin]]-H_Mars[[#This Row],[PNP Début]],1))*24</f>
        <v>0</v>
      </c>
      <c r="K34" s="119" t="str">
        <f>IFERROR(VLOOKUP(H_Mars[[#This Row],[Service]],Codes[],4,0),"")</f>
        <v/>
      </c>
      <c r="L34" s="49">
        <f>IF(H_Mars[[#This Row],[PNP Début]]=0,0,IF(H_Mars[[#This Row],[PNP Début]]&lt;H_Mars[[#This Row],[début]],1,0)+H_Mars[[#This Row],[PNP Début]])</f>
        <v>0</v>
      </c>
      <c r="M34" s="50">
        <f>IF(H_Mars[[#This Row],[PNP Fin]]=0,0,IF(H_Mars[[#This Row],[PNP Fin]]&lt;H_Mars[[#This Row],[début]],1,0)+H_Mars[[#This Row],[PNP Fin]])</f>
        <v>0</v>
      </c>
      <c r="N34" s="50">
        <f>IF(H_Mars[[#This Row],[Fin]]&lt;H_Mars[[#This Row],[début]],1,0)+H_Mars[[#This Row],[Fin]]</f>
        <v>0</v>
      </c>
      <c r="O34" s="31">
        <f>IF(H_Mars[[#This Row],[Fin]]&lt;H_Mars[[#This Row],[début]],MAX(0,MIN(H_Mars[[#This Row],[Fin corrigée si nuit]],fin_nuit)-MAX(H_Mars[[#This Row],[début]],deb_nuit))*24,(MAX(deb_nuit,H_Mars[[#This Row],[Fin]])-MAX(deb_nuit,H_Mars[[#This Row],[début]])+MAX(MIN(fin_nuit-1,H_Mars[[#This Row],[Fin]])-MIN(fin_nuit-1,H_Mars[[#This Row],[début]]),0))*24)</f>
        <v>0</v>
      </c>
      <c r="P34" s="51">
        <f>(MAX(0,MIN(H_Mars[[#This Row],[Fin corrigée si nuit]],fin_nuit)-MAX(H_Mars[[#This Row],[début]],deb_nuit))-IF(H_Mars[[#This Row],[PNP Début]]=0,0,MIN(H_Mars[[#This Row],[PNP Fin corrigée]],fin_nuit)-MAX(H_Mars[[#This Row],[PNP Début corrigé]],deb_nuit)))*24</f>
        <v>0</v>
      </c>
      <c r="Q34" s="51">
        <f>(IF(WEEKDAY(H_Mars[[#This Row],[Date]],2)=7,MAX(0,MIN(fin_dimJF,H_Mars[[#This Row],[Fin corrigée si nuit]])-MAX(deb_dimJF,H_Mars[[#This Row],[début]])),0)+IF(WEEKDAY(H_Mars[[#This Row],[Date]],2)=6,MAX(0,H_Mars[[#This Row],[Fin corrigée si nuit]]-(1+deb_dimJF)),0))*24</f>
        <v>0</v>
      </c>
      <c r="R34"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4" s="51">
        <f>(IF(COUNTIF(JF,H_Mars[[#This Row],[Date]]),MAX(0,MIN(fin_dimJF,H_Mars[[#This Row],[Fin corrigée si nuit]])-MAX(deb_dimJF,H_Mars[[#This Row],[début]])),0)+IF(COUNTIF(JF,H_Mars[[#This Row],[Date]]+1),MAX(0,H_Mars[[#This Row],[Fin corrigée si nuit]]-(1+deb_dimJF)),0))*24</f>
        <v>0</v>
      </c>
      <c r="T34"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5" spans="1:20" x14ac:dyDescent="0.3">
      <c r="A35" s="4"/>
      <c r="B35" s="1"/>
      <c r="C35" s="2"/>
      <c r="D35" s="2"/>
      <c r="E35" s="3"/>
      <c r="F35" s="3"/>
      <c r="G35" s="3"/>
      <c r="H35" s="3"/>
      <c r="I35" s="47">
        <f>0.1*(H_Mars[[#This Row],[Heures de nuit]]+IF(H_Mars[[#This Row],[majoration dim &amp; JF]]="non",0,H_Mars[[#This Row],[heures jour dimanche]]+H_Mars[[#This Row],[heures jour fériés]]))</f>
        <v>0</v>
      </c>
      <c r="J35" s="48">
        <f>(MOD(H_Mars[[#This Row],[Fin]]-H_Mars[[#This Row],[début]],1)-MOD(H_Mars[[#This Row],[PNP Fin]]-H_Mars[[#This Row],[PNP Début]],1))*24</f>
        <v>0</v>
      </c>
      <c r="K35" s="119" t="str">
        <f>IFERROR(VLOOKUP(H_Mars[[#This Row],[Service]],Codes[],4,0),"")</f>
        <v/>
      </c>
      <c r="L35" s="49">
        <f>IF(H_Mars[[#This Row],[PNP Début]]=0,0,IF(H_Mars[[#This Row],[PNP Début]]&lt;H_Mars[[#This Row],[début]],1,0)+H_Mars[[#This Row],[PNP Début]])</f>
        <v>0</v>
      </c>
      <c r="M35" s="50">
        <f>IF(H_Mars[[#This Row],[PNP Fin]]=0,0,IF(H_Mars[[#This Row],[PNP Fin]]&lt;H_Mars[[#This Row],[début]],1,0)+H_Mars[[#This Row],[PNP Fin]])</f>
        <v>0</v>
      </c>
      <c r="N35" s="50">
        <f>IF(H_Mars[[#This Row],[Fin]]&lt;H_Mars[[#This Row],[début]],1,0)+H_Mars[[#This Row],[Fin]]</f>
        <v>0</v>
      </c>
      <c r="O35" s="31">
        <f>IF(H_Mars[[#This Row],[Fin]]&lt;H_Mars[[#This Row],[début]],MAX(0,MIN(H_Mars[[#This Row],[Fin corrigée si nuit]],fin_nuit)-MAX(H_Mars[[#This Row],[début]],deb_nuit))*24,(MAX(deb_nuit,H_Mars[[#This Row],[Fin]])-MAX(deb_nuit,H_Mars[[#This Row],[début]])+MAX(MIN(fin_nuit-1,H_Mars[[#This Row],[Fin]])-MIN(fin_nuit-1,H_Mars[[#This Row],[début]]),0))*24)</f>
        <v>0</v>
      </c>
      <c r="P35" s="51">
        <f>(MAX(0,MIN(H_Mars[[#This Row],[Fin corrigée si nuit]],fin_nuit)-MAX(H_Mars[[#This Row],[début]],deb_nuit))-IF(H_Mars[[#This Row],[PNP Début]]=0,0,MIN(H_Mars[[#This Row],[PNP Fin corrigée]],fin_nuit)-MAX(H_Mars[[#This Row],[PNP Début corrigé]],deb_nuit)))*24</f>
        <v>0</v>
      </c>
      <c r="Q35" s="51">
        <f>(IF(WEEKDAY(H_Mars[[#This Row],[Date]],2)=7,MAX(0,MIN(fin_dimJF,H_Mars[[#This Row],[Fin corrigée si nuit]])-MAX(deb_dimJF,H_Mars[[#This Row],[début]])),0)+IF(WEEKDAY(H_Mars[[#This Row],[Date]],2)=6,MAX(0,H_Mars[[#This Row],[Fin corrigée si nuit]]-(1+deb_dimJF)),0))*24</f>
        <v>0</v>
      </c>
      <c r="R35"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5" s="51">
        <f>(IF(COUNTIF(JF,H_Mars[[#This Row],[Date]]),MAX(0,MIN(fin_dimJF,H_Mars[[#This Row],[Fin corrigée si nuit]])-MAX(deb_dimJF,H_Mars[[#This Row],[début]])),0)+IF(COUNTIF(JF,H_Mars[[#This Row],[Date]]+1),MAX(0,H_Mars[[#This Row],[Fin corrigée si nuit]]-(1+deb_dimJF)),0))*24</f>
        <v>0</v>
      </c>
      <c r="T35"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6" spans="1:20" x14ac:dyDescent="0.3">
      <c r="A36" s="4"/>
      <c r="B36" s="1"/>
      <c r="C36" s="2"/>
      <c r="D36" s="2"/>
      <c r="E36" s="3"/>
      <c r="F36" s="3"/>
      <c r="G36" s="3"/>
      <c r="H36" s="3"/>
      <c r="I36" s="47">
        <f>0.1*(H_Mars[[#This Row],[Heures de nuit]]+IF(H_Mars[[#This Row],[majoration dim &amp; JF]]="non",0,H_Mars[[#This Row],[heures jour dimanche]]+H_Mars[[#This Row],[heures jour fériés]]))</f>
        <v>0</v>
      </c>
      <c r="J36" s="48">
        <f>(MOD(H_Mars[[#This Row],[Fin]]-H_Mars[[#This Row],[début]],1)-MOD(H_Mars[[#This Row],[PNP Fin]]-H_Mars[[#This Row],[PNP Début]],1))*24</f>
        <v>0</v>
      </c>
      <c r="K36" s="119" t="str">
        <f>IFERROR(VLOOKUP(H_Mars[[#This Row],[Service]],Codes[],4,0),"")</f>
        <v/>
      </c>
      <c r="L36" s="49">
        <f>IF(H_Mars[[#This Row],[PNP Début]]=0,0,IF(H_Mars[[#This Row],[PNP Début]]&lt;H_Mars[[#This Row],[début]],1,0)+H_Mars[[#This Row],[PNP Début]])</f>
        <v>0</v>
      </c>
      <c r="M36" s="50">
        <f>IF(H_Mars[[#This Row],[PNP Fin]]=0,0,IF(H_Mars[[#This Row],[PNP Fin]]&lt;H_Mars[[#This Row],[début]],1,0)+H_Mars[[#This Row],[PNP Fin]])</f>
        <v>0</v>
      </c>
      <c r="N36" s="50">
        <f>IF(H_Mars[[#This Row],[Fin]]&lt;H_Mars[[#This Row],[début]],1,0)+H_Mars[[#This Row],[Fin]]</f>
        <v>0</v>
      </c>
      <c r="O36" s="31">
        <f>IF(H_Mars[[#This Row],[Fin]]&lt;H_Mars[[#This Row],[début]],MAX(0,MIN(H_Mars[[#This Row],[Fin corrigée si nuit]],fin_nuit)-MAX(H_Mars[[#This Row],[début]],deb_nuit))*24,(MAX(deb_nuit,H_Mars[[#This Row],[Fin]])-MAX(deb_nuit,H_Mars[[#This Row],[début]])+MAX(MIN(fin_nuit-1,H_Mars[[#This Row],[Fin]])-MIN(fin_nuit-1,H_Mars[[#This Row],[début]]),0))*24)</f>
        <v>0</v>
      </c>
      <c r="P36" s="51">
        <f>(MAX(0,MIN(H_Mars[[#This Row],[Fin corrigée si nuit]],fin_nuit)-MAX(H_Mars[[#This Row],[début]],deb_nuit))-IF(H_Mars[[#This Row],[PNP Début]]=0,0,MIN(H_Mars[[#This Row],[PNP Fin corrigée]],fin_nuit)-MAX(H_Mars[[#This Row],[PNP Début corrigé]],deb_nuit)))*24</f>
        <v>0</v>
      </c>
      <c r="Q36" s="51">
        <f>(IF(WEEKDAY(H_Mars[[#This Row],[Date]],2)=7,MAX(0,MIN(fin_dimJF,H_Mars[[#This Row],[Fin corrigée si nuit]])-MAX(deb_dimJF,H_Mars[[#This Row],[début]])),0)+IF(WEEKDAY(H_Mars[[#This Row],[Date]],2)=6,MAX(0,H_Mars[[#This Row],[Fin corrigée si nuit]]-(1+deb_dimJF)),0))*24</f>
        <v>0</v>
      </c>
      <c r="R36"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6" s="51">
        <f>(IF(COUNTIF(JF,H_Mars[[#This Row],[Date]]),MAX(0,MIN(fin_dimJF,H_Mars[[#This Row],[Fin corrigée si nuit]])-MAX(deb_dimJF,H_Mars[[#This Row],[début]])),0)+IF(COUNTIF(JF,H_Mars[[#This Row],[Date]]+1),MAX(0,H_Mars[[#This Row],[Fin corrigée si nuit]]-(1+deb_dimJF)),0))*24</f>
        <v>0</v>
      </c>
      <c r="T36"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7" spans="1:20" x14ac:dyDescent="0.3">
      <c r="A37" s="4"/>
      <c r="B37" s="1"/>
      <c r="C37" s="2"/>
      <c r="D37" s="2"/>
      <c r="E37" s="3"/>
      <c r="F37" s="3"/>
      <c r="G37" s="3"/>
      <c r="H37" s="3"/>
      <c r="I37" s="47">
        <f>0.1*(H_Mars[[#This Row],[Heures de nuit]]+IF(H_Mars[[#This Row],[majoration dim &amp; JF]]="non",0,H_Mars[[#This Row],[heures jour dimanche]]+H_Mars[[#This Row],[heures jour fériés]]))</f>
        <v>0</v>
      </c>
      <c r="J37" s="48">
        <f>(MOD(H_Mars[[#This Row],[Fin]]-H_Mars[[#This Row],[début]],1)-MOD(H_Mars[[#This Row],[PNP Fin]]-H_Mars[[#This Row],[PNP Début]],1))*24</f>
        <v>0</v>
      </c>
      <c r="K37" s="119" t="str">
        <f>IFERROR(VLOOKUP(H_Mars[[#This Row],[Service]],Codes[],4,0),"")</f>
        <v/>
      </c>
      <c r="L37" s="49">
        <f>IF(H_Mars[[#This Row],[PNP Début]]=0,0,IF(H_Mars[[#This Row],[PNP Début]]&lt;H_Mars[[#This Row],[début]],1,0)+H_Mars[[#This Row],[PNP Début]])</f>
        <v>0</v>
      </c>
      <c r="M37" s="50">
        <f>IF(H_Mars[[#This Row],[PNP Fin]]=0,0,IF(H_Mars[[#This Row],[PNP Fin]]&lt;H_Mars[[#This Row],[début]],1,0)+H_Mars[[#This Row],[PNP Fin]])</f>
        <v>0</v>
      </c>
      <c r="N37" s="50">
        <f>IF(H_Mars[[#This Row],[Fin]]&lt;H_Mars[[#This Row],[début]],1,0)+H_Mars[[#This Row],[Fin]]</f>
        <v>0</v>
      </c>
      <c r="O37" s="31">
        <f>IF(H_Mars[[#This Row],[Fin]]&lt;H_Mars[[#This Row],[début]],MAX(0,MIN(H_Mars[[#This Row],[Fin corrigée si nuit]],fin_nuit)-MAX(H_Mars[[#This Row],[début]],deb_nuit))*24,(MAX(deb_nuit,H_Mars[[#This Row],[Fin]])-MAX(deb_nuit,H_Mars[[#This Row],[début]])+MAX(MIN(fin_nuit-1,H_Mars[[#This Row],[Fin]])-MIN(fin_nuit-1,H_Mars[[#This Row],[début]]),0))*24)</f>
        <v>0</v>
      </c>
      <c r="P37" s="51">
        <f>(MAX(0,MIN(H_Mars[[#This Row],[Fin corrigée si nuit]],fin_nuit)-MAX(H_Mars[[#This Row],[début]],deb_nuit))-IF(H_Mars[[#This Row],[PNP Début]]=0,0,MIN(H_Mars[[#This Row],[PNP Fin corrigée]],fin_nuit)-MAX(H_Mars[[#This Row],[PNP Début corrigé]],deb_nuit)))*24</f>
        <v>0</v>
      </c>
      <c r="Q37" s="51">
        <f>(IF(WEEKDAY(H_Mars[[#This Row],[Date]],2)=7,MAX(0,MIN(fin_dimJF,H_Mars[[#This Row],[Fin corrigée si nuit]])-MAX(deb_dimJF,H_Mars[[#This Row],[début]])),0)+IF(WEEKDAY(H_Mars[[#This Row],[Date]],2)=6,MAX(0,H_Mars[[#This Row],[Fin corrigée si nuit]]-(1+deb_dimJF)),0))*24</f>
        <v>0</v>
      </c>
      <c r="R37"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7" s="51">
        <f>(IF(COUNTIF(JF,H_Mars[[#This Row],[Date]]),MAX(0,MIN(fin_dimJF,H_Mars[[#This Row],[Fin corrigée si nuit]])-MAX(deb_dimJF,H_Mars[[#This Row],[début]])),0)+IF(COUNTIF(JF,H_Mars[[#This Row],[Date]]+1),MAX(0,H_Mars[[#This Row],[Fin corrigée si nuit]]-(1+deb_dimJF)),0))*24</f>
        <v>0</v>
      </c>
      <c r="T37"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8" spans="1:20" x14ac:dyDescent="0.3">
      <c r="A38" s="4"/>
      <c r="B38" s="1"/>
      <c r="C38" s="2"/>
      <c r="D38" s="2"/>
      <c r="E38" s="3"/>
      <c r="F38" s="3"/>
      <c r="G38" s="3"/>
      <c r="H38" s="3"/>
      <c r="I38" s="47">
        <f>0.1*(H_Mars[[#This Row],[Heures de nuit]]+IF(H_Mars[[#This Row],[majoration dim &amp; JF]]="non",0,H_Mars[[#This Row],[heures jour dimanche]]+H_Mars[[#This Row],[heures jour fériés]]))</f>
        <v>0</v>
      </c>
      <c r="J38" s="48">
        <f>(MOD(H_Mars[[#This Row],[Fin]]-H_Mars[[#This Row],[début]],1)-MOD(H_Mars[[#This Row],[PNP Fin]]-H_Mars[[#This Row],[PNP Début]],1))*24</f>
        <v>0</v>
      </c>
      <c r="K38" s="119" t="str">
        <f>IFERROR(VLOOKUP(H_Mars[[#This Row],[Service]],Codes[],4,0),"")</f>
        <v/>
      </c>
      <c r="L38" s="49">
        <f>IF(H_Mars[[#This Row],[PNP Début]]=0,0,IF(H_Mars[[#This Row],[PNP Début]]&lt;H_Mars[[#This Row],[début]],1,0)+H_Mars[[#This Row],[PNP Début]])</f>
        <v>0</v>
      </c>
      <c r="M38" s="50">
        <f>IF(H_Mars[[#This Row],[PNP Fin]]=0,0,IF(H_Mars[[#This Row],[PNP Fin]]&lt;H_Mars[[#This Row],[début]],1,0)+H_Mars[[#This Row],[PNP Fin]])</f>
        <v>0</v>
      </c>
      <c r="N38" s="50">
        <f>IF(H_Mars[[#This Row],[Fin]]&lt;H_Mars[[#This Row],[début]],1,0)+H_Mars[[#This Row],[Fin]]</f>
        <v>0</v>
      </c>
      <c r="O38" s="31">
        <f>IF(H_Mars[[#This Row],[Fin]]&lt;H_Mars[[#This Row],[début]],MAX(0,MIN(H_Mars[[#This Row],[Fin corrigée si nuit]],fin_nuit)-MAX(H_Mars[[#This Row],[début]],deb_nuit))*24,(MAX(deb_nuit,H_Mars[[#This Row],[Fin]])-MAX(deb_nuit,H_Mars[[#This Row],[début]])+MAX(MIN(fin_nuit-1,H_Mars[[#This Row],[Fin]])-MIN(fin_nuit-1,H_Mars[[#This Row],[début]]),0))*24)</f>
        <v>0</v>
      </c>
      <c r="P38" s="51">
        <f>(MAX(0,MIN(H_Mars[[#This Row],[Fin corrigée si nuit]],fin_nuit)-MAX(H_Mars[[#This Row],[début]],deb_nuit))-IF(H_Mars[[#This Row],[PNP Début]]=0,0,MIN(H_Mars[[#This Row],[PNP Fin corrigée]],fin_nuit)-MAX(H_Mars[[#This Row],[PNP Début corrigé]],deb_nuit)))*24</f>
        <v>0</v>
      </c>
      <c r="Q38" s="51">
        <f>(IF(WEEKDAY(H_Mars[[#This Row],[Date]],2)=7,MAX(0,MIN(fin_dimJF,H_Mars[[#This Row],[Fin corrigée si nuit]])-MAX(deb_dimJF,H_Mars[[#This Row],[début]])),0)+IF(WEEKDAY(H_Mars[[#This Row],[Date]],2)=6,MAX(0,H_Mars[[#This Row],[Fin corrigée si nuit]]-(1+deb_dimJF)),0))*24</f>
        <v>0</v>
      </c>
      <c r="R38"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8" s="51">
        <f>(IF(COUNTIF(JF,H_Mars[[#This Row],[Date]]),MAX(0,MIN(fin_dimJF,H_Mars[[#This Row],[Fin corrigée si nuit]])-MAX(deb_dimJF,H_Mars[[#This Row],[début]])),0)+IF(COUNTIF(JF,H_Mars[[#This Row],[Date]]+1),MAX(0,H_Mars[[#This Row],[Fin corrigée si nuit]]-(1+deb_dimJF)),0))*24</f>
        <v>0</v>
      </c>
      <c r="T38"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39" spans="1:20" x14ac:dyDescent="0.3">
      <c r="A39" s="4"/>
      <c r="B39" s="1"/>
      <c r="C39" s="2"/>
      <c r="D39" s="2"/>
      <c r="E39" s="3"/>
      <c r="F39" s="3"/>
      <c r="G39" s="3"/>
      <c r="H39" s="3"/>
      <c r="I39" s="47">
        <f>0.1*(H_Mars[[#This Row],[Heures de nuit]]+IF(H_Mars[[#This Row],[majoration dim &amp; JF]]="non",0,H_Mars[[#This Row],[heures jour dimanche]]+H_Mars[[#This Row],[heures jour fériés]]))</f>
        <v>0</v>
      </c>
      <c r="J39" s="48">
        <f>(MOD(H_Mars[[#This Row],[Fin]]-H_Mars[[#This Row],[début]],1)-MOD(H_Mars[[#This Row],[PNP Fin]]-H_Mars[[#This Row],[PNP Début]],1))*24</f>
        <v>0</v>
      </c>
      <c r="K39" s="119" t="str">
        <f>IFERROR(VLOOKUP(H_Mars[[#This Row],[Service]],Codes[],4,0),"")</f>
        <v/>
      </c>
      <c r="L39" s="49">
        <f>IF(H_Mars[[#This Row],[PNP Début]]=0,0,IF(H_Mars[[#This Row],[PNP Début]]&lt;H_Mars[[#This Row],[début]],1,0)+H_Mars[[#This Row],[PNP Début]])</f>
        <v>0</v>
      </c>
      <c r="M39" s="50">
        <f>IF(H_Mars[[#This Row],[PNP Fin]]=0,0,IF(H_Mars[[#This Row],[PNP Fin]]&lt;H_Mars[[#This Row],[début]],1,0)+H_Mars[[#This Row],[PNP Fin]])</f>
        <v>0</v>
      </c>
      <c r="N39" s="50">
        <f>IF(H_Mars[[#This Row],[Fin]]&lt;H_Mars[[#This Row],[début]],1,0)+H_Mars[[#This Row],[Fin]]</f>
        <v>0</v>
      </c>
      <c r="O39" s="31">
        <f>IF(H_Mars[[#This Row],[Fin]]&lt;H_Mars[[#This Row],[début]],MAX(0,MIN(H_Mars[[#This Row],[Fin corrigée si nuit]],fin_nuit)-MAX(H_Mars[[#This Row],[début]],deb_nuit))*24,(MAX(deb_nuit,H_Mars[[#This Row],[Fin]])-MAX(deb_nuit,H_Mars[[#This Row],[début]])+MAX(MIN(fin_nuit-1,H_Mars[[#This Row],[Fin]])-MIN(fin_nuit-1,H_Mars[[#This Row],[début]]),0))*24)</f>
        <v>0</v>
      </c>
      <c r="P39" s="51">
        <f>(MAX(0,MIN(H_Mars[[#This Row],[Fin corrigée si nuit]],fin_nuit)-MAX(H_Mars[[#This Row],[début]],deb_nuit))-IF(H_Mars[[#This Row],[PNP Début]]=0,0,MIN(H_Mars[[#This Row],[PNP Fin corrigée]],fin_nuit)-MAX(H_Mars[[#This Row],[PNP Début corrigé]],deb_nuit)))*24</f>
        <v>0</v>
      </c>
      <c r="Q39" s="51">
        <f>(IF(WEEKDAY(H_Mars[[#This Row],[Date]],2)=7,MAX(0,MIN(fin_dimJF,H_Mars[[#This Row],[Fin corrigée si nuit]])-MAX(deb_dimJF,H_Mars[[#This Row],[début]])),0)+IF(WEEKDAY(H_Mars[[#This Row],[Date]],2)=6,MAX(0,H_Mars[[#This Row],[Fin corrigée si nuit]]-(1+deb_dimJF)),0))*24</f>
        <v>0</v>
      </c>
      <c r="R39"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39" s="51">
        <f>(IF(COUNTIF(JF,H_Mars[[#This Row],[Date]]),MAX(0,MIN(fin_dimJF,H_Mars[[#This Row],[Fin corrigée si nuit]])-MAX(deb_dimJF,H_Mars[[#This Row],[début]])),0)+IF(COUNTIF(JF,H_Mars[[#This Row],[Date]]+1),MAX(0,H_Mars[[#This Row],[Fin corrigée si nuit]]-(1+deb_dimJF)),0))*24</f>
        <v>0</v>
      </c>
      <c r="T39"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0" spans="1:20" x14ac:dyDescent="0.3">
      <c r="A40" s="4"/>
      <c r="B40" s="1"/>
      <c r="C40" s="2"/>
      <c r="D40" s="2"/>
      <c r="E40" s="3"/>
      <c r="F40" s="3"/>
      <c r="G40" s="3"/>
      <c r="H40" s="3"/>
      <c r="I40" s="47">
        <f>0.1*(H_Mars[[#This Row],[Heures de nuit]]+IF(H_Mars[[#This Row],[majoration dim &amp; JF]]="non",0,H_Mars[[#This Row],[heures jour dimanche]]+H_Mars[[#This Row],[heures jour fériés]]))</f>
        <v>0</v>
      </c>
      <c r="J40" s="48">
        <f>(MOD(H_Mars[[#This Row],[Fin]]-H_Mars[[#This Row],[début]],1)-MOD(H_Mars[[#This Row],[PNP Fin]]-H_Mars[[#This Row],[PNP Début]],1))*24</f>
        <v>0</v>
      </c>
      <c r="K40" s="119" t="str">
        <f>IFERROR(VLOOKUP(H_Mars[[#This Row],[Service]],Codes[],4,0),"")</f>
        <v/>
      </c>
      <c r="L40" s="49">
        <f>IF(H_Mars[[#This Row],[PNP Début]]=0,0,IF(H_Mars[[#This Row],[PNP Début]]&lt;H_Mars[[#This Row],[début]],1,0)+H_Mars[[#This Row],[PNP Début]])</f>
        <v>0</v>
      </c>
      <c r="M40" s="50">
        <f>IF(H_Mars[[#This Row],[PNP Fin]]=0,0,IF(H_Mars[[#This Row],[PNP Fin]]&lt;H_Mars[[#This Row],[début]],1,0)+H_Mars[[#This Row],[PNP Fin]])</f>
        <v>0</v>
      </c>
      <c r="N40" s="50">
        <f>IF(H_Mars[[#This Row],[Fin]]&lt;H_Mars[[#This Row],[début]],1,0)+H_Mars[[#This Row],[Fin]]</f>
        <v>0</v>
      </c>
      <c r="O40" s="31">
        <f>IF(H_Mars[[#This Row],[Fin]]&lt;H_Mars[[#This Row],[début]],MAX(0,MIN(H_Mars[[#This Row],[Fin corrigée si nuit]],fin_nuit)-MAX(H_Mars[[#This Row],[début]],deb_nuit))*24,(MAX(deb_nuit,H_Mars[[#This Row],[Fin]])-MAX(deb_nuit,H_Mars[[#This Row],[début]])+MAX(MIN(fin_nuit-1,H_Mars[[#This Row],[Fin]])-MIN(fin_nuit-1,H_Mars[[#This Row],[début]]),0))*24)</f>
        <v>0</v>
      </c>
      <c r="P40" s="51">
        <f>(MAX(0,MIN(H_Mars[[#This Row],[Fin corrigée si nuit]],fin_nuit)-MAX(H_Mars[[#This Row],[début]],deb_nuit))-IF(H_Mars[[#This Row],[PNP Début]]=0,0,MIN(H_Mars[[#This Row],[PNP Fin corrigée]],fin_nuit)-MAX(H_Mars[[#This Row],[PNP Début corrigé]],deb_nuit)))*24</f>
        <v>0</v>
      </c>
      <c r="Q40" s="51">
        <f>(IF(WEEKDAY(H_Mars[[#This Row],[Date]],2)=7,MAX(0,MIN(fin_dimJF,H_Mars[[#This Row],[Fin corrigée si nuit]])-MAX(deb_dimJF,H_Mars[[#This Row],[début]])),0)+IF(WEEKDAY(H_Mars[[#This Row],[Date]],2)=6,MAX(0,H_Mars[[#This Row],[Fin corrigée si nuit]]-(1+deb_dimJF)),0))*24</f>
        <v>0</v>
      </c>
      <c r="R40"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0" s="51">
        <f>(IF(COUNTIF(JF,H_Mars[[#This Row],[Date]]),MAX(0,MIN(fin_dimJF,H_Mars[[#This Row],[Fin corrigée si nuit]])-MAX(deb_dimJF,H_Mars[[#This Row],[début]])),0)+IF(COUNTIF(JF,H_Mars[[#This Row],[Date]]+1),MAX(0,H_Mars[[#This Row],[Fin corrigée si nuit]]-(1+deb_dimJF)),0))*24</f>
        <v>0</v>
      </c>
      <c r="T40"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1" spans="1:20" x14ac:dyDescent="0.3">
      <c r="A41" s="4"/>
      <c r="B41" s="1"/>
      <c r="C41" s="2"/>
      <c r="D41" s="2"/>
      <c r="E41" s="3"/>
      <c r="F41" s="3"/>
      <c r="G41" s="3"/>
      <c r="H41" s="3"/>
      <c r="I41" s="47">
        <f>0.1*(H_Mars[[#This Row],[Heures de nuit]]+IF(H_Mars[[#This Row],[majoration dim &amp; JF]]="non",0,H_Mars[[#This Row],[heures jour dimanche]]+H_Mars[[#This Row],[heures jour fériés]]))</f>
        <v>0</v>
      </c>
      <c r="J41" s="48">
        <f>(MOD(H_Mars[[#This Row],[Fin]]-H_Mars[[#This Row],[début]],1)-MOD(H_Mars[[#This Row],[PNP Fin]]-H_Mars[[#This Row],[PNP Début]],1))*24</f>
        <v>0</v>
      </c>
      <c r="K41" s="119" t="str">
        <f>IFERROR(VLOOKUP(H_Mars[[#This Row],[Service]],Codes[],4,0),"")</f>
        <v/>
      </c>
      <c r="L41" s="49">
        <f>IF(H_Mars[[#This Row],[PNP Début]]=0,0,IF(H_Mars[[#This Row],[PNP Début]]&lt;H_Mars[[#This Row],[début]],1,0)+H_Mars[[#This Row],[PNP Début]])</f>
        <v>0</v>
      </c>
      <c r="M41" s="50">
        <f>IF(H_Mars[[#This Row],[PNP Fin]]=0,0,IF(H_Mars[[#This Row],[PNP Fin]]&lt;H_Mars[[#This Row],[début]],1,0)+H_Mars[[#This Row],[PNP Fin]])</f>
        <v>0</v>
      </c>
      <c r="N41" s="50">
        <f>IF(H_Mars[[#This Row],[Fin]]&lt;H_Mars[[#This Row],[début]],1,0)+H_Mars[[#This Row],[Fin]]</f>
        <v>0</v>
      </c>
      <c r="O41" s="31">
        <f>IF(H_Mars[[#This Row],[Fin]]&lt;H_Mars[[#This Row],[début]],MAX(0,MIN(H_Mars[[#This Row],[Fin corrigée si nuit]],fin_nuit)-MAX(H_Mars[[#This Row],[début]],deb_nuit))*24,(MAX(deb_nuit,H_Mars[[#This Row],[Fin]])-MAX(deb_nuit,H_Mars[[#This Row],[début]])+MAX(MIN(fin_nuit-1,H_Mars[[#This Row],[Fin]])-MIN(fin_nuit-1,H_Mars[[#This Row],[début]]),0))*24)</f>
        <v>0</v>
      </c>
      <c r="P41" s="51">
        <f>(MAX(0,MIN(H_Mars[[#This Row],[Fin corrigée si nuit]],fin_nuit)-MAX(H_Mars[[#This Row],[début]],deb_nuit))-IF(H_Mars[[#This Row],[PNP Début]]=0,0,MIN(H_Mars[[#This Row],[PNP Fin corrigée]],fin_nuit)-MAX(H_Mars[[#This Row],[PNP Début corrigé]],deb_nuit)))*24</f>
        <v>0</v>
      </c>
      <c r="Q41" s="51">
        <f>(IF(WEEKDAY(H_Mars[[#This Row],[Date]],2)=7,MAX(0,MIN(fin_dimJF,H_Mars[[#This Row],[Fin corrigée si nuit]])-MAX(deb_dimJF,H_Mars[[#This Row],[début]])),0)+IF(WEEKDAY(H_Mars[[#This Row],[Date]],2)=6,MAX(0,H_Mars[[#This Row],[Fin corrigée si nuit]]-(1+deb_dimJF)),0))*24</f>
        <v>0</v>
      </c>
      <c r="R41"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1" s="51">
        <f>(IF(COUNTIF(JF,H_Mars[[#This Row],[Date]]),MAX(0,MIN(fin_dimJF,H_Mars[[#This Row],[Fin corrigée si nuit]])-MAX(deb_dimJF,H_Mars[[#This Row],[début]])),0)+IF(COUNTIF(JF,H_Mars[[#This Row],[Date]]+1),MAX(0,H_Mars[[#This Row],[Fin corrigée si nuit]]-(1+deb_dimJF)),0))*24</f>
        <v>0</v>
      </c>
      <c r="T41"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2" spans="1:20" x14ac:dyDescent="0.3">
      <c r="A42" s="4"/>
      <c r="B42" s="1"/>
      <c r="C42" s="2"/>
      <c r="D42" s="2"/>
      <c r="E42" s="3"/>
      <c r="F42" s="3"/>
      <c r="G42" s="3"/>
      <c r="H42" s="3"/>
      <c r="I42" s="47">
        <f>0.1*(H_Mars[[#This Row],[Heures de nuit]]+IF(H_Mars[[#This Row],[majoration dim &amp; JF]]="non",0,H_Mars[[#This Row],[heures jour dimanche]]+H_Mars[[#This Row],[heures jour fériés]]))</f>
        <v>0</v>
      </c>
      <c r="J42" s="48">
        <f>(MOD(H_Mars[[#This Row],[Fin]]-H_Mars[[#This Row],[début]],1)-MOD(H_Mars[[#This Row],[PNP Fin]]-H_Mars[[#This Row],[PNP Début]],1))*24</f>
        <v>0</v>
      </c>
      <c r="K42" s="119" t="str">
        <f>IFERROR(VLOOKUP(H_Mars[[#This Row],[Service]],Codes[],4,0),"")</f>
        <v/>
      </c>
      <c r="L42" s="49">
        <f>IF(H_Mars[[#This Row],[PNP Début]]=0,0,IF(H_Mars[[#This Row],[PNP Début]]&lt;H_Mars[[#This Row],[début]],1,0)+H_Mars[[#This Row],[PNP Début]])</f>
        <v>0</v>
      </c>
      <c r="M42" s="50">
        <f>IF(H_Mars[[#This Row],[PNP Fin]]=0,0,IF(H_Mars[[#This Row],[PNP Fin]]&lt;H_Mars[[#This Row],[début]],1,0)+H_Mars[[#This Row],[PNP Fin]])</f>
        <v>0</v>
      </c>
      <c r="N42" s="50">
        <f>IF(H_Mars[[#This Row],[Fin]]&lt;H_Mars[[#This Row],[début]],1,0)+H_Mars[[#This Row],[Fin]]</f>
        <v>0</v>
      </c>
      <c r="O42" s="31">
        <f>IF(H_Mars[[#This Row],[Fin]]&lt;H_Mars[[#This Row],[début]],MAX(0,MIN(H_Mars[[#This Row],[Fin corrigée si nuit]],fin_nuit)-MAX(H_Mars[[#This Row],[début]],deb_nuit))*24,(MAX(deb_nuit,H_Mars[[#This Row],[Fin]])-MAX(deb_nuit,H_Mars[[#This Row],[début]])+MAX(MIN(fin_nuit-1,H_Mars[[#This Row],[Fin]])-MIN(fin_nuit-1,H_Mars[[#This Row],[début]]),0))*24)</f>
        <v>0</v>
      </c>
      <c r="P42" s="51">
        <f>(MAX(0,MIN(H_Mars[[#This Row],[Fin corrigée si nuit]],fin_nuit)-MAX(H_Mars[[#This Row],[début]],deb_nuit))-IF(H_Mars[[#This Row],[PNP Début]]=0,0,MIN(H_Mars[[#This Row],[PNP Fin corrigée]],fin_nuit)-MAX(H_Mars[[#This Row],[PNP Début corrigé]],deb_nuit)))*24</f>
        <v>0</v>
      </c>
      <c r="Q42" s="51">
        <f>(IF(WEEKDAY(H_Mars[[#This Row],[Date]],2)=7,MAX(0,MIN(fin_dimJF,H_Mars[[#This Row],[Fin corrigée si nuit]])-MAX(deb_dimJF,H_Mars[[#This Row],[début]])),0)+IF(WEEKDAY(H_Mars[[#This Row],[Date]],2)=6,MAX(0,H_Mars[[#This Row],[Fin corrigée si nuit]]-(1+deb_dimJF)),0))*24</f>
        <v>0</v>
      </c>
      <c r="R42"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2" s="51">
        <f>(IF(COUNTIF(JF,H_Mars[[#This Row],[Date]]),MAX(0,MIN(fin_dimJF,H_Mars[[#This Row],[Fin corrigée si nuit]])-MAX(deb_dimJF,H_Mars[[#This Row],[début]])),0)+IF(COUNTIF(JF,H_Mars[[#This Row],[Date]]+1),MAX(0,H_Mars[[#This Row],[Fin corrigée si nuit]]-(1+deb_dimJF)),0))*24</f>
        <v>0</v>
      </c>
      <c r="T42"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3" spans="1:20" x14ac:dyDescent="0.3">
      <c r="A43" s="4"/>
      <c r="B43" s="1"/>
      <c r="C43" s="2"/>
      <c r="D43" s="2"/>
      <c r="E43" s="3"/>
      <c r="F43" s="3"/>
      <c r="G43" s="3"/>
      <c r="H43" s="3"/>
      <c r="I43" s="47">
        <f>0.1*(H_Mars[[#This Row],[Heures de nuit]]+IF(H_Mars[[#This Row],[majoration dim &amp; JF]]="non",0,H_Mars[[#This Row],[heures jour dimanche]]+H_Mars[[#This Row],[heures jour fériés]]))</f>
        <v>0</v>
      </c>
      <c r="J43" s="48">
        <f>(MOD(H_Mars[[#This Row],[Fin]]-H_Mars[[#This Row],[début]],1)-MOD(H_Mars[[#This Row],[PNP Fin]]-H_Mars[[#This Row],[PNP Début]],1))*24</f>
        <v>0</v>
      </c>
      <c r="K43" s="119" t="str">
        <f>IFERROR(VLOOKUP(H_Mars[[#This Row],[Service]],Codes[],4,0),"")</f>
        <v/>
      </c>
      <c r="L43" s="49">
        <f>IF(H_Mars[[#This Row],[PNP Début]]=0,0,IF(H_Mars[[#This Row],[PNP Début]]&lt;H_Mars[[#This Row],[début]],1,0)+H_Mars[[#This Row],[PNP Début]])</f>
        <v>0</v>
      </c>
      <c r="M43" s="50">
        <f>IF(H_Mars[[#This Row],[PNP Fin]]=0,0,IF(H_Mars[[#This Row],[PNP Fin]]&lt;H_Mars[[#This Row],[début]],1,0)+H_Mars[[#This Row],[PNP Fin]])</f>
        <v>0</v>
      </c>
      <c r="N43" s="50">
        <f>IF(H_Mars[[#This Row],[Fin]]&lt;H_Mars[[#This Row],[début]],1,0)+H_Mars[[#This Row],[Fin]]</f>
        <v>0</v>
      </c>
      <c r="O43" s="31">
        <f>IF(H_Mars[[#This Row],[Fin]]&lt;H_Mars[[#This Row],[début]],MAX(0,MIN(H_Mars[[#This Row],[Fin corrigée si nuit]],fin_nuit)-MAX(H_Mars[[#This Row],[début]],deb_nuit))*24,(MAX(deb_nuit,H_Mars[[#This Row],[Fin]])-MAX(deb_nuit,H_Mars[[#This Row],[début]])+MAX(MIN(fin_nuit-1,H_Mars[[#This Row],[Fin]])-MIN(fin_nuit-1,H_Mars[[#This Row],[début]]),0))*24)</f>
        <v>0</v>
      </c>
      <c r="P43" s="51">
        <f>(MAX(0,MIN(H_Mars[[#This Row],[Fin corrigée si nuit]],fin_nuit)-MAX(H_Mars[[#This Row],[début]],deb_nuit))-IF(H_Mars[[#This Row],[PNP Début]]=0,0,MIN(H_Mars[[#This Row],[PNP Fin corrigée]],fin_nuit)-MAX(H_Mars[[#This Row],[PNP Début corrigé]],deb_nuit)))*24</f>
        <v>0</v>
      </c>
      <c r="Q43" s="51">
        <f>(IF(WEEKDAY(H_Mars[[#This Row],[Date]],2)=7,MAX(0,MIN(fin_dimJF,H_Mars[[#This Row],[Fin corrigée si nuit]])-MAX(deb_dimJF,H_Mars[[#This Row],[début]])),0)+IF(WEEKDAY(H_Mars[[#This Row],[Date]],2)=6,MAX(0,H_Mars[[#This Row],[Fin corrigée si nuit]]-(1+deb_dimJF)),0))*24</f>
        <v>0</v>
      </c>
      <c r="R43"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3" s="51">
        <f>(IF(COUNTIF(JF,H_Mars[[#This Row],[Date]]),MAX(0,MIN(fin_dimJF,H_Mars[[#This Row],[Fin corrigée si nuit]])-MAX(deb_dimJF,H_Mars[[#This Row],[début]])),0)+IF(COUNTIF(JF,H_Mars[[#This Row],[Date]]+1),MAX(0,H_Mars[[#This Row],[Fin corrigée si nuit]]-(1+deb_dimJF)),0))*24</f>
        <v>0</v>
      </c>
      <c r="T43"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4" spans="1:20" x14ac:dyDescent="0.3">
      <c r="A44" s="4"/>
      <c r="B44" s="1"/>
      <c r="C44" s="2"/>
      <c r="D44" s="2"/>
      <c r="E44" s="3"/>
      <c r="F44" s="3"/>
      <c r="G44" s="3"/>
      <c r="H44" s="3"/>
      <c r="I44" s="47">
        <f>0.1*(H_Mars[[#This Row],[Heures de nuit]]+IF(H_Mars[[#This Row],[majoration dim &amp; JF]]="non",0,H_Mars[[#This Row],[heures jour dimanche]]+H_Mars[[#This Row],[heures jour fériés]]))</f>
        <v>0</v>
      </c>
      <c r="J44" s="48">
        <f>(MOD(H_Mars[[#This Row],[Fin]]-H_Mars[[#This Row],[début]],1)-MOD(H_Mars[[#This Row],[PNP Fin]]-H_Mars[[#This Row],[PNP Début]],1))*24</f>
        <v>0</v>
      </c>
      <c r="K44" s="119" t="str">
        <f>IFERROR(VLOOKUP(H_Mars[[#This Row],[Service]],Codes[],4,0),"")</f>
        <v/>
      </c>
      <c r="L44" s="49">
        <f>IF(H_Mars[[#This Row],[PNP Début]]=0,0,IF(H_Mars[[#This Row],[PNP Début]]&lt;H_Mars[[#This Row],[début]],1,0)+H_Mars[[#This Row],[PNP Début]])</f>
        <v>0</v>
      </c>
      <c r="M44" s="50">
        <f>IF(H_Mars[[#This Row],[PNP Fin]]=0,0,IF(H_Mars[[#This Row],[PNP Fin]]&lt;H_Mars[[#This Row],[début]],1,0)+H_Mars[[#This Row],[PNP Fin]])</f>
        <v>0</v>
      </c>
      <c r="N44" s="50">
        <f>IF(H_Mars[[#This Row],[Fin]]&lt;H_Mars[[#This Row],[début]],1,0)+H_Mars[[#This Row],[Fin]]</f>
        <v>0</v>
      </c>
      <c r="O44" s="31">
        <f>IF(H_Mars[[#This Row],[Fin]]&lt;H_Mars[[#This Row],[début]],MAX(0,MIN(H_Mars[[#This Row],[Fin corrigée si nuit]],fin_nuit)-MAX(H_Mars[[#This Row],[début]],deb_nuit))*24,(MAX(deb_nuit,H_Mars[[#This Row],[Fin]])-MAX(deb_nuit,H_Mars[[#This Row],[début]])+MAX(MIN(fin_nuit-1,H_Mars[[#This Row],[Fin]])-MIN(fin_nuit-1,H_Mars[[#This Row],[début]]),0))*24)</f>
        <v>0</v>
      </c>
      <c r="P44" s="51">
        <f>(MAX(0,MIN(H_Mars[[#This Row],[Fin corrigée si nuit]],fin_nuit)-MAX(H_Mars[[#This Row],[début]],deb_nuit))-IF(H_Mars[[#This Row],[PNP Début]]=0,0,MIN(H_Mars[[#This Row],[PNP Fin corrigée]],fin_nuit)-MAX(H_Mars[[#This Row],[PNP Début corrigé]],deb_nuit)))*24</f>
        <v>0</v>
      </c>
      <c r="Q44" s="51">
        <f>(IF(WEEKDAY(H_Mars[[#This Row],[Date]],2)=7,MAX(0,MIN(fin_dimJF,H_Mars[[#This Row],[Fin corrigée si nuit]])-MAX(deb_dimJF,H_Mars[[#This Row],[début]])),0)+IF(WEEKDAY(H_Mars[[#This Row],[Date]],2)=6,MAX(0,H_Mars[[#This Row],[Fin corrigée si nuit]]-(1+deb_dimJF)),0))*24</f>
        <v>0</v>
      </c>
      <c r="R44"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4" s="51">
        <f>(IF(COUNTIF(JF,H_Mars[[#This Row],[Date]]),MAX(0,MIN(fin_dimJF,H_Mars[[#This Row],[Fin corrigée si nuit]])-MAX(deb_dimJF,H_Mars[[#This Row],[début]])),0)+IF(COUNTIF(JF,H_Mars[[#This Row],[Date]]+1),MAX(0,H_Mars[[#This Row],[Fin corrigée si nuit]]-(1+deb_dimJF)),0))*24</f>
        <v>0</v>
      </c>
      <c r="T44"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5" spans="1:20" x14ac:dyDescent="0.3">
      <c r="A45" s="4"/>
      <c r="B45" s="1"/>
      <c r="C45" s="2"/>
      <c r="D45" s="2"/>
      <c r="E45" s="3"/>
      <c r="F45" s="3"/>
      <c r="G45" s="3"/>
      <c r="H45" s="3"/>
      <c r="I45" s="47">
        <f>0.1*(H_Mars[[#This Row],[Heures de nuit]]+IF(H_Mars[[#This Row],[majoration dim &amp; JF]]="non",0,H_Mars[[#This Row],[heures jour dimanche]]+H_Mars[[#This Row],[heures jour fériés]]))</f>
        <v>0</v>
      </c>
      <c r="J45" s="48">
        <f>(MOD(H_Mars[[#This Row],[Fin]]-H_Mars[[#This Row],[début]],1)-MOD(H_Mars[[#This Row],[PNP Fin]]-H_Mars[[#This Row],[PNP Début]],1))*24</f>
        <v>0</v>
      </c>
      <c r="K45" s="119" t="str">
        <f>IFERROR(VLOOKUP(H_Mars[[#This Row],[Service]],Codes[],4,0),"")</f>
        <v/>
      </c>
      <c r="L45" s="49">
        <f>IF(H_Mars[[#This Row],[PNP Début]]=0,0,IF(H_Mars[[#This Row],[PNP Début]]&lt;H_Mars[[#This Row],[début]],1,0)+H_Mars[[#This Row],[PNP Début]])</f>
        <v>0</v>
      </c>
      <c r="M45" s="50">
        <f>IF(H_Mars[[#This Row],[PNP Fin]]=0,0,IF(H_Mars[[#This Row],[PNP Fin]]&lt;H_Mars[[#This Row],[début]],1,0)+H_Mars[[#This Row],[PNP Fin]])</f>
        <v>0</v>
      </c>
      <c r="N45" s="50">
        <f>IF(H_Mars[[#This Row],[Fin]]&lt;H_Mars[[#This Row],[début]],1,0)+H_Mars[[#This Row],[Fin]]</f>
        <v>0</v>
      </c>
      <c r="O45" s="31">
        <f>IF(H_Mars[[#This Row],[Fin]]&lt;H_Mars[[#This Row],[début]],MAX(0,MIN(H_Mars[[#This Row],[Fin corrigée si nuit]],fin_nuit)-MAX(H_Mars[[#This Row],[début]],deb_nuit))*24,(MAX(deb_nuit,H_Mars[[#This Row],[Fin]])-MAX(deb_nuit,H_Mars[[#This Row],[début]])+MAX(MIN(fin_nuit-1,H_Mars[[#This Row],[Fin]])-MIN(fin_nuit-1,H_Mars[[#This Row],[début]]),0))*24)</f>
        <v>0</v>
      </c>
      <c r="P45" s="51">
        <f>(MAX(0,MIN(H_Mars[[#This Row],[Fin corrigée si nuit]],fin_nuit)-MAX(H_Mars[[#This Row],[début]],deb_nuit))-IF(H_Mars[[#This Row],[PNP Début]]=0,0,MIN(H_Mars[[#This Row],[PNP Fin corrigée]],fin_nuit)-MAX(H_Mars[[#This Row],[PNP Début corrigé]],deb_nuit)))*24</f>
        <v>0</v>
      </c>
      <c r="Q45" s="51">
        <f>(IF(WEEKDAY(H_Mars[[#This Row],[Date]],2)=7,MAX(0,MIN(fin_dimJF,H_Mars[[#This Row],[Fin corrigée si nuit]])-MAX(deb_dimJF,H_Mars[[#This Row],[début]])),0)+IF(WEEKDAY(H_Mars[[#This Row],[Date]],2)=6,MAX(0,H_Mars[[#This Row],[Fin corrigée si nuit]]-(1+deb_dimJF)),0))*24</f>
        <v>0</v>
      </c>
      <c r="R45"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5" s="51">
        <f>(IF(COUNTIF(JF,H_Mars[[#This Row],[Date]]),MAX(0,MIN(fin_dimJF,H_Mars[[#This Row],[Fin corrigée si nuit]])-MAX(deb_dimJF,H_Mars[[#This Row],[début]])),0)+IF(COUNTIF(JF,H_Mars[[#This Row],[Date]]+1),MAX(0,H_Mars[[#This Row],[Fin corrigée si nuit]]-(1+deb_dimJF)),0))*24</f>
        <v>0</v>
      </c>
      <c r="T45"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6" spans="1:20" x14ac:dyDescent="0.3">
      <c r="A46" s="4"/>
      <c r="B46" s="1"/>
      <c r="C46" s="2"/>
      <c r="D46" s="2"/>
      <c r="E46" s="3"/>
      <c r="F46" s="3"/>
      <c r="G46" s="3"/>
      <c r="H46" s="3"/>
      <c r="I46" s="47">
        <f>0.1*(H_Mars[[#This Row],[Heures de nuit]]+IF(H_Mars[[#This Row],[majoration dim &amp; JF]]="non",0,H_Mars[[#This Row],[heures jour dimanche]]+H_Mars[[#This Row],[heures jour fériés]]))</f>
        <v>0</v>
      </c>
      <c r="J46" s="48">
        <f>(MOD(H_Mars[[#This Row],[Fin]]-H_Mars[[#This Row],[début]],1)-MOD(H_Mars[[#This Row],[PNP Fin]]-H_Mars[[#This Row],[PNP Début]],1))*24</f>
        <v>0</v>
      </c>
      <c r="K46" s="119" t="str">
        <f>IFERROR(VLOOKUP(H_Mars[[#This Row],[Service]],Codes[],4,0),"")</f>
        <v/>
      </c>
      <c r="L46" s="49">
        <f>IF(H_Mars[[#This Row],[PNP Début]]=0,0,IF(H_Mars[[#This Row],[PNP Début]]&lt;H_Mars[[#This Row],[début]],1,0)+H_Mars[[#This Row],[PNP Début]])</f>
        <v>0</v>
      </c>
      <c r="M46" s="50">
        <f>IF(H_Mars[[#This Row],[PNP Fin]]=0,0,IF(H_Mars[[#This Row],[PNP Fin]]&lt;H_Mars[[#This Row],[début]],1,0)+H_Mars[[#This Row],[PNP Fin]])</f>
        <v>0</v>
      </c>
      <c r="N46" s="50">
        <f>IF(H_Mars[[#This Row],[Fin]]&lt;H_Mars[[#This Row],[début]],1,0)+H_Mars[[#This Row],[Fin]]</f>
        <v>0</v>
      </c>
      <c r="O46" s="31">
        <f>IF(H_Mars[[#This Row],[Fin]]&lt;H_Mars[[#This Row],[début]],MAX(0,MIN(H_Mars[[#This Row],[Fin corrigée si nuit]],fin_nuit)-MAX(H_Mars[[#This Row],[début]],deb_nuit))*24,(MAX(deb_nuit,H_Mars[[#This Row],[Fin]])-MAX(deb_nuit,H_Mars[[#This Row],[début]])+MAX(MIN(fin_nuit-1,H_Mars[[#This Row],[Fin]])-MIN(fin_nuit-1,H_Mars[[#This Row],[début]]),0))*24)</f>
        <v>0</v>
      </c>
      <c r="P46" s="51">
        <f>(MAX(0,MIN(H_Mars[[#This Row],[Fin corrigée si nuit]],fin_nuit)-MAX(H_Mars[[#This Row],[début]],deb_nuit))-IF(H_Mars[[#This Row],[PNP Début]]=0,0,MIN(H_Mars[[#This Row],[PNP Fin corrigée]],fin_nuit)-MAX(H_Mars[[#This Row],[PNP Début corrigé]],deb_nuit)))*24</f>
        <v>0</v>
      </c>
      <c r="Q46" s="51">
        <f>(IF(WEEKDAY(H_Mars[[#This Row],[Date]],2)=7,MAX(0,MIN(fin_dimJF,H_Mars[[#This Row],[Fin corrigée si nuit]])-MAX(deb_dimJF,H_Mars[[#This Row],[début]])),0)+IF(WEEKDAY(H_Mars[[#This Row],[Date]],2)=6,MAX(0,H_Mars[[#This Row],[Fin corrigée si nuit]]-(1+deb_dimJF)),0))*24</f>
        <v>0</v>
      </c>
      <c r="R46"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6" s="51">
        <f>(IF(COUNTIF(JF,H_Mars[[#This Row],[Date]]),MAX(0,MIN(fin_dimJF,H_Mars[[#This Row],[Fin corrigée si nuit]])-MAX(deb_dimJF,H_Mars[[#This Row],[début]])),0)+IF(COUNTIF(JF,H_Mars[[#This Row],[Date]]+1),MAX(0,H_Mars[[#This Row],[Fin corrigée si nuit]]-(1+deb_dimJF)),0))*24</f>
        <v>0</v>
      </c>
      <c r="T46"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7" spans="1:20" x14ac:dyDescent="0.3">
      <c r="A47" s="4"/>
      <c r="B47" s="1"/>
      <c r="C47" s="2"/>
      <c r="D47" s="2"/>
      <c r="E47" s="3"/>
      <c r="F47" s="3"/>
      <c r="G47" s="3"/>
      <c r="H47" s="3"/>
      <c r="I47" s="47">
        <f>0.1*(H_Mars[[#This Row],[Heures de nuit]]+IF(H_Mars[[#This Row],[majoration dim &amp; JF]]="non",0,H_Mars[[#This Row],[heures jour dimanche]]+H_Mars[[#This Row],[heures jour fériés]]))</f>
        <v>0</v>
      </c>
      <c r="J47" s="48">
        <f>(MOD(H_Mars[[#This Row],[Fin]]-H_Mars[[#This Row],[début]],1)-MOD(H_Mars[[#This Row],[PNP Fin]]-H_Mars[[#This Row],[PNP Début]],1))*24</f>
        <v>0</v>
      </c>
      <c r="K47" s="119" t="str">
        <f>IFERROR(VLOOKUP(H_Mars[[#This Row],[Service]],Codes[],4,0),"")</f>
        <v/>
      </c>
      <c r="L47" s="49">
        <f>IF(H_Mars[[#This Row],[PNP Début]]=0,0,IF(H_Mars[[#This Row],[PNP Début]]&lt;H_Mars[[#This Row],[début]],1,0)+H_Mars[[#This Row],[PNP Début]])</f>
        <v>0</v>
      </c>
      <c r="M47" s="50">
        <f>IF(H_Mars[[#This Row],[PNP Fin]]=0,0,IF(H_Mars[[#This Row],[PNP Fin]]&lt;H_Mars[[#This Row],[début]],1,0)+H_Mars[[#This Row],[PNP Fin]])</f>
        <v>0</v>
      </c>
      <c r="N47" s="50">
        <f>IF(H_Mars[[#This Row],[Fin]]&lt;H_Mars[[#This Row],[début]],1,0)+H_Mars[[#This Row],[Fin]]</f>
        <v>0</v>
      </c>
      <c r="O47" s="31">
        <f>IF(H_Mars[[#This Row],[Fin]]&lt;H_Mars[[#This Row],[début]],MAX(0,MIN(H_Mars[[#This Row],[Fin corrigée si nuit]],fin_nuit)-MAX(H_Mars[[#This Row],[début]],deb_nuit))*24,(MAX(deb_nuit,H_Mars[[#This Row],[Fin]])-MAX(deb_nuit,H_Mars[[#This Row],[début]])+MAX(MIN(fin_nuit-1,H_Mars[[#This Row],[Fin]])-MIN(fin_nuit-1,H_Mars[[#This Row],[début]]),0))*24)</f>
        <v>0</v>
      </c>
      <c r="P47" s="51">
        <f>(MAX(0,MIN(H_Mars[[#This Row],[Fin corrigée si nuit]],fin_nuit)-MAX(H_Mars[[#This Row],[début]],deb_nuit))-IF(H_Mars[[#This Row],[PNP Début]]=0,0,MIN(H_Mars[[#This Row],[PNP Fin corrigée]],fin_nuit)-MAX(H_Mars[[#This Row],[PNP Début corrigé]],deb_nuit)))*24</f>
        <v>0</v>
      </c>
      <c r="Q47" s="51">
        <f>(IF(WEEKDAY(H_Mars[[#This Row],[Date]],2)=7,MAX(0,MIN(fin_dimJF,H_Mars[[#This Row],[Fin corrigée si nuit]])-MAX(deb_dimJF,H_Mars[[#This Row],[début]])),0)+IF(WEEKDAY(H_Mars[[#This Row],[Date]],2)=6,MAX(0,H_Mars[[#This Row],[Fin corrigée si nuit]]-(1+deb_dimJF)),0))*24</f>
        <v>0</v>
      </c>
      <c r="R47"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7" s="51">
        <f>(IF(COUNTIF(JF,H_Mars[[#This Row],[Date]]),MAX(0,MIN(fin_dimJF,H_Mars[[#This Row],[Fin corrigée si nuit]])-MAX(deb_dimJF,H_Mars[[#This Row],[début]])),0)+IF(COUNTIF(JF,H_Mars[[#This Row],[Date]]+1),MAX(0,H_Mars[[#This Row],[Fin corrigée si nuit]]-(1+deb_dimJF)),0))*24</f>
        <v>0</v>
      </c>
      <c r="T47"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8" spans="1:20" x14ac:dyDescent="0.3">
      <c r="A48" s="4"/>
      <c r="B48" s="1"/>
      <c r="C48" s="2"/>
      <c r="D48" s="2"/>
      <c r="E48" s="3"/>
      <c r="F48" s="3"/>
      <c r="G48" s="3"/>
      <c r="H48" s="3"/>
      <c r="I48" s="47">
        <f>0.1*(H_Mars[[#This Row],[Heures de nuit]]+IF(H_Mars[[#This Row],[majoration dim &amp; JF]]="non",0,H_Mars[[#This Row],[heures jour dimanche]]+H_Mars[[#This Row],[heures jour fériés]]))</f>
        <v>0</v>
      </c>
      <c r="J48" s="48">
        <f>(MOD(H_Mars[[#This Row],[Fin]]-H_Mars[[#This Row],[début]],1)-MOD(H_Mars[[#This Row],[PNP Fin]]-H_Mars[[#This Row],[PNP Début]],1))*24</f>
        <v>0</v>
      </c>
      <c r="K48" s="119" t="str">
        <f>IFERROR(VLOOKUP(H_Mars[[#This Row],[Service]],Codes[],4,0),"")</f>
        <v/>
      </c>
      <c r="L48" s="49">
        <f>IF(H_Mars[[#This Row],[PNP Début]]=0,0,IF(H_Mars[[#This Row],[PNP Début]]&lt;H_Mars[[#This Row],[début]],1,0)+H_Mars[[#This Row],[PNP Début]])</f>
        <v>0</v>
      </c>
      <c r="M48" s="50">
        <f>IF(H_Mars[[#This Row],[PNP Fin]]=0,0,IF(H_Mars[[#This Row],[PNP Fin]]&lt;H_Mars[[#This Row],[début]],1,0)+H_Mars[[#This Row],[PNP Fin]])</f>
        <v>0</v>
      </c>
      <c r="N48" s="50">
        <f>IF(H_Mars[[#This Row],[Fin]]&lt;H_Mars[[#This Row],[début]],1,0)+H_Mars[[#This Row],[Fin]]</f>
        <v>0</v>
      </c>
      <c r="O48" s="31">
        <f>IF(H_Mars[[#This Row],[Fin]]&lt;H_Mars[[#This Row],[début]],MAX(0,MIN(H_Mars[[#This Row],[Fin corrigée si nuit]],fin_nuit)-MAX(H_Mars[[#This Row],[début]],deb_nuit))*24,(MAX(deb_nuit,H_Mars[[#This Row],[Fin]])-MAX(deb_nuit,H_Mars[[#This Row],[début]])+MAX(MIN(fin_nuit-1,H_Mars[[#This Row],[Fin]])-MIN(fin_nuit-1,H_Mars[[#This Row],[début]]),0))*24)</f>
        <v>0</v>
      </c>
      <c r="P48" s="51">
        <f>(MAX(0,MIN(H_Mars[[#This Row],[Fin corrigée si nuit]],fin_nuit)-MAX(H_Mars[[#This Row],[début]],deb_nuit))-IF(H_Mars[[#This Row],[PNP Début]]=0,0,MIN(H_Mars[[#This Row],[PNP Fin corrigée]],fin_nuit)-MAX(H_Mars[[#This Row],[PNP Début corrigé]],deb_nuit)))*24</f>
        <v>0</v>
      </c>
      <c r="Q48" s="51">
        <f>(IF(WEEKDAY(H_Mars[[#This Row],[Date]],2)=7,MAX(0,MIN(fin_dimJF,H_Mars[[#This Row],[Fin corrigée si nuit]])-MAX(deb_dimJF,H_Mars[[#This Row],[début]])),0)+IF(WEEKDAY(H_Mars[[#This Row],[Date]],2)=6,MAX(0,H_Mars[[#This Row],[Fin corrigée si nuit]]-(1+deb_dimJF)),0))*24</f>
        <v>0</v>
      </c>
      <c r="R48"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8" s="51">
        <f>(IF(COUNTIF(JF,H_Mars[[#This Row],[Date]]),MAX(0,MIN(fin_dimJF,H_Mars[[#This Row],[Fin corrigée si nuit]])-MAX(deb_dimJF,H_Mars[[#This Row],[début]])),0)+IF(COUNTIF(JF,H_Mars[[#This Row],[Date]]+1),MAX(0,H_Mars[[#This Row],[Fin corrigée si nuit]]-(1+deb_dimJF)),0))*24</f>
        <v>0</v>
      </c>
      <c r="T48"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49" spans="1:20" ht="15" thickBot="1" x14ac:dyDescent="0.35">
      <c r="A49" s="4"/>
      <c r="B49" s="1"/>
      <c r="C49" s="2"/>
      <c r="D49" s="2"/>
      <c r="E49" s="3"/>
      <c r="F49" s="3"/>
      <c r="G49" s="3"/>
      <c r="H49" s="3"/>
      <c r="I49" s="47">
        <f>0.1*(H_Mars[[#This Row],[Heures de nuit]]+IF(H_Mars[[#This Row],[majoration dim &amp; JF]]="non",0,H_Mars[[#This Row],[heures jour dimanche]]+H_Mars[[#This Row],[heures jour fériés]]))</f>
        <v>0</v>
      </c>
      <c r="J49" s="48">
        <f>(MOD(H_Mars[[#This Row],[Fin]]-H_Mars[[#This Row],[début]],1)-MOD(H_Mars[[#This Row],[PNP Fin]]-H_Mars[[#This Row],[PNP Début]],1))*24</f>
        <v>0</v>
      </c>
      <c r="K49" s="119" t="str">
        <f>IFERROR(VLOOKUP(H_Mars[[#This Row],[Service]],Codes[],4,0),"")</f>
        <v/>
      </c>
      <c r="L49" s="49">
        <f>IF(H_Mars[[#This Row],[PNP Début]]=0,0,IF(H_Mars[[#This Row],[PNP Début]]&lt;H_Mars[[#This Row],[début]],1,0)+H_Mars[[#This Row],[PNP Début]])</f>
        <v>0</v>
      </c>
      <c r="M49" s="50">
        <f>IF(H_Mars[[#This Row],[PNP Fin]]=0,0,IF(H_Mars[[#This Row],[PNP Fin]]&lt;H_Mars[[#This Row],[début]],1,0)+H_Mars[[#This Row],[PNP Fin]])</f>
        <v>0</v>
      </c>
      <c r="N49" s="50">
        <f>IF(H_Mars[[#This Row],[Fin]]&lt;H_Mars[[#This Row],[début]],1,0)+H_Mars[[#This Row],[Fin]]</f>
        <v>0</v>
      </c>
      <c r="O49" s="31">
        <f>IF(H_Mars[[#This Row],[Fin]]&lt;H_Mars[[#This Row],[début]],MAX(0,MIN(H_Mars[[#This Row],[Fin corrigée si nuit]],fin_nuit)-MAX(H_Mars[[#This Row],[début]],deb_nuit))*24,(MAX(deb_nuit,H_Mars[[#This Row],[Fin]])-MAX(deb_nuit,H_Mars[[#This Row],[début]])+MAX(MIN(fin_nuit-1,H_Mars[[#This Row],[Fin]])-MIN(fin_nuit-1,H_Mars[[#This Row],[début]]),0))*24)</f>
        <v>0</v>
      </c>
      <c r="P49" s="51">
        <f>(MAX(0,MIN(H_Mars[[#This Row],[Fin corrigée si nuit]],fin_nuit)-MAX(H_Mars[[#This Row],[début]],deb_nuit))-IF(H_Mars[[#This Row],[PNP Début]]=0,0,MIN(H_Mars[[#This Row],[PNP Fin corrigée]],fin_nuit)-MAX(H_Mars[[#This Row],[PNP Début corrigé]],deb_nuit)))*24</f>
        <v>0</v>
      </c>
      <c r="Q49" s="51">
        <f>(IF(WEEKDAY(H_Mars[[#This Row],[Date]],2)=7,MAX(0,MIN(fin_dimJF,H_Mars[[#This Row],[Fin corrigée si nuit]])-MAX(deb_dimJF,H_Mars[[#This Row],[début]])),0)+IF(WEEKDAY(H_Mars[[#This Row],[Date]],2)=6,MAX(0,H_Mars[[#This Row],[Fin corrigée si nuit]]-(1+deb_dimJF)),0))*24</f>
        <v>0</v>
      </c>
      <c r="R49" s="51">
        <f>(IF(WEEKDAY(H_Mars[[#This Row],[Date]],2)=7,MAX(0,MIN(fin_dimJF,H_Mars[[#This Row],[Fin corrigée si nuit]])-MAX(deb_dimJF,H_Mars[[#This Row],[début]])),0)+IF(WEEKDAY(H_Mars[[#This Row],[Date]],2)=6,MAX(0,H_Mars[[#This Row],[Fin corrigée si nuit]]-(1+deb_dimJF)),0))*24-
(IF(WEEKDAY(H_Mars[[#This Row],[Date]],2)=7,MAX(0,MIN(fin_dimJF,H_Mars[[#This Row],[PNP Fin corrigée]])-MAX(deb_dimJF,H_Mars[[#This Row],[PNP Début corrigé]])),0)+IF(WEEKDAY(H_Mars[[#This Row],[Date]],2)=6,MAX(0,H_Mars[[#This Row],[PNP Fin corrigée]]-(1+deb_dimJF)),0))*24</f>
        <v>0</v>
      </c>
      <c r="S49" s="51">
        <f>(IF(COUNTIF(JF,H_Mars[[#This Row],[Date]]),MAX(0,MIN(fin_dimJF,H_Mars[[#This Row],[Fin corrigée si nuit]])-MAX(deb_dimJF,H_Mars[[#This Row],[début]])),0)+IF(COUNTIF(JF,H_Mars[[#This Row],[Date]]+1),MAX(0,H_Mars[[#This Row],[Fin corrigée si nuit]]-(1+deb_dimJF)),0))*24</f>
        <v>0</v>
      </c>
      <c r="T49" s="51">
        <f>(IF(COUNTIF(JF,H_Mars[[#This Row],[Date]]),MAX(0,MIN(fin_dimJF,H_Mars[[#This Row],[Fin corrigée si nuit]])-MAX(deb_dimJF,H_Mars[[#This Row],[début]])),0)+IF(COUNTIF(JF,H_Mars[[#This Row],[Date]]+1),MAX(0,H_Mars[[#This Row],[Fin corrigée si nuit]]-(1+deb_dimJF)),0))*24-
(IF(COUNTIF(JF,H_Mars[[#This Row],[Date]]),MAX(0,MIN(fin_dimJF,H_Mars[[#This Row],[PNP Fin corrigée]])-MAX(deb_dimJF,H_Mars[[#This Row],[PNP Début corrigé]])),0)+IF(COUNTIF(JF,H_Mars[[#This Row],[Date]]+1),MAX(0,H_Mars[[#This Row],[PNP Fin corrigée]]-(1+deb_dimJF)),0))*24</f>
        <v>0</v>
      </c>
    </row>
    <row r="50" spans="1:20" ht="16.2" thickBot="1" x14ac:dyDescent="0.35">
      <c r="A50" s="52"/>
      <c r="B50" s="15"/>
      <c r="C50" s="15"/>
      <c r="D50" s="15"/>
      <c r="E50" s="144" t="s">
        <v>29</v>
      </c>
      <c r="F50" s="145"/>
      <c r="G50" s="145"/>
      <c r="H50" s="146"/>
      <c r="I50" s="53">
        <f>SUM(H_Mars[Majoration])</f>
        <v>0</v>
      </c>
      <c r="J50" s="54">
        <f>SUM(H_Mars[Heures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259" priority="1">
      <formula>$K13="non"</formula>
    </cfRule>
  </conditionalFormatting>
  <dataValidations count="3">
    <dataValidation allowBlank="1" showInputMessage="1" showErrorMessage="1" error="Tapez les heures sous le format_x000a_00:00" sqref="L12:O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J5:K5">
      <formula1>42736</formula1>
    </dataValidation>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6145" r:id="rId4" name="CommandButton1">
          <controlPr defaultSize="0" print="0" autoLine="0" r:id="rId5">
            <anchor moveWithCells="1">
              <from>
                <xdr:col>9</xdr:col>
                <xdr:colOff>472440</xdr:colOff>
                <xdr:row>0</xdr:row>
                <xdr:rowOff>99060</xdr:rowOff>
              </from>
              <to>
                <xdr:col>9</xdr:col>
                <xdr:colOff>1264920</xdr:colOff>
                <xdr:row>3</xdr:row>
                <xdr:rowOff>213360</xdr:rowOff>
              </to>
            </anchor>
          </controlPr>
        </control>
      </mc:Choice>
      <mc:Fallback>
        <control shapeId="6145"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Z60"/>
  <sheetViews>
    <sheetView zoomScale="80" zoomScaleNormal="80" zoomScalePageLayoutView="70" workbookViewId="0">
      <selection activeCell="B21" sqref="B21"/>
    </sheetView>
  </sheetViews>
  <sheetFormatPr baseColWidth="10" defaultRowHeight="14.4" x14ac:dyDescent="0.3"/>
  <cols>
    <col min="1" max="1" width="19.8867187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4.554687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Avril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0.1*(H_Avr[[#This Row],[Heures de nuit]]+IF(H_Avr[[#This Row],[majoration dim &amp; JF]]="non",0,H_Avr[[#This Row],[heures jour dimanche]]+H_Avr[[#This Row],[heures jour fériés]]))</f>
        <v>0</v>
      </c>
      <c r="J13" s="29">
        <f>(MOD(H_Avr[[#This Row],[Fin]]-H_Avr[[#This Row],[début]],1)-MOD(H_Avr[[#This Row],[PNP Fin]]-H_Avr[[#This Row],[PNP Début]],1))*24</f>
        <v>0</v>
      </c>
      <c r="K13" s="29" t="str">
        <f>IFERROR(VLOOKUP(H_Avr[[#This Row],[Service]],Codes[],4,0),"")</f>
        <v/>
      </c>
      <c r="L13" s="30">
        <f>IF(H_Avr[[#This Row],[PNP Début]]=0,0,IF(H_Avr[[#This Row],[PNP Début]]&lt;H_Avr[[#This Row],[début]],1,0)+H_Avr[[#This Row],[PNP Début]])</f>
        <v>0</v>
      </c>
      <c r="M13" s="30">
        <f>IF(H_Avr[[#This Row],[PNP Fin]]=0,0,IF(H_Avr[[#This Row],[PNP Fin]]&lt;H_Avr[[#This Row],[début]],1,0)+H_Avr[[#This Row],[PNP Fin]])</f>
        <v>0</v>
      </c>
      <c r="N13" s="30">
        <f>IF(H_Avr[[#This Row],[Fin]]&lt;H_Avr[[#This Row],[début]],1,0)+H_Avr[[#This Row],[Fin]]</f>
        <v>0</v>
      </c>
      <c r="O13" s="31">
        <f>IF(H_Avr[[#This Row],[Fin]]&lt;H_Avr[[#This Row],[début]],MAX(0,MIN(H_Avr[[#This Row],[Fin corrigée si nuit]],fin_nuit)-MAX(H_Avr[[#This Row],[début]],deb_nuit))*24,(MAX(deb_nuit,H_Avr[[#This Row],[Fin]])-MAX(deb_nuit,H_Avr[[#This Row],[début]])+MAX(MIN(fin_nuit-1,H_Avr[[#This Row],[Fin]])-MIN(fin_nuit-1,H_Avr[[#This Row],[début]]),0))*24)</f>
        <v>0</v>
      </c>
      <c r="P13" s="31">
        <f>(MAX(0,MIN(H_Avr[[#This Row],[Fin corrigée si nuit]],fin_nuit)-MAX(H_Avr[[#This Row],[début]],deb_nuit))-IF(H_Avr[[#This Row],[PNP Début]]=0,0,MIN(H_Avr[[#This Row],[PNP Fin corrigée]],fin_nuit)-MAX(H_Avr[[#This Row],[PNP Début corrigé]],deb_nuit)))*24</f>
        <v>0</v>
      </c>
      <c r="Q13" s="31">
        <f>(IF(WEEKDAY(H_Avr[[#This Row],[Date]],2)=7,MAX(0,MIN(fin_dimJF,H_Avr[[#This Row],[Fin corrigée si nuit]])-MAX(deb_dimJF,H_Avr[[#This Row],[début]])),0)+IF(WEEKDAY(H_Avr[[#This Row],[Date]],2)=6,MAX(0,H_Avr[[#This Row],[Fin corrigée si nuit]]-(1+deb_dimJF)),0))*24</f>
        <v>0</v>
      </c>
      <c r="R13" s="3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13" s="32">
        <f>(IF(COUNTIF(JF,H_Avr[[#This Row],[Date]]),MAX(0,MIN(fin_dimJF,H_Avr[[#This Row],[Fin corrigée si nuit]])-MAX(deb_dimJF,H_Avr[[#This Row],[début]])),0)+IF(COUNTIF(JF,H_Avr[[#This Row],[Date]]+1),MAX(0,H_Avr[[#This Row],[Fin corrigée si nuit]]-(1+deb_dimJF)),0))*24</f>
        <v>0</v>
      </c>
      <c r="T13" s="32">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c r="V13" s="124"/>
      <c r="W13" s="124"/>
      <c r="X13" s="124"/>
      <c r="Y13" s="124"/>
      <c r="Z13" s="124"/>
    </row>
    <row r="14" spans="1:26" x14ac:dyDescent="0.3">
      <c r="A14" s="4"/>
      <c r="B14" s="1"/>
      <c r="C14" s="113"/>
      <c r="D14" s="113"/>
      <c r="E14" s="3"/>
      <c r="F14" s="3"/>
      <c r="G14" s="3"/>
      <c r="H14" s="3"/>
      <c r="I14" s="28">
        <f>0.1*(H_Avr[[#This Row],[Heures de nuit]]+IF(H_Avr[[#This Row],[majoration dim &amp; JF]]="non",0,H_Avr[[#This Row],[heures jour dimanche]]+H_Avr[[#This Row],[heures jour fériés]]))</f>
        <v>0</v>
      </c>
      <c r="J14" s="29">
        <f>(MOD(H_Avr[[#This Row],[Fin]]-H_Avr[[#This Row],[début]],1)-MOD(H_Avr[[#This Row],[PNP Fin]]-H_Avr[[#This Row],[PNP Début]],1))*24</f>
        <v>0</v>
      </c>
      <c r="K14" s="29" t="str">
        <f>IFERROR(VLOOKUP(H_Avr[[#This Row],[Service]],Codes[],4,0),"")</f>
        <v/>
      </c>
      <c r="L14" s="30">
        <f>IF(H_Avr[[#This Row],[PNP Début]]=0,0,IF(H_Avr[[#This Row],[PNP Début]]&lt;H_Avr[[#This Row],[début]],1,0)+H_Avr[[#This Row],[PNP Début]])</f>
        <v>0</v>
      </c>
      <c r="M14" s="30">
        <f>IF(H_Avr[[#This Row],[PNP Fin]]=0,0,IF(H_Avr[[#This Row],[PNP Fin]]&lt;H_Avr[[#This Row],[début]],1,0)+H_Avr[[#This Row],[PNP Fin]])</f>
        <v>0</v>
      </c>
      <c r="N14" s="30">
        <f>IF(H_Avr[[#This Row],[Fin]]&lt;H_Avr[[#This Row],[début]],1,0)+H_Avr[[#This Row],[Fin]]</f>
        <v>0</v>
      </c>
      <c r="O14" s="31">
        <f>IF(H_Avr[[#This Row],[Fin]]&lt;H_Avr[[#This Row],[début]],MAX(0,MIN(H_Avr[[#This Row],[Fin corrigée si nuit]],fin_nuit)-MAX(H_Avr[[#This Row],[début]],deb_nuit))*24,(MAX(deb_nuit,H_Avr[[#This Row],[Fin]])-MAX(deb_nuit,H_Avr[[#This Row],[début]])+MAX(MIN(fin_nuit-1,H_Avr[[#This Row],[Fin]])-MIN(fin_nuit-1,H_Avr[[#This Row],[début]]),0))*24)</f>
        <v>0</v>
      </c>
      <c r="P14" s="31">
        <f>(MAX(0,MIN(H_Avr[[#This Row],[Fin corrigée si nuit]],fin_nuit)-MAX(H_Avr[[#This Row],[début]],deb_nuit))-IF(H_Avr[[#This Row],[PNP Début]]=0,0,MIN(H_Avr[[#This Row],[PNP Fin corrigée]],fin_nuit)-MAX(H_Avr[[#This Row],[PNP Début corrigé]],deb_nuit)))*24</f>
        <v>0</v>
      </c>
      <c r="Q14" s="31">
        <f>(IF(WEEKDAY(H_Avr[[#This Row],[Date]],2)=7,MAX(0,MIN(fin_dimJF,H_Avr[[#This Row],[Fin corrigée si nuit]])-MAX(deb_dimJF,H_Avr[[#This Row],[début]])),0)+IF(WEEKDAY(H_Avr[[#This Row],[Date]],2)=6,MAX(0,H_Avr[[#This Row],[Fin corrigée si nuit]]-(1+deb_dimJF)),0))*24</f>
        <v>0</v>
      </c>
      <c r="R14" s="3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14" s="32">
        <f>(IF(COUNTIF(JF,H_Avr[[#This Row],[Date]]),MAX(0,MIN(fin_dimJF,H_Avr[[#This Row],[Fin corrigée si nuit]])-MAX(deb_dimJF,H_Avr[[#This Row],[début]])),0)+IF(COUNTIF(JF,H_Avr[[#This Row],[Date]]+1),MAX(0,H_Avr[[#This Row],[Fin corrigée si nuit]]-(1+deb_dimJF)),0))*24</f>
        <v>0</v>
      </c>
      <c r="T14" s="32">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c r="V14" s="124"/>
      <c r="W14" s="124"/>
      <c r="X14" s="124"/>
      <c r="Y14" s="124"/>
      <c r="Z14" s="124"/>
    </row>
    <row r="15" spans="1:26" x14ac:dyDescent="0.3">
      <c r="A15" s="4"/>
      <c r="B15" s="1"/>
      <c r="C15" s="2"/>
      <c r="D15" s="2"/>
      <c r="E15" s="3"/>
      <c r="F15" s="3"/>
      <c r="G15" s="3"/>
      <c r="H15" s="3"/>
      <c r="I15" s="28">
        <f>0.1*(H_Avr[[#This Row],[Heures de nuit]]+IF(H_Avr[[#This Row],[majoration dim &amp; JF]]="non",0,H_Avr[[#This Row],[heures jour dimanche]]+H_Avr[[#This Row],[heures jour fériés]]))</f>
        <v>0</v>
      </c>
      <c r="J15" s="29">
        <f>(MOD(H_Avr[[#This Row],[Fin]]-H_Avr[[#This Row],[début]],1)-MOD(H_Avr[[#This Row],[PNP Fin]]-H_Avr[[#This Row],[PNP Début]],1))*24</f>
        <v>0</v>
      </c>
      <c r="K15" s="29" t="str">
        <f>IFERROR(VLOOKUP(H_Avr[[#This Row],[Service]],Codes[],4,0),"")</f>
        <v/>
      </c>
      <c r="L15" s="30">
        <f>IF(H_Avr[[#This Row],[PNP Début]]=0,0,IF(H_Avr[[#This Row],[PNP Début]]&lt;H_Avr[[#This Row],[début]],1,0)+H_Avr[[#This Row],[PNP Début]])</f>
        <v>0</v>
      </c>
      <c r="M15" s="30">
        <f>IF(H_Avr[[#This Row],[PNP Fin]]=0,0,IF(H_Avr[[#This Row],[PNP Fin]]&lt;H_Avr[[#This Row],[début]],1,0)+H_Avr[[#This Row],[PNP Fin]])</f>
        <v>0</v>
      </c>
      <c r="N15" s="30">
        <f>IF(H_Avr[[#This Row],[Fin]]&lt;H_Avr[[#This Row],[début]],1,0)+H_Avr[[#This Row],[Fin]]</f>
        <v>0</v>
      </c>
      <c r="O15" s="31">
        <f>IF(H_Avr[[#This Row],[Fin]]&lt;H_Avr[[#This Row],[début]],MAX(0,MIN(H_Avr[[#This Row],[Fin corrigée si nuit]],fin_nuit)-MAX(H_Avr[[#This Row],[début]],deb_nuit))*24,(MAX(deb_nuit,H_Avr[[#This Row],[Fin]])-MAX(deb_nuit,H_Avr[[#This Row],[début]])+MAX(MIN(fin_nuit-1,H_Avr[[#This Row],[Fin]])-MIN(fin_nuit-1,H_Avr[[#This Row],[début]]),0))*24)</f>
        <v>0</v>
      </c>
      <c r="P15" s="31">
        <f>(MAX(0,MIN(H_Avr[[#This Row],[Fin corrigée si nuit]],fin_nuit)-MAX(H_Avr[[#This Row],[début]],deb_nuit))-IF(H_Avr[[#This Row],[PNP Début]]=0,0,MIN(H_Avr[[#This Row],[PNP Fin corrigée]],fin_nuit)-MAX(H_Avr[[#This Row],[PNP Début corrigé]],deb_nuit)))*24</f>
        <v>0</v>
      </c>
      <c r="Q15" s="31">
        <f>(IF(WEEKDAY(H_Avr[[#This Row],[Date]],2)=7,MAX(0,MIN(fin_dimJF,H_Avr[[#This Row],[Fin corrigée si nuit]])-MAX(deb_dimJF,H_Avr[[#This Row],[début]])),0)+IF(WEEKDAY(H_Avr[[#This Row],[Date]],2)=6,MAX(0,H_Avr[[#This Row],[Fin corrigée si nuit]]-(1+deb_dimJF)),0))*24</f>
        <v>0</v>
      </c>
      <c r="R15" s="3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15" s="32">
        <f>(IF(COUNTIF(JF,H_Avr[[#This Row],[Date]]),MAX(0,MIN(fin_dimJF,H_Avr[[#This Row],[Fin corrigée si nuit]])-MAX(deb_dimJF,H_Avr[[#This Row],[début]])),0)+IF(COUNTIF(JF,H_Avr[[#This Row],[Date]]+1),MAX(0,H_Avr[[#This Row],[Fin corrigée si nuit]]-(1+deb_dimJF)),0))*24</f>
        <v>0</v>
      </c>
      <c r="T15" s="32">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0.1*(H_Avr[[#This Row],[Heures de nuit]]+IF(H_Avr[[#This Row],[majoration dim &amp; JF]]="non",0,H_Avr[[#This Row],[heures jour dimanche]]+H_Avr[[#This Row],[heures jour fériés]]))</f>
        <v>0</v>
      </c>
      <c r="J16" s="29">
        <f>(MOD(H_Avr[[#This Row],[Fin]]-H_Avr[[#This Row],[début]],1)-MOD(H_Avr[[#This Row],[PNP Fin]]-H_Avr[[#This Row],[PNP Début]],1))*24</f>
        <v>0</v>
      </c>
      <c r="K16" s="33" t="str">
        <f>IFERROR(VLOOKUP(H_Avr[[#This Row],[Service]],Codes[],4,0),"")</f>
        <v/>
      </c>
      <c r="L16" s="30">
        <f>IF(H_Avr[[#This Row],[PNP Début]]=0,0,IF(H_Avr[[#This Row],[PNP Début]]&lt;H_Avr[[#This Row],[début]],1,0)+H_Avr[[#This Row],[PNP Début]])</f>
        <v>0</v>
      </c>
      <c r="M16" s="30">
        <f>IF(H_Avr[[#This Row],[PNP Fin]]=0,0,IF(H_Avr[[#This Row],[PNP Fin]]&lt;H_Avr[[#This Row],[début]],1,0)+H_Avr[[#This Row],[PNP Fin]])</f>
        <v>0</v>
      </c>
      <c r="N16" s="34">
        <f>IF(H_Avr[[#This Row],[Fin]]&lt;H_Avr[[#This Row],[début]],1,0)+H_Avr[[#This Row],[Fin]]</f>
        <v>0</v>
      </c>
      <c r="O16" s="31">
        <f>IF(H_Avr[[#This Row],[Fin]]&lt;H_Avr[[#This Row],[début]],MAX(0,MIN(H_Avr[[#This Row],[Fin corrigée si nuit]],fin_nuit)-MAX(H_Avr[[#This Row],[début]],deb_nuit))*24,(MAX(deb_nuit,H_Avr[[#This Row],[Fin]])-MAX(deb_nuit,H_Avr[[#This Row],[début]])+MAX(MIN(fin_nuit-1,H_Avr[[#This Row],[Fin]])-MIN(fin_nuit-1,H_Avr[[#This Row],[début]]),0))*24)</f>
        <v>0</v>
      </c>
      <c r="P16" s="35">
        <f>(MAX(0,MIN(H_Avr[[#This Row],[Fin corrigée si nuit]],fin_nuit)-MAX(H_Avr[[#This Row],[début]],deb_nuit))-IF(H_Avr[[#This Row],[PNP Début]]=0,0,MIN(H_Avr[[#This Row],[PNP Fin corrigée]],fin_nuit)-MAX(H_Avr[[#This Row],[PNP Début corrigé]],deb_nuit)))*24</f>
        <v>0</v>
      </c>
      <c r="Q16" s="35">
        <f>(IF(WEEKDAY(H_Avr[[#This Row],[Date]],2)=7,MAX(0,MIN(fin_dimJF,H_Avr[[#This Row],[Fin corrigée si nuit]])-MAX(deb_dimJF,H_Avr[[#This Row],[début]])),0)+IF(WEEKDAY(H_Avr[[#This Row],[Date]],2)=6,MAX(0,H_Avr[[#This Row],[Fin corrigée si nuit]]-(1+deb_dimJF)),0))*24</f>
        <v>0</v>
      </c>
      <c r="R16" s="3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16" s="36">
        <f>(IF(COUNTIF(JF,H_Avr[[#This Row],[Date]]),MAX(0,MIN(fin_dimJF,H_Avr[[#This Row],[Fin corrigée si nuit]])-MAX(deb_dimJF,H_Avr[[#This Row],[début]])),0)+IF(COUNTIF(JF,H_Avr[[#This Row],[Date]]+1),MAX(0,H_Avr[[#This Row],[Fin corrigée si nuit]]-(1+deb_dimJF)),0))*24</f>
        <v>0</v>
      </c>
      <c r="T16" s="36">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c r="V16" s="127" t="s">
        <v>135</v>
      </c>
      <c r="W16" s="128">
        <f>'Mars 18'!Z16</f>
        <v>20.100000000000001</v>
      </c>
      <c r="X16" s="128">
        <f>I50</f>
        <v>0</v>
      </c>
      <c r="Y16" s="128"/>
      <c r="Z16" s="128">
        <f>W16+X16-Y16</f>
        <v>20.100000000000001</v>
      </c>
    </row>
    <row r="17" spans="1:20" x14ac:dyDescent="0.3">
      <c r="A17" s="4"/>
      <c r="B17" s="1"/>
      <c r="C17" s="2"/>
      <c r="D17" s="2"/>
      <c r="E17" s="3"/>
      <c r="F17" s="3"/>
      <c r="G17" s="9"/>
      <c r="H17" s="9"/>
      <c r="I17" s="37">
        <f>0.1*(H_Avr[[#This Row],[Heures de nuit]]+IF(H_Avr[[#This Row],[majoration dim &amp; JF]]="non",0,H_Avr[[#This Row],[heures jour dimanche]]+H_Avr[[#This Row],[heures jour fériés]]))</f>
        <v>0</v>
      </c>
      <c r="J17" s="29">
        <f>(MOD(H_Avr[[#This Row],[Fin]]-H_Avr[[#This Row],[début]],1)-MOD(H_Avr[[#This Row],[PNP Fin]]-H_Avr[[#This Row],[PNP Début]],1))*24</f>
        <v>0</v>
      </c>
      <c r="K17" s="122" t="str">
        <f>IFERROR(VLOOKUP(H_Avr[[#This Row],[Service]],Codes[],4,0),"")</f>
        <v/>
      </c>
      <c r="L17" s="39">
        <f>IF(H_Avr[[#This Row],[PNP Début]]=0,0,IF(H_Avr[[#This Row],[PNP Début]]&lt;H_Avr[[#This Row],[début]],1,0)+H_Avr[[#This Row],[PNP Début]])</f>
        <v>0</v>
      </c>
      <c r="M17" s="40">
        <f>IF(H_Avr[[#This Row],[PNP Fin]]=0,0,IF(H_Avr[[#This Row],[PNP Fin]]&lt;H_Avr[[#This Row],[début]],1,0)+H_Avr[[#This Row],[PNP Fin]])</f>
        <v>0</v>
      </c>
      <c r="N17" s="40">
        <f>IF(H_Avr[[#This Row],[Fin]]&lt;H_Avr[[#This Row],[début]],1,0)+H_Avr[[#This Row],[Fin]]</f>
        <v>0</v>
      </c>
      <c r="O17" s="31">
        <f>IF(H_Avr[[#This Row],[Fin]]&lt;H_Avr[[#This Row],[début]],MAX(0,MIN(H_Avr[[#This Row],[Fin corrigée si nuit]],fin_nuit)-MAX(H_Avr[[#This Row],[début]],deb_nuit))*24,(MAX(deb_nuit,H_Avr[[#This Row],[Fin]])-MAX(deb_nuit,H_Avr[[#This Row],[début]])+MAX(MIN(fin_nuit-1,H_Avr[[#This Row],[Fin]])-MIN(fin_nuit-1,H_Avr[[#This Row],[début]]),0))*24)</f>
        <v>0</v>
      </c>
      <c r="P17" s="41">
        <f>(MAX(0,MIN(H_Avr[[#This Row],[Fin corrigée si nuit]],fin_nuit)-MAX(H_Avr[[#This Row],[début]],deb_nuit))-IF(H_Avr[[#This Row],[PNP Début]]=0,0,MIN(H_Avr[[#This Row],[PNP Fin corrigée]],fin_nuit)-MAX(H_Avr[[#This Row],[PNP Début corrigé]],deb_nuit)))*24</f>
        <v>0</v>
      </c>
      <c r="Q17" s="41">
        <f>(IF(WEEKDAY(H_Avr[[#This Row],[Date]],2)=7,MAX(0,MIN(fin_dimJF,H_Avr[[#This Row],[Fin corrigée si nuit]])-MAX(deb_dimJF,H_Avr[[#This Row],[début]])),0)+IF(WEEKDAY(H_Avr[[#This Row],[Date]],2)=6,MAX(0,H_Avr[[#This Row],[Fin corrigée si nuit]]-(1+deb_dimJF)),0))*24</f>
        <v>0</v>
      </c>
      <c r="R17" s="4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17" s="41">
        <f>(IF(COUNTIF(JF,H_Avr[[#This Row],[Date]]),MAX(0,MIN(fin_dimJF,H_Avr[[#This Row],[Fin corrigée si nuit]])-MAX(deb_dimJF,H_Avr[[#This Row],[début]])),0)+IF(COUNTIF(JF,H_Avr[[#This Row],[Date]]+1),MAX(0,H_Avr[[#This Row],[Fin corrigée si nuit]]-(1+deb_dimJF)),0))*24</f>
        <v>0</v>
      </c>
      <c r="T17" s="4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18" spans="1:20" x14ac:dyDescent="0.3">
      <c r="A18" s="4"/>
      <c r="B18" s="1"/>
      <c r="C18" s="2"/>
      <c r="D18" s="2"/>
      <c r="E18" s="9"/>
      <c r="F18" s="9"/>
      <c r="G18" s="9"/>
      <c r="H18" s="9"/>
      <c r="I18" s="37">
        <f>0.1*(H_Avr[[#This Row],[Heures de nuit]]+IF(H_Avr[[#This Row],[majoration dim &amp; JF]]="non",0,H_Avr[[#This Row],[heures jour dimanche]]+H_Avr[[#This Row],[heures jour fériés]]))</f>
        <v>0</v>
      </c>
      <c r="J18" s="29">
        <f>(MOD(H_Avr[[#This Row],[Fin]]-H_Avr[[#This Row],[début]],1)-MOD(H_Avr[[#This Row],[PNP Fin]]-H_Avr[[#This Row],[PNP Début]],1))*24</f>
        <v>0</v>
      </c>
      <c r="K18" s="122" t="str">
        <f>IFERROR(VLOOKUP(H_Avr[[#This Row],[Service]],Codes[],4,0),"")</f>
        <v/>
      </c>
      <c r="L18" s="39">
        <f>IF(H_Avr[[#This Row],[PNP Début]]=0,0,IF(H_Avr[[#This Row],[PNP Début]]&lt;H_Avr[[#This Row],[début]],1,0)+H_Avr[[#This Row],[PNP Début]])</f>
        <v>0</v>
      </c>
      <c r="M18" s="40">
        <f>IF(H_Avr[[#This Row],[PNP Fin]]=0,0,IF(H_Avr[[#This Row],[PNP Fin]]&lt;H_Avr[[#This Row],[début]],1,0)+H_Avr[[#This Row],[PNP Fin]])</f>
        <v>0</v>
      </c>
      <c r="N18" s="40">
        <f>IF(H_Avr[[#This Row],[Fin]]&lt;H_Avr[[#This Row],[début]],1,0)+H_Avr[[#This Row],[Fin]]</f>
        <v>0</v>
      </c>
      <c r="O18" s="31">
        <f>IF(H_Avr[[#This Row],[Fin]]&lt;H_Avr[[#This Row],[début]],MAX(0,MIN(H_Avr[[#This Row],[Fin corrigée si nuit]],fin_nuit)-MAX(H_Avr[[#This Row],[début]],deb_nuit))*24,(MAX(deb_nuit,H_Avr[[#This Row],[Fin]])-MAX(deb_nuit,H_Avr[[#This Row],[début]])+MAX(MIN(fin_nuit-1,H_Avr[[#This Row],[Fin]])-MIN(fin_nuit-1,H_Avr[[#This Row],[début]]),0))*24)</f>
        <v>0</v>
      </c>
      <c r="P18" s="41">
        <f>(MAX(0,MIN(H_Avr[[#This Row],[Fin corrigée si nuit]],fin_nuit)-MAX(H_Avr[[#This Row],[début]],deb_nuit))-IF(H_Avr[[#This Row],[PNP Début]]=0,0,MIN(H_Avr[[#This Row],[PNP Fin corrigée]],fin_nuit)-MAX(H_Avr[[#This Row],[PNP Début corrigé]],deb_nuit)))*24</f>
        <v>0</v>
      </c>
      <c r="Q18" s="41">
        <f>(IF(WEEKDAY(H_Avr[[#This Row],[Date]],2)=7,MAX(0,MIN(fin_dimJF,H_Avr[[#This Row],[Fin corrigée si nuit]])-MAX(deb_dimJF,H_Avr[[#This Row],[début]])),0)+IF(WEEKDAY(H_Avr[[#This Row],[Date]],2)=6,MAX(0,H_Avr[[#This Row],[Fin corrigée si nuit]]-(1+deb_dimJF)),0))*24</f>
        <v>0</v>
      </c>
      <c r="R18" s="4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18" s="41">
        <f>(IF(COUNTIF(JF,H_Avr[[#This Row],[Date]]),MAX(0,MIN(fin_dimJF,H_Avr[[#This Row],[Fin corrigée si nuit]])-MAX(deb_dimJF,H_Avr[[#This Row],[début]])),0)+IF(COUNTIF(JF,H_Avr[[#This Row],[Date]]+1),MAX(0,H_Avr[[#This Row],[Fin corrigée si nuit]]-(1+deb_dimJF)),0))*24</f>
        <v>0</v>
      </c>
      <c r="T18" s="4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19" spans="1:20" x14ac:dyDescent="0.3">
      <c r="A19" s="4"/>
      <c r="B19" s="1"/>
      <c r="C19" s="2"/>
      <c r="D19" s="2"/>
      <c r="E19" s="3"/>
      <c r="F19" s="3"/>
      <c r="G19" s="9"/>
      <c r="H19" s="9"/>
      <c r="I19" s="37">
        <f>0.1*(H_Avr[[#This Row],[Heures de nuit]]+IF(H_Avr[[#This Row],[majoration dim &amp; JF]]="non",0,H_Avr[[#This Row],[heures jour dimanche]]+H_Avr[[#This Row],[heures jour fériés]]))</f>
        <v>0</v>
      </c>
      <c r="J19" s="29">
        <f>(MOD(H_Avr[[#This Row],[Fin]]-H_Avr[[#This Row],[début]],1)-MOD(H_Avr[[#This Row],[PNP Fin]]-H_Avr[[#This Row],[PNP Début]],1))*24</f>
        <v>0</v>
      </c>
      <c r="K19" s="122" t="str">
        <f>IFERROR(VLOOKUP(H_Avr[[#This Row],[Service]],Codes[],4,0),"")</f>
        <v/>
      </c>
      <c r="L19" s="39">
        <f>IF(H_Avr[[#This Row],[PNP Début]]=0,0,IF(H_Avr[[#This Row],[PNP Début]]&lt;H_Avr[[#This Row],[début]],1,0)+H_Avr[[#This Row],[PNP Début]])</f>
        <v>0</v>
      </c>
      <c r="M19" s="40">
        <f>IF(H_Avr[[#This Row],[PNP Fin]]=0,0,IF(H_Avr[[#This Row],[PNP Fin]]&lt;H_Avr[[#This Row],[début]],1,0)+H_Avr[[#This Row],[PNP Fin]])</f>
        <v>0</v>
      </c>
      <c r="N19" s="40">
        <f>IF(H_Avr[[#This Row],[Fin]]&lt;H_Avr[[#This Row],[début]],1,0)+H_Avr[[#This Row],[Fin]]</f>
        <v>0</v>
      </c>
      <c r="O19" s="31">
        <f>IF(H_Avr[[#This Row],[Fin]]&lt;H_Avr[[#This Row],[début]],MAX(0,MIN(H_Avr[[#This Row],[Fin corrigée si nuit]],fin_nuit)-MAX(H_Avr[[#This Row],[début]],deb_nuit))*24,(MAX(deb_nuit,H_Avr[[#This Row],[Fin]])-MAX(deb_nuit,H_Avr[[#This Row],[début]])+MAX(MIN(fin_nuit-1,H_Avr[[#This Row],[Fin]])-MIN(fin_nuit-1,H_Avr[[#This Row],[début]]),0))*24)</f>
        <v>0</v>
      </c>
      <c r="P19" s="41">
        <f>(MAX(0,MIN(H_Avr[[#This Row],[Fin corrigée si nuit]],fin_nuit)-MAX(H_Avr[[#This Row],[début]],deb_nuit))-IF(H_Avr[[#This Row],[PNP Début]]=0,0,MIN(H_Avr[[#This Row],[PNP Fin corrigée]],fin_nuit)-MAX(H_Avr[[#This Row],[PNP Début corrigé]],deb_nuit)))*24</f>
        <v>0</v>
      </c>
      <c r="Q19" s="41">
        <f>(IF(WEEKDAY(H_Avr[[#This Row],[Date]],2)=7,MAX(0,MIN(fin_dimJF,H_Avr[[#This Row],[Fin corrigée si nuit]])-MAX(deb_dimJF,H_Avr[[#This Row],[début]])),0)+IF(WEEKDAY(H_Avr[[#This Row],[Date]],2)=6,MAX(0,H_Avr[[#This Row],[Fin corrigée si nuit]]-(1+deb_dimJF)),0))*24</f>
        <v>0</v>
      </c>
      <c r="R19" s="4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19" s="41">
        <f>(IF(COUNTIF(JF,H_Avr[[#This Row],[Date]]),MAX(0,MIN(fin_dimJF,H_Avr[[#This Row],[Fin corrigée si nuit]])-MAX(deb_dimJF,H_Avr[[#This Row],[début]])),0)+IF(COUNTIF(JF,H_Avr[[#This Row],[Date]]+1),MAX(0,H_Avr[[#This Row],[Fin corrigée si nuit]]-(1+deb_dimJF)),0))*24</f>
        <v>0</v>
      </c>
      <c r="T19" s="4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0" spans="1:20" x14ac:dyDescent="0.3">
      <c r="A20" s="4"/>
      <c r="B20" s="1"/>
      <c r="C20" s="2"/>
      <c r="D20" s="2"/>
      <c r="E20" s="3"/>
      <c r="F20" s="3"/>
      <c r="G20" s="9"/>
      <c r="H20" s="9"/>
      <c r="I20" s="37">
        <f>0.1*(H_Avr[[#This Row],[Heures de nuit]]+IF(H_Avr[[#This Row],[majoration dim &amp; JF]]="non",0,H_Avr[[#This Row],[heures jour dimanche]]+H_Avr[[#This Row],[heures jour fériés]]))</f>
        <v>0</v>
      </c>
      <c r="J20" s="29">
        <f>(MOD(H_Avr[[#This Row],[Fin]]-H_Avr[[#This Row],[début]],1)-MOD(H_Avr[[#This Row],[PNP Fin]]-H_Avr[[#This Row],[PNP Début]],1))*24</f>
        <v>0</v>
      </c>
      <c r="K20" s="122" t="str">
        <f>IFERROR(VLOOKUP(H_Avr[[#This Row],[Service]],Codes[],4,0),"")</f>
        <v/>
      </c>
      <c r="L20" s="39">
        <f>IF(H_Avr[[#This Row],[PNP Début]]=0,0,IF(H_Avr[[#This Row],[PNP Début]]&lt;H_Avr[[#This Row],[début]],1,0)+H_Avr[[#This Row],[PNP Début]])</f>
        <v>0</v>
      </c>
      <c r="M20" s="40">
        <f>IF(H_Avr[[#This Row],[PNP Fin]]=0,0,IF(H_Avr[[#This Row],[PNP Fin]]&lt;H_Avr[[#This Row],[début]],1,0)+H_Avr[[#This Row],[PNP Fin]])</f>
        <v>0</v>
      </c>
      <c r="N20" s="40">
        <f>IF(H_Avr[[#This Row],[Fin]]&lt;H_Avr[[#This Row],[début]],1,0)+H_Avr[[#This Row],[Fin]]</f>
        <v>0</v>
      </c>
      <c r="O20" s="31">
        <f>IF(H_Avr[[#This Row],[Fin]]&lt;H_Avr[[#This Row],[début]],MAX(0,MIN(H_Avr[[#This Row],[Fin corrigée si nuit]],fin_nuit)-MAX(H_Avr[[#This Row],[début]],deb_nuit))*24,(MAX(deb_nuit,H_Avr[[#This Row],[Fin]])-MAX(deb_nuit,H_Avr[[#This Row],[début]])+MAX(MIN(fin_nuit-1,H_Avr[[#This Row],[Fin]])-MIN(fin_nuit-1,H_Avr[[#This Row],[début]]),0))*24)</f>
        <v>0</v>
      </c>
      <c r="P20" s="41">
        <f>(MAX(0,MIN(H_Avr[[#This Row],[Fin corrigée si nuit]],fin_nuit)-MAX(H_Avr[[#This Row],[début]],deb_nuit))-IF(H_Avr[[#This Row],[PNP Début]]=0,0,MIN(H_Avr[[#This Row],[PNP Fin corrigée]],fin_nuit)-MAX(H_Avr[[#This Row],[PNP Début corrigé]],deb_nuit)))*24</f>
        <v>0</v>
      </c>
      <c r="Q20" s="41">
        <f>(IF(WEEKDAY(H_Avr[[#This Row],[Date]],2)=7,MAX(0,MIN(fin_dimJF,H_Avr[[#This Row],[Fin corrigée si nuit]])-MAX(deb_dimJF,H_Avr[[#This Row],[début]])),0)+IF(WEEKDAY(H_Avr[[#This Row],[Date]],2)=6,MAX(0,H_Avr[[#This Row],[Fin corrigée si nuit]]-(1+deb_dimJF)),0))*24</f>
        <v>0</v>
      </c>
      <c r="R20" s="4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0" s="41">
        <f>(IF(COUNTIF(JF,H_Avr[[#This Row],[Date]]),MAX(0,MIN(fin_dimJF,H_Avr[[#This Row],[Fin corrigée si nuit]])-MAX(deb_dimJF,H_Avr[[#This Row],[début]])),0)+IF(COUNTIF(JF,H_Avr[[#This Row],[Date]]+1),MAX(0,H_Avr[[#This Row],[Fin corrigée si nuit]]-(1+deb_dimJF)),0))*24</f>
        <v>0</v>
      </c>
      <c r="T20" s="4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1" spans="1:20" x14ac:dyDescent="0.3">
      <c r="A21" s="4"/>
      <c r="B21" s="1"/>
      <c r="C21" s="2"/>
      <c r="D21" s="2"/>
      <c r="E21" s="3"/>
      <c r="F21" s="3"/>
      <c r="G21" s="10"/>
      <c r="H21" s="10"/>
      <c r="I21" s="42">
        <f>0.1*(H_Avr[[#This Row],[Heures de nuit]]+IF(H_Avr[[#This Row],[majoration dim &amp; JF]]="non",0,H_Avr[[#This Row],[heures jour dimanche]]+H_Avr[[#This Row],[heures jour fériés]]))</f>
        <v>0</v>
      </c>
      <c r="J21" s="29">
        <f>(MOD(H_Avr[[#This Row],[Fin]]-H_Avr[[#This Row],[début]],1)-MOD(H_Avr[[#This Row],[PNP Fin]]-H_Avr[[#This Row],[PNP Début]],1))*24</f>
        <v>0</v>
      </c>
      <c r="K21" s="123" t="str">
        <f>IFERROR(VLOOKUP(H_Avr[[#This Row],[Service]],Codes[],4,0),"")</f>
        <v/>
      </c>
      <c r="L21" s="44">
        <f>IF(H_Avr[[#This Row],[PNP Début]]=0,0,IF(H_Avr[[#This Row],[PNP Début]]&lt;H_Avr[[#This Row],[début]],1,0)+H_Avr[[#This Row],[PNP Début]])</f>
        <v>0</v>
      </c>
      <c r="M21" s="45">
        <f>IF(H_Avr[[#This Row],[PNP Fin]]=0,0,IF(H_Avr[[#This Row],[PNP Fin]]&lt;H_Avr[[#This Row],[début]],1,0)+H_Avr[[#This Row],[PNP Fin]])</f>
        <v>0</v>
      </c>
      <c r="N21" s="45">
        <f>IF(H_Avr[[#This Row],[Fin]]&lt;H_Avr[[#This Row],[début]],1,0)+H_Avr[[#This Row],[Fin]]</f>
        <v>0</v>
      </c>
      <c r="O21" s="31">
        <f>IF(H_Avr[[#This Row],[Fin]]&lt;H_Avr[[#This Row],[début]],MAX(0,MIN(H_Avr[[#This Row],[Fin corrigée si nuit]],fin_nuit)-MAX(H_Avr[[#This Row],[début]],deb_nuit))*24,(MAX(deb_nuit,H_Avr[[#This Row],[Fin]])-MAX(deb_nuit,H_Avr[[#This Row],[début]])+MAX(MIN(fin_nuit-1,H_Avr[[#This Row],[Fin]])-MIN(fin_nuit-1,H_Avr[[#This Row],[début]]),0))*24)</f>
        <v>0</v>
      </c>
      <c r="P21" s="46">
        <f>(MAX(0,MIN(H_Avr[[#This Row],[Fin corrigée si nuit]],fin_nuit)-MAX(H_Avr[[#This Row],[début]],deb_nuit))-IF(H_Avr[[#This Row],[PNP Début]]=0,0,MIN(H_Avr[[#This Row],[PNP Fin corrigée]],fin_nuit)-MAX(H_Avr[[#This Row],[PNP Début corrigé]],deb_nuit)))*24</f>
        <v>0</v>
      </c>
      <c r="Q21" s="46">
        <f>(IF(WEEKDAY(H_Avr[[#This Row],[Date]],2)=7,MAX(0,MIN(fin_dimJF,H_Avr[[#This Row],[Fin corrigée si nuit]])-MAX(deb_dimJF,H_Avr[[#This Row],[début]])),0)+IF(WEEKDAY(H_Avr[[#This Row],[Date]],2)=6,MAX(0,H_Avr[[#This Row],[Fin corrigée si nuit]]-(1+deb_dimJF)),0))*24</f>
        <v>0</v>
      </c>
      <c r="R21" s="46">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1" s="46">
        <f>(IF(COUNTIF(JF,H_Avr[[#This Row],[Date]]),MAX(0,MIN(fin_dimJF,H_Avr[[#This Row],[Fin corrigée si nuit]])-MAX(deb_dimJF,H_Avr[[#This Row],[début]])),0)+IF(COUNTIF(JF,H_Avr[[#This Row],[Date]]+1),MAX(0,H_Avr[[#This Row],[Fin corrigée si nuit]]-(1+deb_dimJF)),0))*24</f>
        <v>0</v>
      </c>
      <c r="T21" s="46">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2" spans="1:20" x14ac:dyDescent="0.3">
      <c r="A22" s="4"/>
      <c r="B22" s="1"/>
      <c r="C22" s="2"/>
      <c r="D22" s="2"/>
      <c r="E22" s="3"/>
      <c r="F22" s="3"/>
      <c r="G22" s="10"/>
      <c r="H22" s="10"/>
      <c r="I22" s="47">
        <f>0.1*(H_Avr[[#This Row],[Heures de nuit]]+IF(H_Avr[[#This Row],[majoration dim &amp; JF]]="non",0,H_Avr[[#This Row],[heures jour dimanche]]+H_Avr[[#This Row],[heures jour fériés]]))</f>
        <v>0</v>
      </c>
      <c r="J22" s="29">
        <f>(MOD(H_Avr[[#This Row],[Fin]]-H_Avr[[#This Row],[début]],1)-MOD(H_Avr[[#This Row],[PNP Fin]]-H_Avr[[#This Row],[PNP Début]],1))*24</f>
        <v>0</v>
      </c>
      <c r="K22" s="119" t="str">
        <f>IFERROR(VLOOKUP(H_Avr[[#This Row],[Service]],Codes[],4,0),"")</f>
        <v/>
      </c>
      <c r="L22" s="49">
        <f>IF(H_Avr[[#This Row],[PNP Début]]=0,0,IF(H_Avr[[#This Row],[PNP Début]]&lt;H_Avr[[#This Row],[début]],1,0)+H_Avr[[#This Row],[PNP Début]])</f>
        <v>0</v>
      </c>
      <c r="M22" s="50">
        <f>IF(H_Avr[[#This Row],[PNP Fin]]=0,0,IF(H_Avr[[#This Row],[PNP Fin]]&lt;H_Avr[[#This Row],[début]],1,0)+H_Avr[[#This Row],[PNP Fin]])</f>
        <v>0</v>
      </c>
      <c r="N22" s="50">
        <f>IF(H_Avr[[#This Row],[Fin]]&lt;H_Avr[[#This Row],[début]],1,0)+H_Avr[[#This Row],[Fin]]</f>
        <v>0</v>
      </c>
      <c r="O22" s="31">
        <f>IF(H_Avr[[#This Row],[Fin]]&lt;H_Avr[[#This Row],[début]],MAX(0,MIN(H_Avr[[#This Row],[Fin corrigée si nuit]],fin_nuit)-MAX(H_Avr[[#This Row],[début]],deb_nuit))*24,(MAX(deb_nuit,H_Avr[[#This Row],[Fin]])-MAX(deb_nuit,H_Avr[[#This Row],[début]])+MAX(MIN(fin_nuit-1,H_Avr[[#This Row],[Fin]])-MIN(fin_nuit-1,H_Avr[[#This Row],[début]]),0))*24)</f>
        <v>0</v>
      </c>
      <c r="P22" s="51">
        <f>(MAX(0,MIN(H_Avr[[#This Row],[Fin corrigée si nuit]],fin_nuit)-MAX(H_Avr[[#This Row],[début]],deb_nuit))-IF(H_Avr[[#This Row],[PNP Début]]=0,0,MIN(H_Avr[[#This Row],[PNP Fin corrigée]],fin_nuit)-MAX(H_Avr[[#This Row],[PNP Début corrigé]],deb_nuit)))*24</f>
        <v>0</v>
      </c>
      <c r="Q22" s="51">
        <f>(IF(WEEKDAY(H_Avr[[#This Row],[Date]],2)=7,MAX(0,MIN(fin_dimJF,H_Avr[[#This Row],[Fin corrigée si nuit]])-MAX(deb_dimJF,H_Avr[[#This Row],[début]])),0)+IF(WEEKDAY(H_Avr[[#This Row],[Date]],2)=6,MAX(0,H_Avr[[#This Row],[Fin corrigée si nuit]]-(1+deb_dimJF)),0))*24</f>
        <v>0</v>
      </c>
      <c r="R22"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2" s="51">
        <f>(IF(COUNTIF(JF,H_Avr[[#This Row],[Date]]),MAX(0,MIN(fin_dimJF,H_Avr[[#This Row],[Fin corrigée si nuit]])-MAX(deb_dimJF,H_Avr[[#This Row],[début]])),0)+IF(COUNTIF(JF,H_Avr[[#This Row],[Date]]+1),MAX(0,H_Avr[[#This Row],[Fin corrigée si nuit]]-(1+deb_dimJF)),0))*24</f>
        <v>0</v>
      </c>
      <c r="T22"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3" spans="1:20" x14ac:dyDescent="0.3">
      <c r="A23" s="4"/>
      <c r="B23" s="1"/>
      <c r="C23" s="2"/>
      <c r="D23" s="2"/>
      <c r="E23" s="3"/>
      <c r="F23" s="3"/>
      <c r="G23" s="10"/>
      <c r="H23" s="10"/>
      <c r="I23" s="47">
        <f>0.1*(H_Avr[[#This Row],[Heures de nuit]]+IF(H_Avr[[#This Row],[majoration dim &amp; JF]]="non",0,H_Avr[[#This Row],[heures jour dimanche]]+H_Avr[[#This Row],[heures jour fériés]]))</f>
        <v>0</v>
      </c>
      <c r="J23" s="29">
        <f>(MOD(H_Avr[[#This Row],[Fin]]-H_Avr[[#This Row],[début]],1)-MOD(H_Avr[[#This Row],[PNP Fin]]-H_Avr[[#This Row],[PNP Début]],1))*24</f>
        <v>0</v>
      </c>
      <c r="K23" s="119" t="str">
        <f>IFERROR(VLOOKUP(H_Avr[[#This Row],[Service]],Codes[],4,0),"")</f>
        <v/>
      </c>
      <c r="L23" s="49">
        <f>IF(H_Avr[[#This Row],[PNP Début]]=0,0,IF(H_Avr[[#This Row],[PNP Début]]&lt;H_Avr[[#This Row],[début]],1,0)+H_Avr[[#This Row],[PNP Début]])</f>
        <v>0</v>
      </c>
      <c r="M23" s="50">
        <f>IF(H_Avr[[#This Row],[PNP Fin]]=0,0,IF(H_Avr[[#This Row],[PNP Fin]]&lt;H_Avr[[#This Row],[début]],1,0)+H_Avr[[#This Row],[PNP Fin]])</f>
        <v>0</v>
      </c>
      <c r="N23" s="50">
        <f>IF(H_Avr[[#This Row],[Fin]]&lt;H_Avr[[#This Row],[début]],1,0)+H_Avr[[#This Row],[Fin]]</f>
        <v>0</v>
      </c>
      <c r="O23" s="31">
        <f>IF(H_Avr[[#This Row],[Fin]]&lt;H_Avr[[#This Row],[début]],MAX(0,MIN(H_Avr[[#This Row],[Fin corrigée si nuit]],fin_nuit)-MAX(H_Avr[[#This Row],[début]],deb_nuit))*24,(MAX(deb_nuit,H_Avr[[#This Row],[Fin]])-MAX(deb_nuit,H_Avr[[#This Row],[début]])+MAX(MIN(fin_nuit-1,H_Avr[[#This Row],[Fin]])-MIN(fin_nuit-1,H_Avr[[#This Row],[début]]),0))*24)</f>
        <v>0</v>
      </c>
      <c r="P23" s="51">
        <f>(MAX(0,MIN(H_Avr[[#This Row],[Fin corrigée si nuit]],fin_nuit)-MAX(H_Avr[[#This Row],[début]],deb_nuit))-IF(H_Avr[[#This Row],[PNP Début]]=0,0,MIN(H_Avr[[#This Row],[PNP Fin corrigée]],fin_nuit)-MAX(H_Avr[[#This Row],[PNP Début corrigé]],deb_nuit)))*24</f>
        <v>0</v>
      </c>
      <c r="Q23" s="51">
        <f>(IF(WEEKDAY(H_Avr[[#This Row],[Date]],2)=7,MAX(0,MIN(fin_dimJF,H_Avr[[#This Row],[Fin corrigée si nuit]])-MAX(deb_dimJF,H_Avr[[#This Row],[début]])),0)+IF(WEEKDAY(H_Avr[[#This Row],[Date]],2)=6,MAX(0,H_Avr[[#This Row],[Fin corrigée si nuit]]-(1+deb_dimJF)),0))*24</f>
        <v>0</v>
      </c>
      <c r="R23"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3" s="51">
        <f>(IF(COUNTIF(JF,H_Avr[[#This Row],[Date]]),MAX(0,MIN(fin_dimJF,H_Avr[[#This Row],[Fin corrigée si nuit]])-MAX(deb_dimJF,H_Avr[[#This Row],[début]])),0)+IF(COUNTIF(JF,H_Avr[[#This Row],[Date]]+1),MAX(0,H_Avr[[#This Row],[Fin corrigée si nuit]]-(1+deb_dimJF)),0))*24</f>
        <v>0</v>
      </c>
      <c r="T23"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4" spans="1:20" x14ac:dyDescent="0.3">
      <c r="A24" s="4"/>
      <c r="B24" s="1"/>
      <c r="C24" s="2"/>
      <c r="D24" s="2"/>
      <c r="E24" s="3"/>
      <c r="F24" s="3"/>
      <c r="G24" s="3"/>
      <c r="H24" s="3"/>
      <c r="I24" s="47">
        <f>0.1*(H_Avr[[#This Row],[Heures de nuit]]+IF(H_Avr[[#This Row],[majoration dim &amp; JF]]="non",0,H_Avr[[#This Row],[heures jour dimanche]]+H_Avr[[#This Row],[heures jour fériés]]))</f>
        <v>0</v>
      </c>
      <c r="J24" s="29">
        <f>(MOD(H_Avr[[#This Row],[Fin]]-H_Avr[[#This Row],[début]],1)-MOD(H_Avr[[#This Row],[PNP Fin]]-H_Avr[[#This Row],[PNP Début]],1))*24</f>
        <v>0</v>
      </c>
      <c r="K24" s="119" t="str">
        <f>IFERROR(VLOOKUP(H_Avr[[#This Row],[Service]],Codes[],4,0),"")</f>
        <v/>
      </c>
      <c r="L24" s="49">
        <f>IF(H_Avr[[#This Row],[PNP Début]]=0,0,IF(H_Avr[[#This Row],[PNP Début]]&lt;H_Avr[[#This Row],[début]],1,0)+H_Avr[[#This Row],[PNP Début]])</f>
        <v>0</v>
      </c>
      <c r="M24" s="50">
        <f>IF(H_Avr[[#This Row],[PNP Fin]]=0,0,IF(H_Avr[[#This Row],[PNP Fin]]&lt;H_Avr[[#This Row],[début]],1,0)+H_Avr[[#This Row],[PNP Fin]])</f>
        <v>0</v>
      </c>
      <c r="N24" s="50">
        <f>IF(H_Avr[[#This Row],[Fin]]&lt;H_Avr[[#This Row],[début]],1,0)+H_Avr[[#This Row],[Fin]]</f>
        <v>0</v>
      </c>
      <c r="O24" s="31">
        <f>IF(H_Avr[[#This Row],[Fin]]&lt;H_Avr[[#This Row],[début]],MAX(0,MIN(H_Avr[[#This Row],[Fin corrigée si nuit]],fin_nuit)-MAX(H_Avr[[#This Row],[début]],deb_nuit))*24,(MAX(deb_nuit,H_Avr[[#This Row],[Fin]])-MAX(deb_nuit,H_Avr[[#This Row],[début]])+MAX(MIN(fin_nuit-1,H_Avr[[#This Row],[Fin]])-MIN(fin_nuit-1,H_Avr[[#This Row],[début]]),0))*24)</f>
        <v>0</v>
      </c>
      <c r="P24" s="51">
        <f>(MAX(0,MIN(H_Avr[[#This Row],[Fin corrigée si nuit]],fin_nuit)-MAX(H_Avr[[#This Row],[début]],deb_nuit))-IF(H_Avr[[#This Row],[PNP Début]]=0,0,MIN(H_Avr[[#This Row],[PNP Fin corrigée]],fin_nuit)-MAX(H_Avr[[#This Row],[PNP Début corrigé]],deb_nuit)))*24</f>
        <v>0</v>
      </c>
      <c r="Q24" s="51">
        <f>(IF(WEEKDAY(H_Avr[[#This Row],[Date]],2)=7,MAX(0,MIN(fin_dimJF,H_Avr[[#This Row],[Fin corrigée si nuit]])-MAX(deb_dimJF,H_Avr[[#This Row],[début]])),0)+IF(WEEKDAY(H_Avr[[#This Row],[Date]],2)=6,MAX(0,H_Avr[[#This Row],[Fin corrigée si nuit]]-(1+deb_dimJF)),0))*24</f>
        <v>0</v>
      </c>
      <c r="R24"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4" s="51">
        <f>(IF(COUNTIF(JF,H_Avr[[#This Row],[Date]]),MAX(0,MIN(fin_dimJF,H_Avr[[#This Row],[Fin corrigée si nuit]])-MAX(deb_dimJF,H_Avr[[#This Row],[début]])),0)+IF(COUNTIF(JF,H_Avr[[#This Row],[Date]]+1),MAX(0,H_Avr[[#This Row],[Fin corrigée si nuit]]-(1+deb_dimJF)),0))*24</f>
        <v>0</v>
      </c>
      <c r="T24"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5" spans="1:20" x14ac:dyDescent="0.3">
      <c r="A25" s="4"/>
      <c r="B25" s="1"/>
      <c r="C25" s="2"/>
      <c r="D25" s="2"/>
      <c r="E25" s="3"/>
      <c r="F25" s="3"/>
      <c r="G25" s="3"/>
      <c r="H25" s="3"/>
      <c r="I25" s="47">
        <f>0.1*(H_Avr[[#This Row],[Heures de nuit]]+IF(H_Avr[[#This Row],[majoration dim &amp; JF]]="non",0,H_Avr[[#This Row],[heures jour dimanche]]+H_Avr[[#This Row],[heures jour fériés]]))</f>
        <v>0</v>
      </c>
      <c r="J25" s="29">
        <f>(MOD(H_Avr[[#This Row],[Fin]]-H_Avr[[#This Row],[début]],1)-MOD(H_Avr[[#This Row],[PNP Fin]]-H_Avr[[#This Row],[PNP Début]],1))*24</f>
        <v>0</v>
      </c>
      <c r="K25" s="119" t="str">
        <f>IFERROR(VLOOKUP(H_Avr[[#This Row],[Service]],Codes[],4,0),"")</f>
        <v/>
      </c>
      <c r="L25" s="49">
        <f>IF(H_Avr[[#This Row],[PNP Début]]=0,0,IF(H_Avr[[#This Row],[PNP Début]]&lt;H_Avr[[#This Row],[début]],1,0)+H_Avr[[#This Row],[PNP Début]])</f>
        <v>0</v>
      </c>
      <c r="M25" s="50">
        <f>IF(H_Avr[[#This Row],[PNP Fin]]=0,0,IF(H_Avr[[#This Row],[PNP Fin]]&lt;H_Avr[[#This Row],[début]],1,0)+H_Avr[[#This Row],[PNP Fin]])</f>
        <v>0</v>
      </c>
      <c r="N25" s="50">
        <f>IF(H_Avr[[#This Row],[Fin]]&lt;H_Avr[[#This Row],[début]],1,0)+H_Avr[[#This Row],[Fin]]</f>
        <v>0</v>
      </c>
      <c r="O25" s="31">
        <f>IF(H_Avr[[#This Row],[Fin]]&lt;H_Avr[[#This Row],[début]],MAX(0,MIN(H_Avr[[#This Row],[Fin corrigée si nuit]],fin_nuit)-MAX(H_Avr[[#This Row],[début]],deb_nuit))*24,(MAX(deb_nuit,H_Avr[[#This Row],[Fin]])-MAX(deb_nuit,H_Avr[[#This Row],[début]])+MAX(MIN(fin_nuit-1,H_Avr[[#This Row],[Fin]])-MIN(fin_nuit-1,H_Avr[[#This Row],[début]]),0))*24)</f>
        <v>0</v>
      </c>
      <c r="P25" s="51">
        <f>(MAX(0,MIN(H_Avr[[#This Row],[Fin corrigée si nuit]],fin_nuit)-MAX(H_Avr[[#This Row],[début]],deb_nuit))-IF(H_Avr[[#This Row],[PNP Début]]=0,0,MIN(H_Avr[[#This Row],[PNP Fin corrigée]],fin_nuit)-MAX(H_Avr[[#This Row],[PNP Début corrigé]],deb_nuit)))*24</f>
        <v>0</v>
      </c>
      <c r="Q25" s="51">
        <f>(IF(WEEKDAY(H_Avr[[#This Row],[Date]],2)=7,MAX(0,MIN(fin_dimJF,H_Avr[[#This Row],[Fin corrigée si nuit]])-MAX(deb_dimJF,H_Avr[[#This Row],[début]])),0)+IF(WEEKDAY(H_Avr[[#This Row],[Date]],2)=6,MAX(0,H_Avr[[#This Row],[Fin corrigée si nuit]]-(1+deb_dimJF)),0))*24</f>
        <v>0</v>
      </c>
      <c r="R25"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5" s="51">
        <f>(IF(COUNTIF(JF,H_Avr[[#This Row],[Date]]),MAX(0,MIN(fin_dimJF,H_Avr[[#This Row],[Fin corrigée si nuit]])-MAX(deb_dimJF,H_Avr[[#This Row],[début]])),0)+IF(COUNTIF(JF,H_Avr[[#This Row],[Date]]+1),MAX(0,H_Avr[[#This Row],[Fin corrigée si nuit]]-(1+deb_dimJF)),0))*24</f>
        <v>0</v>
      </c>
      <c r="T25"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6" spans="1:20" ht="14.4" customHeight="1" x14ac:dyDescent="0.3">
      <c r="A26" s="4"/>
      <c r="B26" s="1"/>
      <c r="C26" s="2"/>
      <c r="D26" s="2"/>
      <c r="E26" s="3"/>
      <c r="F26" s="3"/>
      <c r="G26" s="10"/>
      <c r="H26" s="10"/>
      <c r="I26" s="47">
        <f>0.1*(H_Avr[[#This Row],[Heures de nuit]]+IF(H_Avr[[#This Row],[majoration dim &amp; JF]]="non",0,H_Avr[[#This Row],[heures jour dimanche]]+H_Avr[[#This Row],[heures jour fériés]]))</f>
        <v>0</v>
      </c>
      <c r="J26" s="29">
        <f>(MOD(H_Avr[[#This Row],[Fin]]-H_Avr[[#This Row],[début]],1)-MOD(H_Avr[[#This Row],[PNP Fin]]-H_Avr[[#This Row],[PNP Début]],1))*24</f>
        <v>0</v>
      </c>
      <c r="K26" s="119" t="str">
        <f>IFERROR(VLOOKUP(H_Avr[[#This Row],[Service]],Codes[],4,0),"")</f>
        <v/>
      </c>
      <c r="L26" s="49">
        <f>IF(H_Avr[[#This Row],[PNP Début]]=0,0,IF(H_Avr[[#This Row],[PNP Début]]&lt;H_Avr[[#This Row],[début]],1,0)+H_Avr[[#This Row],[PNP Début]])</f>
        <v>0</v>
      </c>
      <c r="M26" s="50">
        <f>IF(H_Avr[[#This Row],[PNP Fin]]=0,0,IF(H_Avr[[#This Row],[PNP Fin]]&lt;H_Avr[[#This Row],[début]],1,0)+H_Avr[[#This Row],[PNP Fin]])</f>
        <v>0</v>
      </c>
      <c r="N26" s="50">
        <f>IF(H_Avr[[#This Row],[Fin]]&lt;H_Avr[[#This Row],[début]],1,0)+H_Avr[[#This Row],[Fin]]</f>
        <v>0</v>
      </c>
      <c r="O26" s="31">
        <f>IF(H_Avr[[#This Row],[Fin]]&lt;H_Avr[[#This Row],[début]],MAX(0,MIN(H_Avr[[#This Row],[Fin corrigée si nuit]],fin_nuit)-MAX(H_Avr[[#This Row],[début]],deb_nuit))*24,(MAX(deb_nuit,H_Avr[[#This Row],[Fin]])-MAX(deb_nuit,H_Avr[[#This Row],[début]])+MAX(MIN(fin_nuit-1,H_Avr[[#This Row],[Fin]])-MIN(fin_nuit-1,H_Avr[[#This Row],[début]]),0))*24)</f>
        <v>0</v>
      </c>
      <c r="P26" s="51">
        <f>(MAX(0,MIN(H_Avr[[#This Row],[Fin corrigée si nuit]],fin_nuit)-MAX(H_Avr[[#This Row],[début]],deb_nuit))-IF(H_Avr[[#This Row],[PNP Début]]=0,0,MIN(H_Avr[[#This Row],[PNP Fin corrigée]],fin_nuit)-MAX(H_Avr[[#This Row],[PNP Début corrigé]],deb_nuit)))*24</f>
        <v>0</v>
      </c>
      <c r="Q26" s="51">
        <f>(IF(WEEKDAY(H_Avr[[#This Row],[Date]],2)=7,MAX(0,MIN(fin_dimJF,H_Avr[[#This Row],[Fin corrigée si nuit]])-MAX(deb_dimJF,H_Avr[[#This Row],[début]])),0)+IF(WEEKDAY(H_Avr[[#This Row],[Date]],2)=6,MAX(0,H_Avr[[#This Row],[Fin corrigée si nuit]]-(1+deb_dimJF)),0))*24</f>
        <v>0</v>
      </c>
      <c r="R26"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6" s="51">
        <f>(IF(COUNTIF(JF,H_Avr[[#This Row],[Date]]),MAX(0,MIN(fin_dimJF,H_Avr[[#This Row],[Fin corrigée si nuit]])-MAX(deb_dimJF,H_Avr[[#This Row],[début]])),0)+IF(COUNTIF(JF,H_Avr[[#This Row],[Date]]+1),MAX(0,H_Avr[[#This Row],[Fin corrigée si nuit]]-(1+deb_dimJF)),0))*24</f>
        <v>0</v>
      </c>
      <c r="T26"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7" spans="1:20" x14ac:dyDescent="0.3">
      <c r="A27" s="4"/>
      <c r="B27" s="1"/>
      <c r="C27" s="2"/>
      <c r="D27" s="2"/>
      <c r="E27" s="3"/>
      <c r="F27" s="3"/>
      <c r="G27" s="10"/>
      <c r="H27" s="10"/>
      <c r="I27" s="47">
        <f>0.1*(H_Avr[[#This Row],[Heures de nuit]]+IF(H_Avr[[#This Row],[majoration dim &amp; JF]]="non",0,H_Avr[[#This Row],[heures jour dimanche]]+H_Avr[[#This Row],[heures jour fériés]]))</f>
        <v>0</v>
      </c>
      <c r="J27" s="29">
        <f>(MOD(H_Avr[[#This Row],[Fin]]-H_Avr[[#This Row],[début]],1)-MOD(H_Avr[[#This Row],[PNP Fin]]-H_Avr[[#This Row],[PNP Début]],1))*24</f>
        <v>0</v>
      </c>
      <c r="K27" s="119" t="str">
        <f>IFERROR(VLOOKUP(H_Avr[[#This Row],[Service]],Codes[],4,0),"")</f>
        <v/>
      </c>
      <c r="L27" s="49">
        <f>IF(H_Avr[[#This Row],[PNP Début]]=0,0,IF(H_Avr[[#This Row],[PNP Début]]&lt;H_Avr[[#This Row],[début]],1,0)+H_Avr[[#This Row],[PNP Début]])</f>
        <v>0</v>
      </c>
      <c r="M27" s="50">
        <f>IF(H_Avr[[#This Row],[PNP Fin]]=0,0,IF(H_Avr[[#This Row],[PNP Fin]]&lt;H_Avr[[#This Row],[début]],1,0)+H_Avr[[#This Row],[PNP Fin]])</f>
        <v>0</v>
      </c>
      <c r="N27" s="50">
        <f>IF(H_Avr[[#This Row],[Fin]]&lt;H_Avr[[#This Row],[début]],1,0)+H_Avr[[#This Row],[Fin]]</f>
        <v>0</v>
      </c>
      <c r="O27" s="31">
        <f>IF(H_Avr[[#This Row],[Fin]]&lt;H_Avr[[#This Row],[début]],MAX(0,MIN(H_Avr[[#This Row],[Fin corrigée si nuit]],fin_nuit)-MAX(H_Avr[[#This Row],[début]],deb_nuit))*24,(MAX(deb_nuit,H_Avr[[#This Row],[Fin]])-MAX(deb_nuit,H_Avr[[#This Row],[début]])+MAX(MIN(fin_nuit-1,H_Avr[[#This Row],[Fin]])-MIN(fin_nuit-1,H_Avr[[#This Row],[début]]),0))*24)</f>
        <v>0</v>
      </c>
      <c r="P27" s="51">
        <f>(MAX(0,MIN(H_Avr[[#This Row],[Fin corrigée si nuit]],fin_nuit)-MAX(H_Avr[[#This Row],[début]],deb_nuit))-IF(H_Avr[[#This Row],[PNP Début]]=0,0,MIN(H_Avr[[#This Row],[PNP Fin corrigée]],fin_nuit)-MAX(H_Avr[[#This Row],[PNP Début corrigé]],deb_nuit)))*24</f>
        <v>0</v>
      </c>
      <c r="Q27" s="51">
        <f>(IF(WEEKDAY(H_Avr[[#This Row],[Date]],2)=7,MAX(0,MIN(fin_dimJF,H_Avr[[#This Row],[Fin corrigée si nuit]])-MAX(deb_dimJF,H_Avr[[#This Row],[début]])),0)+IF(WEEKDAY(H_Avr[[#This Row],[Date]],2)=6,MAX(0,H_Avr[[#This Row],[Fin corrigée si nuit]]-(1+deb_dimJF)),0))*24</f>
        <v>0</v>
      </c>
      <c r="R27"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7" s="51">
        <f>(IF(COUNTIF(JF,H_Avr[[#This Row],[Date]]),MAX(0,MIN(fin_dimJF,H_Avr[[#This Row],[Fin corrigée si nuit]])-MAX(deb_dimJF,H_Avr[[#This Row],[début]])),0)+IF(COUNTIF(JF,H_Avr[[#This Row],[Date]]+1),MAX(0,H_Avr[[#This Row],[Fin corrigée si nuit]]-(1+deb_dimJF)),0))*24</f>
        <v>0</v>
      </c>
      <c r="T27"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8" spans="1:20" x14ac:dyDescent="0.3">
      <c r="A28" s="4"/>
      <c r="B28" s="1"/>
      <c r="C28" s="2"/>
      <c r="D28" s="2"/>
      <c r="E28" s="3"/>
      <c r="F28" s="3"/>
      <c r="G28" s="3"/>
      <c r="H28" s="3"/>
      <c r="I28" s="47">
        <f>0.1*(H_Avr[[#This Row],[Heures de nuit]]+IF(H_Avr[[#This Row],[majoration dim &amp; JF]]="non",0,H_Avr[[#This Row],[heures jour dimanche]]+H_Avr[[#This Row],[heures jour fériés]]))</f>
        <v>0</v>
      </c>
      <c r="J28" s="29">
        <f>(MOD(H_Avr[[#This Row],[Fin]]-H_Avr[[#This Row],[début]],1)-MOD(H_Avr[[#This Row],[PNP Fin]]-H_Avr[[#This Row],[PNP Début]],1))*24</f>
        <v>0</v>
      </c>
      <c r="K28" s="119" t="str">
        <f>IFERROR(VLOOKUP(H_Avr[[#This Row],[Service]],Codes[],4,0),"")</f>
        <v/>
      </c>
      <c r="L28" s="49">
        <f>IF(H_Avr[[#This Row],[PNP Début]]=0,0,IF(H_Avr[[#This Row],[PNP Début]]&lt;H_Avr[[#This Row],[début]],1,0)+H_Avr[[#This Row],[PNP Début]])</f>
        <v>0</v>
      </c>
      <c r="M28" s="50">
        <f>IF(H_Avr[[#This Row],[PNP Fin]]=0,0,IF(H_Avr[[#This Row],[PNP Fin]]&lt;H_Avr[[#This Row],[début]],1,0)+H_Avr[[#This Row],[PNP Fin]])</f>
        <v>0</v>
      </c>
      <c r="N28" s="50">
        <f>IF(H_Avr[[#This Row],[Fin]]&lt;H_Avr[[#This Row],[début]],1,0)+H_Avr[[#This Row],[Fin]]</f>
        <v>0</v>
      </c>
      <c r="O28" s="31">
        <f>IF(H_Avr[[#This Row],[Fin]]&lt;H_Avr[[#This Row],[début]],MAX(0,MIN(H_Avr[[#This Row],[Fin corrigée si nuit]],fin_nuit)-MAX(H_Avr[[#This Row],[début]],deb_nuit))*24,(MAX(deb_nuit,H_Avr[[#This Row],[Fin]])-MAX(deb_nuit,H_Avr[[#This Row],[début]])+MAX(MIN(fin_nuit-1,H_Avr[[#This Row],[Fin]])-MIN(fin_nuit-1,H_Avr[[#This Row],[début]]),0))*24)</f>
        <v>0</v>
      </c>
      <c r="P28" s="51">
        <f>(MAX(0,MIN(H_Avr[[#This Row],[Fin corrigée si nuit]],fin_nuit)-MAX(H_Avr[[#This Row],[début]],deb_nuit))-IF(H_Avr[[#This Row],[PNP Début]]=0,0,MIN(H_Avr[[#This Row],[PNP Fin corrigée]],fin_nuit)-MAX(H_Avr[[#This Row],[PNP Début corrigé]],deb_nuit)))*24</f>
        <v>0</v>
      </c>
      <c r="Q28" s="51">
        <f>(IF(WEEKDAY(H_Avr[[#This Row],[Date]],2)=7,MAX(0,MIN(fin_dimJF,H_Avr[[#This Row],[Fin corrigée si nuit]])-MAX(deb_dimJF,H_Avr[[#This Row],[début]])),0)+IF(WEEKDAY(H_Avr[[#This Row],[Date]],2)=6,MAX(0,H_Avr[[#This Row],[Fin corrigée si nuit]]-(1+deb_dimJF)),0))*24</f>
        <v>0</v>
      </c>
      <c r="R28"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8" s="51">
        <f>(IF(COUNTIF(JF,H_Avr[[#This Row],[Date]]),MAX(0,MIN(fin_dimJF,H_Avr[[#This Row],[Fin corrigée si nuit]])-MAX(deb_dimJF,H_Avr[[#This Row],[début]])),0)+IF(COUNTIF(JF,H_Avr[[#This Row],[Date]]+1),MAX(0,H_Avr[[#This Row],[Fin corrigée si nuit]]-(1+deb_dimJF)),0))*24</f>
        <v>0</v>
      </c>
      <c r="T28"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29" spans="1:20" x14ac:dyDescent="0.3">
      <c r="A29" s="4"/>
      <c r="B29" s="1"/>
      <c r="C29" s="2"/>
      <c r="D29" s="2"/>
      <c r="E29" s="3"/>
      <c r="F29" s="3"/>
      <c r="G29" s="3"/>
      <c r="H29" s="3"/>
      <c r="I29" s="47">
        <f>0.1*(H_Avr[[#This Row],[Heures de nuit]]+IF(H_Avr[[#This Row],[majoration dim &amp; JF]]="non",0,H_Avr[[#This Row],[heures jour dimanche]]+H_Avr[[#This Row],[heures jour fériés]]))</f>
        <v>0</v>
      </c>
      <c r="J29" s="29">
        <f>(MOD(H_Avr[[#This Row],[Fin]]-H_Avr[[#This Row],[début]],1)-MOD(H_Avr[[#This Row],[PNP Fin]]-H_Avr[[#This Row],[PNP Début]],1))*24</f>
        <v>0</v>
      </c>
      <c r="K29" s="119" t="str">
        <f>IFERROR(VLOOKUP(H_Avr[[#This Row],[Service]],Codes[],4,0),"")</f>
        <v/>
      </c>
      <c r="L29" s="49">
        <f>IF(H_Avr[[#This Row],[PNP Début]]=0,0,IF(H_Avr[[#This Row],[PNP Début]]&lt;H_Avr[[#This Row],[début]],1,0)+H_Avr[[#This Row],[PNP Début]])</f>
        <v>0</v>
      </c>
      <c r="M29" s="50">
        <f>IF(H_Avr[[#This Row],[PNP Fin]]=0,0,IF(H_Avr[[#This Row],[PNP Fin]]&lt;H_Avr[[#This Row],[début]],1,0)+H_Avr[[#This Row],[PNP Fin]])</f>
        <v>0</v>
      </c>
      <c r="N29" s="50">
        <f>IF(H_Avr[[#This Row],[Fin]]&lt;H_Avr[[#This Row],[début]],1,0)+H_Avr[[#This Row],[Fin]]</f>
        <v>0</v>
      </c>
      <c r="O29" s="31">
        <f>IF(H_Avr[[#This Row],[Fin]]&lt;H_Avr[[#This Row],[début]],MAX(0,MIN(H_Avr[[#This Row],[Fin corrigée si nuit]],fin_nuit)-MAX(H_Avr[[#This Row],[début]],deb_nuit))*24,(MAX(deb_nuit,H_Avr[[#This Row],[Fin]])-MAX(deb_nuit,H_Avr[[#This Row],[début]])+MAX(MIN(fin_nuit-1,H_Avr[[#This Row],[Fin]])-MIN(fin_nuit-1,H_Avr[[#This Row],[début]]),0))*24)</f>
        <v>0</v>
      </c>
      <c r="P29" s="51">
        <f>(MAX(0,MIN(H_Avr[[#This Row],[Fin corrigée si nuit]],fin_nuit)-MAX(H_Avr[[#This Row],[début]],deb_nuit))-IF(H_Avr[[#This Row],[PNP Début]]=0,0,MIN(H_Avr[[#This Row],[PNP Fin corrigée]],fin_nuit)-MAX(H_Avr[[#This Row],[PNP Début corrigé]],deb_nuit)))*24</f>
        <v>0</v>
      </c>
      <c r="Q29" s="51">
        <f>(IF(WEEKDAY(H_Avr[[#This Row],[Date]],2)=7,MAX(0,MIN(fin_dimJF,H_Avr[[#This Row],[Fin corrigée si nuit]])-MAX(deb_dimJF,H_Avr[[#This Row],[début]])),0)+IF(WEEKDAY(H_Avr[[#This Row],[Date]],2)=6,MAX(0,H_Avr[[#This Row],[Fin corrigée si nuit]]-(1+deb_dimJF)),0))*24</f>
        <v>0</v>
      </c>
      <c r="R29"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29" s="51">
        <f>(IF(COUNTIF(JF,H_Avr[[#This Row],[Date]]),MAX(0,MIN(fin_dimJF,H_Avr[[#This Row],[Fin corrigée si nuit]])-MAX(deb_dimJF,H_Avr[[#This Row],[début]])),0)+IF(COUNTIF(JF,H_Avr[[#This Row],[Date]]+1),MAX(0,H_Avr[[#This Row],[Fin corrigée si nuit]]-(1+deb_dimJF)),0))*24</f>
        <v>0</v>
      </c>
      <c r="T29"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0" spans="1:20" x14ac:dyDescent="0.3">
      <c r="A30" s="4"/>
      <c r="B30" s="1"/>
      <c r="C30" s="2"/>
      <c r="D30" s="2"/>
      <c r="E30" s="3"/>
      <c r="F30" s="3"/>
      <c r="G30" s="10"/>
      <c r="H30" s="10"/>
      <c r="I30" s="47">
        <f>0.1*(H_Avr[[#This Row],[Heures de nuit]]+IF(H_Avr[[#This Row],[majoration dim &amp; JF]]="non",0,H_Avr[[#This Row],[heures jour dimanche]]+H_Avr[[#This Row],[heures jour fériés]]))</f>
        <v>0</v>
      </c>
      <c r="J30" s="29">
        <f>(MOD(H_Avr[[#This Row],[Fin]]-H_Avr[[#This Row],[début]],1)-MOD(H_Avr[[#This Row],[PNP Fin]]-H_Avr[[#This Row],[PNP Début]],1))*24</f>
        <v>0</v>
      </c>
      <c r="K30" s="119" t="str">
        <f>IFERROR(VLOOKUP(H_Avr[[#This Row],[Service]],Codes[],4,0),"")</f>
        <v/>
      </c>
      <c r="L30" s="49">
        <f>IF(H_Avr[[#This Row],[PNP Début]]=0,0,IF(H_Avr[[#This Row],[PNP Début]]&lt;H_Avr[[#This Row],[début]],1,0)+H_Avr[[#This Row],[PNP Début]])</f>
        <v>0</v>
      </c>
      <c r="M30" s="50">
        <f>IF(H_Avr[[#This Row],[PNP Fin]]=0,0,IF(H_Avr[[#This Row],[PNP Fin]]&lt;H_Avr[[#This Row],[début]],1,0)+H_Avr[[#This Row],[PNP Fin]])</f>
        <v>0</v>
      </c>
      <c r="N30" s="50">
        <f>IF(H_Avr[[#This Row],[Fin]]&lt;H_Avr[[#This Row],[début]],1,0)+H_Avr[[#This Row],[Fin]]</f>
        <v>0</v>
      </c>
      <c r="O30" s="31">
        <f>IF(H_Avr[[#This Row],[Fin]]&lt;H_Avr[[#This Row],[début]],MAX(0,MIN(H_Avr[[#This Row],[Fin corrigée si nuit]],fin_nuit)-MAX(H_Avr[[#This Row],[début]],deb_nuit))*24,(MAX(deb_nuit,H_Avr[[#This Row],[Fin]])-MAX(deb_nuit,H_Avr[[#This Row],[début]])+MAX(MIN(fin_nuit-1,H_Avr[[#This Row],[Fin]])-MIN(fin_nuit-1,H_Avr[[#This Row],[début]]),0))*24)</f>
        <v>0</v>
      </c>
      <c r="P30" s="51">
        <f>(MAX(0,MIN(H_Avr[[#This Row],[Fin corrigée si nuit]],fin_nuit)-MAX(H_Avr[[#This Row],[début]],deb_nuit))-IF(H_Avr[[#This Row],[PNP Début]]=0,0,MIN(H_Avr[[#This Row],[PNP Fin corrigée]],fin_nuit)-MAX(H_Avr[[#This Row],[PNP Début corrigé]],deb_nuit)))*24</f>
        <v>0</v>
      </c>
      <c r="Q30" s="51">
        <f>(IF(WEEKDAY(H_Avr[[#This Row],[Date]],2)=7,MAX(0,MIN(fin_dimJF,H_Avr[[#This Row],[Fin corrigée si nuit]])-MAX(deb_dimJF,H_Avr[[#This Row],[début]])),0)+IF(WEEKDAY(H_Avr[[#This Row],[Date]],2)=6,MAX(0,H_Avr[[#This Row],[Fin corrigée si nuit]]-(1+deb_dimJF)),0))*24</f>
        <v>0</v>
      </c>
      <c r="R30"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0" s="51">
        <f>(IF(COUNTIF(JF,H_Avr[[#This Row],[Date]]),MAX(0,MIN(fin_dimJF,H_Avr[[#This Row],[Fin corrigée si nuit]])-MAX(deb_dimJF,H_Avr[[#This Row],[début]])),0)+IF(COUNTIF(JF,H_Avr[[#This Row],[Date]]+1),MAX(0,H_Avr[[#This Row],[Fin corrigée si nuit]]-(1+deb_dimJF)),0))*24</f>
        <v>0</v>
      </c>
      <c r="T30"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1" spans="1:20" x14ac:dyDescent="0.3">
      <c r="A31" s="4"/>
      <c r="B31" s="1"/>
      <c r="C31" s="2"/>
      <c r="D31" s="2"/>
      <c r="E31" s="3"/>
      <c r="F31" s="3"/>
      <c r="G31" s="10"/>
      <c r="H31" s="10"/>
      <c r="I31" s="47">
        <f>0.1*(H_Avr[[#This Row],[Heures de nuit]]+IF(H_Avr[[#This Row],[majoration dim &amp; JF]]="non",0,H_Avr[[#This Row],[heures jour dimanche]]+H_Avr[[#This Row],[heures jour fériés]]))</f>
        <v>0</v>
      </c>
      <c r="J31" s="29">
        <f>(MOD(H_Avr[[#This Row],[Fin]]-H_Avr[[#This Row],[début]],1)-MOD(H_Avr[[#This Row],[PNP Fin]]-H_Avr[[#This Row],[PNP Début]],1))*24</f>
        <v>0</v>
      </c>
      <c r="K31" s="119" t="str">
        <f>IFERROR(VLOOKUP(H_Avr[[#This Row],[Service]],Codes[],4,0),"")</f>
        <v/>
      </c>
      <c r="L31" s="49">
        <f>IF(H_Avr[[#This Row],[PNP Début]]=0,0,IF(H_Avr[[#This Row],[PNP Début]]&lt;H_Avr[[#This Row],[début]],1,0)+H_Avr[[#This Row],[PNP Début]])</f>
        <v>0</v>
      </c>
      <c r="M31" s="50">
        <f>IF(H_Avr[[#This Row],[PNP Fin]]=0,0,IF(H_Avr[[#This Row],[PNP Fin]]&lt;H_Avr[[#This Row],[début]],1,0)+H_Avr[[#This Row],[PNP Fin]])</f>
        <v>0</v>
      </c>
      <c r="N31" s="50">
        <f>IF(H_Avr[[#This Row],[Fin]]&lt;H_Avr[[#This Row],[début]],1,0)+H_Avr[[#This Row],[Fin]]</f>
        <v>0</v>
      </c>
      <c r="O31" s="31">
        <f>IF(H_Avr[[#This Row],[Fin]]&lt;H_Avr[[#This Row],[début]],MAX(0,MIN(H_Avr[[#This Row],[Fin corrigée si nuit]],fin_nuit)-MAX(H_Avr[[#This Row],[début]],deb_nuit))*24,(MAX(deb_nuit,H_Avr[[#This Row],[Fin]])-MAX(deb_nuit,H_Avr[[#This Row],[début]])+MAX(MIN(fin_nuit-1,H_Avr[[#This Row],[Fin]])-MIN(fin_nuit-1,H_Avr[[#This Row],[début]]),0))*24)</f>
        <v>0</v>
      </c>
      <c r="P31" s="51">
        <f>(MAX(0,MIN(H_Avr[[#This Row],[Fin corrigée si nuit]],fin_nuit)-MAX(H_Avr[[#This Row],[début]],deb_nuit))-IF(H_Avr[[#This Row],[PNP Début]]=0,0,MIN(H_Avr[[#This Row],[PNP Fin corrigée]],fin_nuit)-MAX(H_Avr[[#This Row],[PNP Début corrigé]],deb_nuit)))*24</f>
        <v>0</v>
      </c>
      <c r="Q31" s="51">
        <f>(IF(WEEKDAY(H_Avr[[#This Row],[Date]],2)=7,MAX(0,MIN(fin_dimJF,H_Avr[[#This Row],[Fin corrigée si nuit]])-MAX(deb_dimJF,H_Avr[[#This Row],[début]])),0)+IF(WEEKDAY(H_Avr[[#This Row],[Date]],2)=6,MAX(0,H_Avr[[#This Row],[Fin corrigée si nuit]]-(1+deb_dimJF)),0))*24</f>
        <v>0</v>
      </c>
      <c r="R31"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1" s="51">
        <f>(IF(COUNTIF(JF,H_Avr[[#This Row],[Date]]),MAX(0,MIN(fin_dimJF,H_Avr[[#This Row],[Fin corrigée si nuit]])-MAX(deb_dimJF,H_Avr[[#This Row],[début]])),0)+IF(COUNTIF(JF,H_Avr[[#This Row],[Date]]+1),MAX(0,H_Avr[[#This Row],[Fin corrigée si nuit]]-(1+deb_dimJF)),0))*24</f>
        <v>0</v>
      </c>
      <c r="T31"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2" spans="1:20" ht="14.55" customHeight="1" x14ac:dyDescent="0.3">
      <c r="A32" s="4"/>
      <c r="B32" s="1"/>
      <c r="C32" s="2"/>
      <c r="D32" s="2"/>
      <c r="E32" s="3"/>
      <c r="F32" s="3"/>
      <c r="G32" s="3"/>
      <c r="H32" s="3"/>
      <c r="I32" s="47">
        <f>0.1*(H_Avr[[#This Row],[Heures de nuit]]+IF(H_Avr[[#This Row],[majoration dim &amp; JF]]="non",0,H_Avr[[#This Row],[heures jour dimanche]]+H_Avr[[#This Row],[heures jour fériés]]))</f>
        <v>0</v>
      </c>
      <c r="J32" s="29">
        <f>(MOD(H_Avr[[#This Row],[Fin]]-H_Avr[[#This Row],[début]],1)-MOD(H_Avr[[#This Row],[PNP Fin]]-H_Avr[[#This Row],[PNP Début]],1))*24</f>
        <v>0</v>
      </c>
      <c r="K32" s="119" t="str">
        <f>IFERROR(VLOOKUP(H_Avr[[#This Row],[Service]],Codes[],4,0),"")</f>
        <v/>
      </c>
      <c r="L32" s="49">
        <f>IF(H_Avr[[#This Row],[PNP Début]]=0,0,IF(H_Avr[[#This Row],[PNP Début]]&lt;H_Avr[[#This Row],[début]],1,0)+H_Avr[[#This Row],[PNP Début]])</f>
        <v>0</v>
      </c>
      <c r="M32" s="50">
        <f>IF(H_Avr[[#This Row],[PNP Fin]]=0,0,IF(H_Avr[[#This Row],[PNP Fin]]&lt;H_Avr[[#This Row],[début]],1,0)+H_Avr[[#This Row],[PNP Fin]])</f>
        <v>0</v>
      </c>
      <c r="N32" s="50">
        <f>IF(H_Avr[[#This Row],[Fin]]&lt;H_Avr[[#This Row],[début]],1,0)+H_Avr[[#This Row],[Fin]]</f>
        <v>0</v>
      </c>
      <c r="O32" s="31">
        <f>IF(H_Avr[[#This Row],[Fin]]&lt;H_Avr[[#This Row],[début]],MAX(0,MIN(H_Avr[[#This Row],[Fin corrigée si nuit]],fin_nuit)-MAX(H_Avr[[#This Row],[début]],deb_nuit))*24,(MAX(deb_nuit,H_Avr[[#This Row],[Fin]])-MAX(deb_nuit,H_Avr[[#This Row],[début]])+MAX(MIN(fin_nuit-1,H_Avr[[#This Row],[Fin]])-MIN(fin_nuit-1,H_Avr[[#This Row],[début]]),0))*24)</f>
        <v>0</v>
      </c>
      <c r="P32" s="51">
        <f>(MAX(0,MIN(H_Avr[[#This Row],[Fin corrigée si nuit]],fin_nuit)-MAX(H_Avr[[#This Row],[début]],deb_nuit))-IF(H_Avr[[#This Row],[PNP Début]]=0,0,MIN(H_Avr[[#This Row],[PNP Fin corrigée]],fin_nuit)-MAX(H_Avr[[#This Row],[PNP Début corrigé]],deb_nuit)))*24</f>
        <v>0</v>
      </c>
      <c r="Q32" s="51">
        <f>(IF(WEEKDAY(H_Avr[[#This Row],[Date]],2)=7,MAX(0,MIN(fin_dimJF,H_Avr[[#This Row],[Fin corrigée si nuit]])-MAX(deb_dimJF,H_Avr[[#This Row],[début]])),0)+IF(WEEKDAY(H_Avr[[#This Row],[Date]],2)=6,MAX(0,H_Avr[[#This Row],[Fin corrigée si nuit]]-(1+deb_dimJF)),0))*24</f>
        <v>0</v>
      </c>
      <c r="R32"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2" s="51">
        <f>(IF(COUNTIF(JF,H_Avr[[#This Row],[Date]]),MAX(0,MIN(fin_dimJF,H_Avr[[#This Row],[Fin corrigée si nuit]])-MAX(deb_dimJF,H_Avr[[#This Row],[début]])),0)+IF(COUNTIF(JF,H_Avr[[#This Row],[Date]]+1),MAX(0,H_Avr[[#This Row],[Fin corrigée si nuit]]-(1+deb_dimJF)),0))*24</f>
        <v>0</v>
      </c>
      <c r="T32"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3" spans="1:20" x14ac:dyDescent="0.3">
      <c r="A33" s="4"/>
      <c r="B33" s="1"/>
      <c r="C33" s="2"/>
      <c r="D33" s="2"/>
      <c r="E33" s="3"/>
      <c r="F33" s="3"/>
      <c r="G33" s="3"/>
      <c r="H33" s="3"/>
      <c r="I33" s="47">
        <f>0.1*(H_Avr[[#This Row],[Heures de nuit]]+IF(H_Avr[[#This Row],[majoration dim &amp; JF]]="non",0,H_Avr[[#This Row],[heures jour dimanche]]+H_Avr[[#This Row],[heures jour fériés]]))</f>
        <v>0</v>
      </c>
      <c r="J33" s="29">
        <f>(MOD(H_Avr[[#This Row],[Fin]]-H_Avr[[#This Row],[début]],1)-MOD(H_Avr[[#This Row],[PNP Fin]]-H_Avr[[#This Row],[PNP Début]],1))*24</f>
        <v>0</v>
      </c>
      <c r="K33" s="119" t="str">
        <f>IFERROR(VLOOKUP(H_Avr[[#This Row],[Service]],Codes[],4,0),"")</f>
        <v/>
      </c>
      <c r="L33" s="49">
        <f>IF(H_Avr[[#This Row],[PNP Début]]=0,0,IF(H_Avr[[#This Row],[PNP Début]]&lt;H_Avr[[#This Row],[début]],1,0)+H_Avr[[#This Row],[PNP Début]])</f>
        <v>0</v>
      </c>
      <c r="M33" s="50">
        <f>IF(H_Avr[[#This Row],[PNP Fin]]=0,0,IF(H_Avr[[#This Row],[PNP Fin]]&lt;H_Avr[[#This Row],[début]],1,0)+H_Avr[[#This Row],[PNP Fin]])</f>
        <v>0</v>
      </c>
      <c r="N33" s="50">
        <f>IF(H_Avr[[#This Row],[Fin]]&lt;H_Avr[[#This Row],[début]],1,0)+H_Avr[[#This Row],[Fin]]</f>
        <v>0</v>
      </c>
      <c r="O33" s="31">
        <f>IF(H_Avr[[#This Row],[Fin]]&lt;H_Avr[[#This Row],[début]],MAX(0,MIN(H_Avr[[#This Row],[Fin corrigée si nuit]],fin_nuit)-MAX(H_Avr[[#This Row],[début]],deb_nuit))*24,(MAX(deb_nuit,H_Avr[[#This Row],[Fin]])-MAX(deb_nuit,H_Avr[[#This Row],[début]])+MAX(MIN(fin_nuit-1,H_Avr[[#This Row],[Fin]])-MIN(fin_nuit-1,H_Avr[[#This Row],[début]]),0))*24)</f>
        <v>0</v>
      </c>
      <c r="P33" s="51">
        <f>(MAX(0,MIN(H_Avr[[#This Row],[Fin corrigée si nuit]],fin_nuit)-MAX(H_Avr[[#This Row],[début]],deb_nuit))-IF(H_Avr[[#This Row],[PNP Début]]=0,0,MIN(H_Avr[[#This Row],[PNP Fin corrigée]],fin_nuit)-MAX(H_Avr[[#This Row],[PNP Début corrigé]],deb_nuit)))*24</f>
        <v>0</v>
      </c>
      <c r="Q33" s="51">
        <f>(IF(WEEKDAY(H_Avr[[#This Row],[Date]],2)=7,MAX(0,MIN(fin_dimJF,H_Avr[[#This Row],[Fin corrigée si nuit]])-MAX(deb_dimJF,H_Avr[[#This Row],[début]])),0)+IF(WEEKDAY(H_Avr[[#This Row],[Date]],2)=6,MAX(0,H_Avr[[#This Row],[Fin corrigée si nuit]]-(1+deb_dimJF)),0))*24</f>
        <v>0</v>
      </c>
      <c r="R33"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3" s="51">
        <f>(IF(COUNTIF(JF,H_Avr[[#This Row],[Date]]),MAX(0,MIN(fin_dimJF,H_Avr[[#This Row],[Fin corrigée si nuit]])-MAX(deb_dimJF,H_Avr[[#This Row],[début]])),0)+IF(COUNTIF(JF,H_Avr[[#This Row],[Date]]+1),MAX(0,H_Avr[[#This Row],[Fin corrigée si nuit]]-(1+deb_dimJF)),0))*24</f>
        <v>0</v>
      </c>
      <c r="T33"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4" spans="1:20" x14ac:dyDescent="0.3">
      <c r="A34" s="4"/>
      <c r="B34" s="1"/>
      <c r="C34" s="2"/>
      <c r="D34" s="2"/>
      <c r="E34" s="3"/>
      <c r="F34" s="3"/>
      <c r="G34" s="3"/>
      <c r="H34" s="3"/>
      <c r="I34" s="47">
        <f>0.1*(H_Avr[[#This Row],[Heures de nuit]]+IF(H_Avr[[#This Row],[majoration dim &amp; JF]]="non",0,H_Avr[[#This Row],[heures jour dimanche]]+H_Avr[[#This Row],[heures jour fériés]]))</f>
        <v>0</v>
      </c>
      <c r="J34" s="29">
        <f>(MOD(H_Avr[[#This Row],[Fin]]-H_Avr[[#This Row],[début]],1)-MOD(H_Avr[[#This Row],[PNP Fin]]-H_Avr[[#This Row],[PNP Début]],1))*24</f>
        <v>0</v>
      </c>
      <c r="K34" s="119" t="str">
        <f>IFERROR(VLOOKUP(H_Avr[[#This Row],[Service]],Codes[],4,0),"")</f>
        <v/>
      </c>
      <c r="L34" s="49">
        <f>IF(H_Avr[[#This Row],[PNP Début]]=0,0,IF(H_Avr[[#This Row],[PNP Début]]&lt;H_Avr[[#This Row],[début]],1,0)+H_Avr[[#This Row],[PNP Début]])</f>
        <v>0</v>
      </c>
      <c r="M34" s="50">
        <f>IF(H_Avr[[#This Row],[PNP Fin]]=0,0,IF(H_Avr[[#This Row],[PNP Fin]]&lt;H_Avr[[#This Row],[début]],1,0)+H_Avr[[#This Row],[PNP Fin]])</f>
        <v>0</v>
      </c>
      <c r="N34" s="50">
        <f>IF(H_Avr[[#This Row],[Fin]]&lt;H_Avr[[#This Row],[début]],1,0)+H_Avr[[#This Row],[Fin]]</f>
        <v>0</v>
      </c>
      <c r="O34" s="31">
        <f>IF(H_Avr[[#This Row],[Fin]]&lt;H_Avr[[#This Row],[début]],MAX(0,MIN(H_Avr[[#This Row],[Fin corrigée si nuit]],fin_nuit)-MAX(H_Avr[[#This Row],[début]],deb_nuit))*24,(MAX(deb_nuit,H_Avr[[#This Row],[Fin]])-MAX(deb_nuit,H_Avr[[#This Row],[début]])+MAX(MIN(fin_nuit-1,H_Avr[[#This Row],[Fin]])-MIN(fin_nuit-1,H_Avr[[#This Row],[début]]),0))*24)</f>
        <v>0</v>
      </c>
      <c r="P34" s="51">
        <f>(MAX(0,MIN(H_Avr[[#This Row],[Fin corrigée si nuit]],fin_nuit)-MAX(H_Avr[[#This Row],[début]],deb_nuit))-IF(H_Avr[[#This Row],[PNP Début]]=0,0,MIN(H_Avr[[#This Row],[PNP Fin corrigée]],fin_nuit)-MAX(H_Avr[[#This Row],[PNP Début corrigé]],deb_nuit)))*24</f>
        <v>0</v>
      </c>
      <c r="Q34" s="51">
        <f>(IF(WEEKDAY(H_Avr[[#This Row],[Date]],2)=7,MAX(0,MIN(fin_dimJF,H_Avr[[#This Row],[Fin corrigée si nuit]])-MAX(deb_dimJF,H_Avr[[#This Row],[début]])),0)+IF(WEEKDAY(H_Avr[[#This Row],[Date]],2)=6,MAX(0,H_Avr[[#This Row],[Fin corrigée si nuit]]-(1+deb_dimJF)),0))*24</f>
        <v>0</v>
      </c>
      <c r="R34"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4" s="51">
        <f>(IF(COUNTIF(JF,H_Avr[[#This Row],[Date]]),MAX(0,MIN(fin_dimJF,H_Avr[[#This Row],[Fin corrigée si nuit]])-MAX(deb_dimJF,H_Avr[[#This Row],[début]])),0)+IF(COUNTIF(JF,H_Avr[[#This Row],[Date]]+1),MAX(0,H_Avr[[#This Row],[Fin corrigée si nuit]]-(1+deb_dimJF)),0))*24</f>
        <v>0</v>
      </c>
      <c r="T34"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5" spans="1:20" x14ac:dyDescent="0.3">
      <c r="A35" s="4"/>
      <c r="B35" s="1"/>
      <c r="C35" s="2"/>
      <c r="D35" s="2"/>
      <c r="E35" s="3"/>
      <c r="F35" s="3"/>
      <c r="G35" s="3"/>
      <c r="H35" s="3"/>
      <c r="I35" s="47">
        <f>0.1*(H_Avr[[#This Row],[Heures de nuit]]+IF(H_Avr[[#This Row],[majoration dim &amp; JF]]="non",0,H_Avr[[#This Row],[heures jour dimanche]]+H_Avr[[#This Row],[heures jour fériés]]))</f>
        <v>0</v>
      </c>
      <c r="J35" s="29">
        <f>(MOD(H_Avr[[#This Row],[Fin]]-H_Avr[[#This Row],[début]],1)-MOD(H_Avr[[#This Row],[PNP Fin]]-H_Avr[[#This Row],[PNP Début]],1))*24</f>
        <v>0</v>
      </c>
      <c r="K35" s="119" t="str">
        <f>IFERROR(VLOOKUP(H_Avr[[#This Row],[Service]],Codes[],4,0),"")</f>
        <v/>
      </c>
      <c r="L35" s="49">
        <f>IF(H_Avr[[#This Row],[PNP Début]]=0,0,IF(H_Avr[[#This Row],[PNP Début]]&lt;H_Avr[[#This Row],[début]],1,0)+H_Avr[[#This Row],[PNP Début]])</f>
        <v>0</v>
      </c>
      <c r="M35" s="50">
        <f>IF(H_Avr[[#This Row],[PNP Fin]]=0,0,IF(H_Avr[[#This Row],[PNP Fin]]&lt;H_Avr[[#This Row],[début]],1,0)+H_Avr[[#This Row],[PNP Fin]])</f>
        <v>0</v>
      </c>
      <c r="N35" s="50">
        <f>IF(H_Avr[[#This Row],[Fin]]&lt;H_Avr[[#This Row],[début]],1,0)+H_Avr[[#This Row],[Fin]]</f>
        <v>0</v>
      </c>
      <c r="O35" s="31">
        <f>IF(H_Avr[[#This Row],[Fin]]&lt;H_Avr[[#This Row],[début]],MAX(0,MIN(H_Avr[[#This Row],[Fin corrigée si nuit]],fin_nuit)-MAX(H_Avr[[#This Row],[début]],deb_nuit))*24,(MAX(deb_nuit,H_Avr[[#This Row],[Fin]])-MAX(deb_nuit,H_Avr[[#This Row],[début]])+MAX(MIN(fin_nuit-1,H_Avr[[#This Row],[Fin]])-MIN(fin_nuit-1,H_Avr[[#This Row],[début]]),0))*24)</f>
        <v>0</v>
      </c>
      <c r="P35" s="51">
        <f>(MAX(0,MIN(H_Avr[[#This Row],[Fin corrigée si nuit]],fin_nuit)-MAX(H_Avr[[#This Row],[début]],deb_nuit))-IF(H_Avr[[#This Row],[PNP Début]]=0,0,MIN(H_Avr[[#This Row],[PNP Fin corrigée]],fin_nuit)-MAX(H_Avr[[#This Row],[PNP Début corrigé]],deb_nuit)))*24</f>
        <v>0</v>
      </c>
      <c r="Q35" s="51">
        <f>(IF(WEEKDAY(H_Avr[[#This Row],[Date]],2)=7,MAX(0,MIN(fin_dimJF,H_Avr[[#This Row],[Fin corrigée si nuit]])-MAX(deb_dimJF,H_Avr[[#This Row],[début]])),0)+IF(WEEKDAY(H_Avr[[#This Row],[Date]],2)=6,MAX(0,H_Avr[[#This Row],[Fin corrigée si nuit]]-(1+deb_dimJF)),0))*24</f>
        <v>0</v>
      </c>
      <c r="R35"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5" s="51">
        <f>(IF(COUNTIF(JF,H_Avr[[#This Row],[Date]]),MAX(0,MIN(fin_dimJF,H_Avr[[#This Row],[Fin corrigée si nuit]])-MAX(deb_dimJF,H_Avr[[#This Row],[début]])),0)+IF(COUNTIF(JF,H_Avr[[#This Row],[Date]]+1),MAX(0,H_Avr[[#This Row],[Fin corrigée si nuit]]-(1+deb_dimJF)),0))*24</f>
        <v>0</v>
      </c>
      <c r="T35"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6" spans="1:20" x14ac:dyDescent="0.3">
      <c r="A36" s="4"/>
      <c r="B36" s="1"/>
      <c r="C36" s="2"/>
      <c r="D36" s="2"/>
      <c r="E36" s="3"/>
      <c r="F36" s="3"/>
      <c r="G36" s="3"/>
      <c r="H36" s="3"/>
      <c r="I36" s="47">
        <f>0.1*(H_Avr[[#This Row],[Heures de nuit]]+IF(H_Avr[[#This Row],[majoration dim &amp; JF]]="non",0,H_Avr[[#This Row],[heures jour dimanche]]+H_Avr[[#This Row],[heures jour fériés]]))</f>
        <v>0</v>
      </c>
      <c r="J36" s="29">
        <f>(MOD(H_Avr[[#This Row],[Fin]]-H_Avr[[#This Row],[début]],1)-MOD(H_Avr[[#This Row],[PNP Fin]]-H_Avr[[#This Row],[PNP Début]],1))*24</f>
        <v>0</v>
      </c>
      <c r="K36" s="119" t="str">
        <f>IFERROR(VLOOKUP(H_Avr[[#This Row],[Service]],Codes[],4,0),"")</f>
        <v/>
      </c>
      <c r="L36" s="49">
        <f>IF(H_Avr[[#This Row],[PNP Début]]=0,0,IF(H_Avr[[#This Row],[PNP Début]]&lt;H_Avr[[#This Row],[début]],1,0)+H_Avr[[#This Row],[PNP Début]])</f>
        <v>0</v>
      </c>
      <c r="M36" s="50">
        <f>IF(H_Avr[[#This Row],[PNP Fin]]=0,0,IF(H_Avr[[#This Row],[PNP Fin]]&lt;H_Avr[[#This Row],[début]],1,0)+H_Avr[[#This Row],[PNP Fin]])</f>
        <v>0</v>
      </c>
      <c r="N36" s="50">
        <f>IF(H_Avr[[#This Row],[Fin]]&lt;H_Avr[[#This Row],[début]],1,0)+H_Avr[[#This Row],[Fin]]</f>
        <v>0</v>
      </c>
      <c r="O36" s="31">
        <f>IF(H_Avr[[#This Row],[Fin]]&lt;H_Avr[[#This Row],[début]],MAX(0,MIN(H_Avr[[#This Row],[Fin corrigée si nuit]],fin_nuit)-MAX(H_Avr[[#This Row],[début]],deb_nuit))*24,(MAX(deb_nuit,H_Avr[[#This Row],[Fin]])-MAX(deb_nuit,H_Avr[[#This Row],[début]])+MAX(MIN(fin_nuit-1,H_Avr[[#This Row],[Fin]])-MIN(fin_nuit-1,H_Avr[[#This Row],[début]]),0))*24)</f>
        <v>0</v>
      </c>
      <c r="P36" s="51">
        <f>(MAX(0,MIN(H_Avr[[#This Row],[Fin corrigée si nuit]],fin_nuit)-MAX(H_Avr[[#This Row],[début]],deb_nuit))-IF(H_Avr[[#This Row],[PNP Début]]=0,0,MIN(H_Avr[[#This Row],[PNP Fin corrigée]],fin_nuit)-MAX(H_Avr[[#This Row],[PNP Début corrigé]],deb_nuit)))*24</f>
        <v>0</v>
      </c>
      <c r="Q36" s="51">
        <f>(IF(WEEKDAY(H_Avr[[#This Row],[Date]],2)=7,MAX(0,MIN(fin_dimJF,H_Avr[[#This Row],[Fin corrigée si nuit]])-MAX(deb_dimJF,H_Avr[[#This Row],[début]])),0)+IF(WEEKDAY(H_Avr[[#This Row],[Date]],2)=6,MAX(0,H_Avr[[#This Row],[Fin corrigée si nuit]]-(1+deb_dimJF)),0))*24</f>
        <v>0</v>
      </c>
      <c r="R36"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6" s="51">
        <f>(IF(COUNTIF(JF,H_Avr[[#This Row],[Date]]),MAX(0,MIN(fin_dimJF,H_Avr[[#This Row],[Fin corrigée si nuit]])-MAX(deb_dimJF,H_Avr[[#This Row],[début]])),0)+IF(COUNTIF(JF,H_Avr[[#This Row],[Date]]+1),MAX(0,H_Avr[[#This Row],[Fin corrigée si nuit]]-(1+deb_dimJF)),0))*24</f>
        <v>0</v>
      </c>
      <c r="T36"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7" spans="1:20" x14ac:dyDescent="0.3">
      <c r="A37" s="4"/>
      <c r="B37" s="1"/>
      <c r="C37" s="2"/>
      <c r="D37" s="2"/>
      <c r="E37" s="3"/>
      <c r="F37" s="3"/>
      <c r="G37" s="3"/>
      <c r="H37" s="3"/>
      <c r="I37" s="47">
        <f>0.1*(H_Avr[[#This Row],[Heures de nuit]]+IF(H_Avr[[#This Row],[majoration dim &amp; JF]]="non",0,H_Avr[[#This Row],[heures jour dimanche]]+H_Avr[[#This Row],[heures jour fériés]]))</f>
        <v>0</v>
      </c>
      <c r="J37" s="29">
        <f>(MOD(H_Avr[[#This Row],[Fin]]-H_Avr[[#This Row],[début]],1)-MOD(H_Avr[[#This Row],[PNP Fin]]-H_Avr[[#This Row],[PNP Début]],1))*24</f>
        <v>0</v>
      </c>
      <c r="K37" s="119" t="str">
        <f>IFERROR(VLOOKUP(H_Avr[[#This Row],[Service]],Codes[],4,0),"")</f>
        <v/>
      </c>
      <c r="L37" s="49">
        <f>IF(H_Avr[[#This Row],[PNP Début]]=0,0,IF(H_Avr[[#This Row],[PNP Début]]&lt;H_Avr[[#This Row],[début]],1,0)+H_Avr[[#This Row],[PNP Début]])</f>
        <v>0</v>
      </c>
      <c r="M37" s="50">
        <f>IF(H_Avr[[#This Row],[PNP Fin]]=0,0,IF(H_Avr[[#This Row],[PNP Fin]]&lt;H_Avr[[#This Row],[début]],1,0)+H_Avr[[#This Row],[PNP Fin]])</f>
        <v>0</v>
      </c>
      <c r="N37" s="50">
        <f>IF(H_Avr[[#This Row],[Fin]]&lt;H_Avr[[#This Row],[début]],1,0)+H_Avr[[#This Row],[Fin]]</f>
        <v>0</v>
      </c>
      <c r="O37" s="31">
        <f>IF(H_Avr[[#This Row],[Fin]]&lt;H_Avr[[#This Row],[début]],MAX(0,MIN(H_Avr[[#This Row],[Fin corrigée si nuit]],fin_nuit)-MAX(H_Avr[[#This Row],[début]],deb_nuit))*24,(MAX(deb_nuit,H_Avr[[#This Row],[Fin]])-MAX(deb_nuit,H_Avr[[#This Row],[début]])+MAX(MIN(fin_nuit-1,H_Avr[[#This Row],[Fin]])-MIN(fin_nuit-1,H_Avr[[#This Row],[début]]),0))*24)</f>
        <v>0</v>
      </c>
      <c r="P37" s="51">
        <f>(MAX(0,MIN(H_Avr[[#This Row],[Fin corrigée si nuit]],fin_nuit)-MAX(H_Avr[[#This Row],[début]],deb_nuit))-IF(H_Avr[[#This Row],[PNP Début]]=0,0,MIN(H_Avr[[#This Row],[PNP Fin corrigée]],fin_nuit)-MAX(H_Avr[[#This Row],[PNP Début corrigé]],deb_nuit)))*24</f>
        <v>0</v>
      </c>
      <c r="Q37" s="51">
        <f>(IF(WEEKDAY(H_Avr[[#This Row],[Date]],2)=7,MAX(0,MIN(fin_dimJF,H_Avr[[#This Row],[Fin corrigée si nuit]])-MAX(deb_dimJF,H_Avr[[#This Row],[début]])),0)+IF(WEEKDAY(H_Avr[[#This Row],[Date]],2)=6,MAX(0,H_Avr[[#This Row],[Fin corrigée si nuit]]-(1+deb_dimJF)),0))*24</f>
        <v>0</v>
      </c>
      <c r="R37"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7" s="51">
        <f>(IF(COUNTIF(JF,H_Avr[[#This Row],[Date]]),MAX(0,MIN(fin_dimJF,H_Avr[[#This Row],[Fin corrigée si nuit]])-MAX(deb_dimJF,H_Avr[[#This Row],[début]])),0)+IF(COUNTIF(JF,H_Avr[[#This Row],[Date]]+1),MAX(0,H_Avr[[#This Row],[Fin corrigée si nuit]]-(1+deb_dimJF)),0))*24</f>
        <v>0</v>
      </c>
      <c r="T37"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8" spans="1:20" x14ac:dyDescent="0.3">
      <c r="A38" s="4"/>
      <c r="B38" s="1"/>
      <c r="C38" s="2"/>
      <c r="D38" s="2"/>
      <c r="E38" s="3"/>
      <c r="F38" s="3"/>
      <c r="G38" s="3"/>
      <c r="H38" s="3"/>
      <c r="I38" s="47">
        <f>0.1*(H_Avr[[#This Row],[Heures de nuit]]+IF(H_Avr[[#This Row],[majoration dim &amp; JF]]="non",0,H_Avr[[#This Row],[heures jour dimanche]]+H_Avr[[#This Row],[heures jour fériés]]))</f>
        <v>0</v>
      </c>
      <c r="J38" s="29">
        <f>(MOD(H_Avr[[#This Row],[Fin]]-H_Avr[[#This Row],[début]],1)-MOD(H_Avr[[#This Row],[PNP Fin]]-H_Avr[[#This Row],[PNP Début]],1))*24</f>
        <v>0</v>
      </c>
      <c r="K38" s="119" t="str">
        <f>IFERROR(VLOOKUP(H_Avr[[#This Row],[Service]],Codes[],4,0),"")</f>
        <v/>
      </c>
      <c r="L38" s="49">
        <f>IF(H_Avr[[#This Row],[PNP Début]]=0,0,IF(H_Avr[[#This Row],[PNP Début]]&lt;H_Avr[[#This Row],[début]],1,0)+H_Avr[[#This Row],[PNP Début]])</f>
        <v>0</v>
      </c>
      <c r="M38" s="50">
        <f>IF(H_Avr[[#This Row],[PNP Fin]]=0,0,IF(H_Avr[[#This Row],[PNP Fin]]&lt;H_Avr[[#This Row],[début]],1,0)+H_Avr[[#This Row],[PNP Fin]])</f>
        <v>0</v>
      </c>
      <c r="N38" s="50">
        <f>IF(H_Avr[[#This Row],[Fin]]&lt;H_Avr[[#This Row],[début]],1,0)+H_Avr[[#This Row],[Fin]]</f>
        <v>0</v>
      </c>
      <c r="O38" s="31">
        <f>IF(H_Avr[[#This Row],[Fin]]&lt;H_Avr[[#This Row],[début]],MAX(0,MIN(H_Avr[[#This Row],[Fin corrigée si nuit]],fin_nuit)-MAX(H_Avr[[#This Row],[début]],deb_nuit))*24,(MAX(deb_nuit,H_Avr[[#This Row],[Fin]])-MAX(deb_nuit,H_Avr[[#This Row],[début]])+MAX(MIN(fin_nuit-1,H_Avr[[#This Row],[Fin]])-MIN(fin_nuit-1,H_Avr[[#This Row],[début]]),0))*24)</f>
        <v>0</v>
      </c>
      <c r="P38" s="51">
        <f>(MAX(0,MIN(H_Avr[[#This Row],[Fin corrigée si nuit]],fin_nuit)-MAX(H_Avr[[#This Row],[début]],deb_nuit))-IF(H_Avr[[#This Row],[PNP Début]]=0,0,MIN(H_Avr[[#This Row],[PNP Fin corrigée]],fin_nuit)-MAX(H_Avr[[#This Row],[PNP Début corrigé]],deb_nuit)))*24</f>
        <v>0</v>
      </c>
      <c r="Q38" s="51">
        <f>(IF(WEEKDAY(H_Avr[[#This Row],[Date]],2)=7,MAX(0,MIN(fin_dimJF,H_Avr[[#This Row],[Fin corrigée si nuit]])-MAX(deb_dimJF,H_Avr[[#This Row],[début]])),0)+IF(WEEKDAY(H_Avr[[#This Row],[Date]],2)=6,MAX(0,H_Avr[[#This Row],[Fin corrigée si nuit]]-(1+deb_dimJF)),0))*24</f>
        <v>0</v>
      </c>
      <c r="R38"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8" s="51">
        <f>(IF(COUNTIF(JF,H_Avr[[#This Row],[Date]]),MAX(0,MIN(fin_dimJF,H_Avr[[#This Row],[Fin corrigée si nuit]])-MAX(deb_dimJF,H_Avr[[#This Row],[début]])),0)+IF(COUNTIF(JF,H_Avr[[#This Row],[Date]]+1),MAX(0,H_Avr[[#This Row],[Fin corrigée si nuit]]-(1+deb_dimJF)),0))*24</f>
        <v>0</v>
      </c>
      <c r="T38"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39" spans="1:20" x14ac:dyDescent="0.3">
      <c r="A39" s="4"/>
      <c r="B39" s="1"/>
      <c r="C39" s="2"/>
      <c r="D39" s="2"/>
      <c r="E39" s="3"/>
      <c r="F39" s="3"/>
      <c r="G39" s="3"/>
      <c r="H39" s="3"/>
      <c r="I39" s="47">
        <f>0.1*(H_Avr[[#This Row],[Heures de nuit]]+IF(H_Avr[[#This Row],[majoration dim &amp; JF]]="non",0,H_Avr[[#This Row],[heures jour dimanche]]+H_Avr[[#This Row],[heures jour fériés]]))</f>
        <v>0</v>
      </c>
      <c r="J39" s="29">
        <f>(MOD(H_Avr[[#This Row],[Fin]]-H_Avr[[#This Row],[début]],1)-MOD(H_Avr[[#This Row],[PNP Fin]]-H_Avr[[#This Row],[PNP Début]],1))*24</f>
        <v>0</v>
      </c>
      <c r="K39" s="119" t="str">
        <f>IFERROR(VLOOKUP(H_Avr[[#This Row],[Service]],Codes[],4,0),"")</f>
        <v/>
      </c>
      <c r="L39" s="49">
        <f>IF(H_Avr[[#This Row],[PNP Début]]=0,0,IF(H_Avr[[#This Row],[PNP Début]]&lt;H_Avr[[#This Row],[début]],1,0)+H_Avr[[#This Row],[PNP Début]])</f>
        <v>0</v>
      </c>
      <c r="M39" s="50">
        <f>IF(H_Avr[[#This Row],[PNP Fin]]=0,0,IF(H_Avr[[#This Row],[PNP Fin]]&lt;H_Avr[[#This Row],[début]],1,0)+H_Avr[[#This Row],[PNP Fin]])</f>
        <v>0</v>
      </c>
      <c r="N39" s="50">
        <f>IF(H_Avr[[#This Row],[Fin]]&lt;H_Avr[[#This Row],[début]],1,0)+H_Avr[[#This Row],[Fin]]</f>
        <v>0</v>
      </c>
      <c r="O39" s="31">
        <f>IF(H_Avr[[#This Row],[Fin]]&lt;H_Avr[[#This Row],[début]],MAX(0,MIN(H_Avr[[#This Row],[Fin corrigée si nuit]],fin_nuit)-MAX(H_Avr[[#This Row],[début]],deb_nuit))*24,(MAX(deb_nuit,H_Avr[[#This Row],[Fin]])-MAX(deb_nuit,H_Avr[[#This Row],[début]])+MAX(MIN(fin_nuit-1,H_Avr[[#This Row],[Fin]])-MIN(fin_nuit-1,H_Avr[[#This Row],[début]]),0))*24)</f>
        <v>0</v>
      </c>
      <c r="P39" s="51">
        <f>(MAX(0,MIN(H_Avr[[#This Row],[Fin corrigée si nuit]],fin_nuit)-MAX(H_Avr[[#This Row],[début]],deb_nuit))-IF(H_Avr[[#This Row],[PNP Début]]=0,0,MIN(H_Avr[[#This Row],[PNP Fin corrigée]],fin_nuit)-MAX(H_Avr[[#This Row],[PNP Début corrigé]],deb_nuit)))*24</f>
        <v>0</v>
      </c>
      <c r="Q39" s="51">
        <f>(IF(WEEKDAY(H_Avr[[#This Row],[Date]],2)=7,MAX(0,MIN(fin_dimJF,H_Avr[[#This Row],[Fin corrigée si nuit]])-MAX(deb_dimJF,H_Avr[[#This Row],[début]])),0)+IF(WEEKDAY(H_Avr[[#This Row],[Date]],2)=6,MAX(0,H_Avr[[#This Row],[Fin corrigée si nuit]]-(1+deb_dimJF)),0))*24</f>
        <v>0</v>
      </c>
      <c r="R39"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39" s="51">
        <f>(IF(COUNTIF(JF,H_Avr[[#This Row],[Date]]),MAX(0,MIN(fin_dimJF,H_Avr[[#This Row],[Fin corrigée si nuit]])-MAX(deb_dimJF,H_Avr[[#This Row],[début]])),0)+IF(COUNTIF(JF,H_Avr[[#This Row],[Date]]+1),MAX(0,H_Avr[[#This Row],[Fin corrigée si nuit]]-(1+deb_dimJF)),0))*24</f>
        <v>0</v>
      </c>
      <c r="T39"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0" spans="1:20" x14ac:dyDescent="0.3">
      <c r="A40" s="4"/>
      <c r="B40" s="1"/>
      <c r="C40" s="2"/>
      <c r="D40" s="2"/>
      <c r="E40" s="3"/>
      <c r="F40" s="3"/>
      <c r="G40" s="3"/>
      <c r="H40" s="3"/>
      <c r="I40" s="47">
        <f>0.1*(H_Avr[[#This Row],[Heures de nuit]]+IF(H_Avr[[#This Row],[majoration dim &amp; JF]]="non",0,H_Avr[[#This Row],[heures jour dimanche]]+H_Avr[[#This Row],[heures jour fériés]]))</f>
        <v>0</v>
      </c>
      <c r="J40" s="29">
        <f>(MOD(H_Avr[[#This Row],[Fin]]-H_Avr[[#This Row],[début]],1)-MOD(H_Avr[[#This Row],[PNP Fin]]-H_Avr[[#This Row],[PNP Début]],1))*24</f>
        <v>0</v>
      </c>
      <c r="K40" s="119" t="str">
        <f>IFERROR(VLOOKUP(H_Avr[[#This Row],[Service]],Codes[],4,0),"")</f>
        <v/>
      </c>
      <c r="L40" s="49">
        <f>IF(H_Avr[[#This Row],[PNP Début]]=0,0,IF(H_Avr[[#This Row],[PNP Début]]&lt;H_Avr[[#This Row],[début]],1,0)+H_Avr[[#This Row],[PNP Début]])</f>
        <v>0</v>
      </c>
      <c r="M40" s="50">
        <f>IF(H_Avr[[#This Row],[PNP Fin]]=0,0,IF(H_Avr[[#This Row],[PNP Fin]]&lt;H_Avr[[#This Row],[début]],1,0)+H_Avr[[#This Row],[PNP Fin]])</f>
        <v>0</v>
      </c>
      <c r="N40" s="50">
        <f>IF(H_Avr[[#This Row],[Fin]]&lt;H_Avr[[#This Row],[début]],1,0)+H_Avr[[#This Row],[Fin]]</f>
        <v>0</v>
      </c>
      <c r="O40" s="31">
        <f>IF(H_Avr[[#This Row],[Fin]]&lt;H_Avr[[#This Row],[début]],MAX(0,MIN(H_Avr[[#This Row],[Fin corrigée si nuit]],fin_nuit)-MAX(H_Avr[[#This Row],[début]],deb_nuit))*24,(MAX(deb_nuit,H_Avr[[#This Row],[Fin]])-MAX(deb_nuit,H_Avr[[#This Row],[début]])+MAX(MIN(fin_nuit-1,H_Avr[[#This Row],[Fin]])-MIN(fin_nuit-1,H_Avr[[#This Row],[début]]),0))*24)</f>
        <v>0</v>
      </c>
      <c r="P40" s="51">
        <f>(MAX(0,MIN(H_Avr[[#This Row],[Fin corrigée si nuit]],fin_nuit)-MAX(H_Avr[[#This Row],[début]],deb_nuit))-IF(H_Avr[[#This Row],[PNP Début]]=0,0,MIN(H_Avr[[#This Row],[PNP Fin corrigée]],fin_nuit)-MAX(H_Avr[[#This Row],[PNP Début corrigé]],deb_nuit)))*24</f>
        <v>0</v>
      </c>
      <c r="Q40" s="51">
        <f>(IF(WEEKDAY(H_Avr[[#This Row],[Date]],2)=7,MAX(0,MIN(fin_dimJF,H_Avr[[#This Row],[Fin corrigée si nuit]])-MAX(deb_dimJF,H_Avr[[#This Row],[début]])),0)+IF(WEEKDAY(H_Avr[[#This Row],[Date]],2)=6,MAX(0,H_Avr[[#This Row],[Fin corrigée si nuit]]-(1+deb_dimJF)),0))*24</f>
        <v>0</v>
      </c>
      <c r="R40"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0" s="51">
        <f>(IF(COUNTIF(JF,H_Avr[[#This Row],[Date]]),MAX(0,MIN(fin_dimJF,H_Avr[[#This Row],[Fin corrigée si nuit]])-MAX(deb_dimJF,H_Avr[[#This Row],[début]])),0)+IF(COUNTIF(JF,H_Avr[[#This Row],[Date]]+1),MAX(0,H_Avr[[#This Row],[Fin corrigée si nuit]]-(1+deb_dimJF)),0))*24</f>
        <v>0</v>
      </c>
      <c r="T40"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1" spans="1:20" x14ac:dyDescent="0.3">
      <c r="A41" s="4"/>
      <c r="B41" s="1"/>
      <c r="C41" s="2"/>
      <c r="D41" s="2"/>
      <c r="E41" s="3"/>
      <c r="F41" s="3"/>
      <c r="G41" s="3"/>
      <c r="H41" s="3"/>
      <c r="I41" s="47">
        <f>0.1*(H_Avr[[#This Row],[Heures de nuit]]+IF(H_Avr[[#This Row],[majoration dim &amp; JF]]="non",0,H_Avr[[#This Row],[heures jour dimanche]]+H_Avr[[#This Row],[heures jour fériés]]))</f>
        <v>0</v>
      </c>
      <c r="J41" s="29">
        <f>(MOD(H_Avr[[#This Row],[Fin]]-H_Avr[[#This Row],[début]],1)-MOD(H_Avr[[#This Row],[PNP Fin]]-H_Avr[[#This Row],[PNP Début]],1))*24</f>
        <v>0</v>
      </c>
      <c r="K41" s="119" t="str">
        <f>IFERROR(VLOOKUP(H_Avr[[#This Row],[Service]],Codes[],4,0),"")</f>
        <v/>
      </c>
      <c r="L41" s="49">
        <f>IF(H_Avr[[#This Row],[PNP Début]]=0,0,IF(H_Avr[[#This Row],[PNP Début]]&lt;H_Avr[[#This Row],[début]],1,0)+H_Avr[[#This Row],[PNP Début]])</f>
        <v>0</v>
      </c>
      <c r="M41" s="50">
        <f>IF(H_Avr[[#This Row],[PNP Fin]]=0,0,IF(H_Avr[[#This Row],[PNP Fin]]&lt;H_Avr[[#This Row],[début]],1,0)+H_Avr[[#This Row],[PNP Fin]])</f>
        <v>0</v>
      </c>
      <c r="N41" s="50">
        <f>IF(H_Avr[[#This Row],[Fin]]&lt;H_Avr[[#This Row],[début]],1,0)+H_Avr[[#This Row],[Fin]]</f>
        <v>0</v>
      </c>
      <c r="O41" s="31">
        <f>IF(H_Avr[[#This Row],[Fin]]&lt;H_Avr[[#This Row],[début]],MAX(0,MIN(H_Avr[[#This Row],[Fin corrigée si nuit]],fin_nuit)-MAX(H_Avr[[#This Row],[début]],deb_nuit))*24,(MAX(deb_nuit,H_Avr[[#This Row],[Fin]])-MAX(deb_nuit,H_Avr[[#This Row],[début]])+MAX(MIN(fin_nuit-1,H_Avr[[#This Row],[Fin]])-MIN(fin_nuit-1,H_Avr[[#This Row],[début]]),0))*24)</f>
        <v>0</v>
      </c>
      <c r="P41" s="51">
        <f>(MAX(0,MIN(H_Avr[[#This Row],[Fin corrigée si nuit]],fin_nuit)-MAX(H_Avr[[#This Row],[début]],deb_nuit))-IF(H_Avr[[#This Row],[PNP Début]]=0,0,MIN(H_Avr[[#This Row],[PNP Fin corrigée]],fin_nuit)-MAX(H_Avr[[#This Row],[PNP Début corrigé]],deb_nuit)))*24</f>
        <v>0</v>
      </c>
      <c r="Q41" s="51">
        <f>(IF(WEEKDAY(H_Avr[[#This Row],[Date]],2)=7,MAX(0,MIN(fin_dimJF,H_Avr[[#This Row],[Fin corrigée si nuit]])-MAX(deb_dimJF,H_Avr[[#This Row],[début]])),0)+IF(WEEKDAY(H_Avr[[#This Row],[Date]],2)=6,MAX(0,H_Avr[[#This Row],[Fin corrigée si nuit]]-(1+deb_dimJF)),0))*24</f>
        <v>0</v>
      </c>
      <c r="R41"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1" s="51">
        <f>(IF(COUNTIF(JF,H_Avr[[#This Row],[Date]]),MAX(0,MIN(fin_dimJF,H_Avr[[#This Row],[Fin corrigée si nuit]])-MAX(deb_dimJF,H_Avr[[#This Row],[début]])),0)+IF(COUNTIF(JF,H_Avr[[#This Row],[Date]]+1),MAX(0,H_Avr[[#This Row],[Fin corrigée si nuit]]-(1+deb_dimJF)),0))*24</f>
        <v>0</v>
      </c>
      <c r="T41"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2" spans="1:20" x14ac:dyDescent="0.3">
      <c r="A42" s="4"/>
      <c r="B42" s="1"/>
      <c r="C42" s="2"/>
      <c r="D42" s="2"/>
      <c r="E42" s="3"/>
      <c r="F42" s="3"/>
      <c r="G42" s="3"/>
      <c r="H42" s="3"/>
      <c r="I42" s="47">
        <f>0.1*(H_Avr[[#This Row],[Heures de nuit]]+IF(H_Avr[[#This Row],[majoration dim &amp; JF]]="non",0,H_Avr[[#This Row],[heures jour dimanche]]+H_Avr[[#This Row],[heures jour fériés]]))</f>
        <v>0</v>
      </c>
      <c r="J42" s="29">
        <f>(MOD(H_Avr[[#This Row],[Fin]]-H_Avr[[#This Row],[début]],1)-MOD(H_Avr[[#This Row],[PNP Fin]]-H_Avr[[#This Row],[PNP Début]],1))*24</f>
        <v>0</v>
      </c>
      <c r="K42" s="119" t="str">
        <f>IFERROR(VLOOKUP(H_Avr[[#This Row],[Service]],Codes[],4,0),"")</f>
        <v/>
      </c>
      <c r="L42" s="49">
        <f>IF(H_Avr[[#This Row],[PNP Début]]=0,0,IF(H_Avr[[#This Row],[PNP Début]]&lt;H_Avr[[#This Row],[début]],1,0)+H_Avr[[#This Row],[PNP Début]])</f>
        <v>0</v>
      </c>
      <c r="M42" s="50">
        <f>IF(H_Avr[[#This Row],[PNP Fin]]=0,0,IF(H_Avr[[#This Row],[PNP Fin]]&lt;H_Avr[[#This Row],[début]],1,0)+H_Avr[[#This Row],[PNP Fin]])</f>
        <v>0</v>
      </c>
      <c r="N42" s="50">
        <f>IF(H_Avr[[#This Row],[Fin]]&lt;H_Avr[[#This Row],[début]],1,0)+H_Avr[[#This Row],[Fin]]</f>
        <v>0</v>
      </c>
      <c r="O42" s="31">
        <f>IF(H_Avr[[#This Row],[Fin]]&lt;H_Avr[[#This Row],[début]],MAX(0,MIN(H_Avr[[#This Row],[Fin corrigée si nuit]],fin_nuit)-MAX(H_Avr[[#This Row],[début]],deb_nuit))*24,(MAX(deb_nuit,H_Avr[[#This Row],[Fin]])-MAX(deb_nuit,H_Avr[[#This Row],[début]])+MAX(MIN(fin_nuit-1,H_Avr[[#This Row],[Fin]])-MIN(fin_nuit-1,H_Avr[[#This Row],[début]]),0))*24)</f>
        <v>0</v>
      </c>
      <c r="P42" s="51">
        <f>(MAX(0,MIN(H_Avr[[#This Row],[Fin corrigée si nuit]],fin_nuit)-MAX(H_Avr[[#This Row],[début]],deb_nuit))-IF(H_Avr[[#This Row],[PNP Début]]=0,0,MIN(H_Avr[[#This Row],[PNP Fin corrigée]],fin_nuit)-MAX(H_Avr[[#This Row],[PNP Début corrigé]],deb_nuit)))*24</f>
        <v>0</v>
      </c>
      <c r="Q42" s="51">
        <f>(IF(WEEKDAY(H_Avr[[#This Row],[Date]],2)=7,MAX(0,MIN(fin_dimJF,H_Avr[[#This Row],[Fin corrigée si nuit]])-MAX(deb_dimJF,H_Avr[[#This Row],[début]])),0)+IF(WEEKDAY(H_Avr[[#This Row],[Date]],2)=6,MAX(0,H_Avr[[#This Row],[Fin corrigée si nuit]]-(1+deb_dimJF)),0))*24</f>
        <v>0</v>
      </c>
      <c r="R42"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2" s="51">
        <f>(IF(COUNTIF(JF,H_Avr[[#This Row],[Date]]),MAX(0,MIN(fin_dimJF,H_Avr[[#This Row],[Fin corrigée si nuit]])-MAX(deb_dimJF,H_Avr[[#This Row],[début]])),0)+IF(COUNTIF(JF,H_Avr[[#This Row],[Date]]+1),MAX(0,H_Avr[[#This Row],[Fin corrigée si nuit]]-(1+deb_dimJF)),0))*24</f>
        <v>0</v>
      </c>
      <c r="T42"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3" spans="1:20" x14ac:dyDescent="0.3">
      <c r="A43" s="4"/>
      <c r="B43" s="1"/>
      <c r="C43" s="2"/>
      <c r="D43" s="2"/>
      <c r="E43" s="3"/>
      <c r="F43" s="3"/>
      <c r="G43" s="3"/>
      <c r="H43" s="3"/>
      <c r="I43" s="47">
        <f>0.1*(H_Avr[[#This Row],[Heures de nuit]]+IF(H_Avr[[#This Row],[majoration dim &amp; JF]]="non",0,H_Avr[[#This Row],[heures jour dimanche]]+H_Avr[[#This Row],[heures jour fériés]]))</f>
        <v>0</v>
      </c>
      <c r="J43" s="29">
        <f>(MOD(H_Avr[[#This Row],[Fin]]-H_Avr[[#This Row],[début]],1)-MOD(H_Avr[[#This Row],[PNP Fin]]-H_Avr[[#This Row],[PNP Début]],1))*24</f>
        <v>0</v>
      </c>
      <c r="K43" s="119" t="str">
        <f>IFERROR(VLOOKUP(H_Avr[[#This Row],[Service]],Codes[],4,0),"")</f>
        <v/>
      </c>
      <c r="L43" s="49">
        <f>IF(H_Avr[[#This Row],[PNP Début]]=0,0,IF(H_Avr[[#This Row],[PNP Début]]&lt;H_Avr[[#This Row],[début]],1,0)+H_Avr[[#This Row],[PNP Début]])</f>
        <v>0</v>
      </c>
      <c r="M43" s="50">
        <f>IF(H_Avr[[#This Row],[PNP Fin]]=0,0,IF(H_Avr[[#This Row],[PNP Fin]]&lt;H_Avr[[#This Row],[début]],1,0)+H_Avr[[#This Row],[PNP Fin]])</f>
        <v>0</v>
      </c>
      <c r="N43" s="50">
        <f>IF(H_Avr[[#This Row],[Fin]]&lt;H_Avr[[#This Row],[début]],1,0)+H_Avr[[#This Row],[Fin]]</f>
        <v>0</v>
      </c>
      <c r="O43" s="31">
        <f>IF(H_Avr[[#This Row],[Fin]]&lt;H_Avr[[#This Row],[début]],MAX(0,MIN(H_Avr[[#This Row],[Fin corrigée si nuit]],fin_nuit)-MAX(H_Avr[[#This Row],[début]],deb_nuit))*24,(MAX(deb_nuit,H_Avr[[#This Row],[Fin]])-MAX(deb_nuit,H_Avr[[#This Row],[début]])+MAX(MIN(fin_nuit-1,H_Avr[[#This Row],[Fin]])-MIN(fin_nuit-1,H_Avr[[#This Row],[début]]),0))*24)</f>
        <v>0</v>
      </c>
      <c r="P43" s="51">
        <f>(MAX(0,MIN(H_Avr[[#This Row],[Fin corrigée si nuit]],fin_nuit)-MAX(H_Avr[[#This Row],[début]],deb_nuit))-IF(H_Avr[[#This Row],[PNP Début]]=0,0,MIN(H_Avr[[#This Row],[PNP Fin corrigée]],fin_nuit)-MAX(H_Avr[[#This Row],[PNP Début corrigé]],deb_nuit)))*24</f>
        <v>0</v>
      </c>
      <c r="Q43" s="51">
        <f>(IF(WEEKDAY(H_Avr[[#This Row],[Date]],2)=7,MAX(0,MIN(fin_dimJF,H_Avr[[#This Row],[Fin corrigée si nuit]])-MAX(deb_dimJF,H_Avr[[#This Row],[début]])),0)+IF(WEEKDAY(H_Avr[[#This Row],[Date]],2)=6,MAX(0,H_Avr[[#This Row],[Fin corrigée si nuit]]-(1+deb_dimJF)),0))*24</f>
        <v>0</v>
      </c>
      <c r="R43"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3" s="51">
        <f>(IF(COUNTIF(JF,H_Avr[[#This Row],[Date]]),MAX(0,MIN(fin_dimJF,H_Avr[[#This Row],[Fin corrigée si nuit]])-MAX(deb_dimJF,H_Avr[[#This Row],[début]])),0)+IF(COUNTIF(JF,H_Avr[[#This Row],[Date]]+1),MAX(0,H_Avr[[#This Row],[Fin corrigée si nuit]]-(1+deb_dimJF)),0))*24</f>
        <v>0</v>
      </c>
      <c r="T43"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4" spans="1:20" x14ac:dyDescent="0.3">
      <c r="A44" s="4"/>
      <c r="B44" s="1"/>
      <c r="C44" s="2"/>
      <c r="D44" s="2"/>
      <c r="E44" s="3"/>
      <c r="F44" s="3"/>
      <c r="G44" s="3"/>
      <c r="H44" s="3"/>
      <c r="I44" s="47">
        <f>0.1*(H_Avr[[#This Row],[Heures de nuit]]+IF(H_Avr[[#This Row],[majoration dim &amp; JF]]="non",0,H_Avr[[#This Row],[heures jour dimanche]]+H_Avr[[#This Row],[heures jour fériés]]))</f>
        <v>0</v>
      </c>
      <c r="J44" s="29">
        <f>(MOD(H_Avr[[#This Row],[Fin]]-H_Avr[[#This Row],[début]],1)-MOD(H_Avr[[#This Row],[PNP Fin]]-H_Avr[[#This Row],[PNP Début]],1))*24</f>
        <v>0</v>
      </c>
      <c r="K44" s="119" t="str">
        <f>IFERROR(VLOOKUP(H_Avr[[#This Row],[Service]],Codes[],4,0),"")</f>
        <v/>
      </c>
      <c r="L44" s="49">
        <f>IF(H_Avr[[#This Row],[PNP Début]]=0,0,IF(H_Avr[[#This Row],[PNP Début]]&lt;H_Avr[[#This Row],[début]],1,0)+H_Avr[[#This Row],[PNP Début]])</f>
        <v>0</v>
      </c>
      <c r="M44" s="50">
        <f>IF(H_Avr[[#This Row],[PNP Fin]]=0,0,IF(H_Avr[[#This Row],[PNP Fin]]&lt;H_Avr[[#This Row],[début]],1,0)+H_Avr[[#This Row],[PNP Fin]])</f>
        <v>0</v>
      </c>
      <c r="N44" s="50">
        <f>IF(H_Avr[[#This Row],[Fin]]&lt;H_Avr[[#This Row],[début]],1,0)+H_Avr[[#This Row],[Fin]]</f>
        <v>0</v>
      </c>
      <c r="O44" s="31">
        <f>IF(H_Avr[[#This Row],[Fin]]&lt;H_Avr[[#This Row],[début]],MAX(0,MIN(H_Avr[[#This Row],[Fin corrigée si nuit]],fin_nuit)-MAX(H_Avr[[#This Row],[début]],deb_nuit))*24,(MAX(deb_nuit,H_Avr[[#This Row],[Fin]])-MAX(deb_nuit,H_Avr[[#This Row],[début]])+MAX(MIN(fin_nuit-1,H_Avr[[#This Row],[Fin]])-MIN(fin_nuit-1,H_Avr[[#This Row],[début]]),0))*24)</f>
        <v>0</v>
      </c>
      <c r="P44" s="51">
        <f>(MAX(0,MIN(H_Avr[[#This Row],[Fin corrigée si nuit]],fin_nuit)-MAX(H_Avr[[#This Row],[début]],deb_nuit))-IF(H_Avr[[#This Row],[PNP Début]]=0,0,MIN(H_Avr[[#This Row],[PNP Fin corrigée]],fin_nuit)-MAX(H_Avr[[#This Row],[PNP Début corrigé]],deb_nuit)))*24</f>
        <v>0</v>
      </c>
      <c r="Q44" s="51">
        <f>(IF(WEEKDAY(H_Avr[[#This Row],[Date]],2)=7,MAX(0,MIN(fin_dimJF,H_Avr[[#This Row],[Fin corrigée si nuit]])-MAX(deb_dimJF,H_Avr[[#This Row],[début]])),0)+IF(WEEKDAY(H_Avr[[#This Row],[Date]],2)=6,MAX(0,H_Avr[[#This Row],[Fin corrigée si nuit]]-(1+deb_dimJF)),0))*24</f>
        <v>0</v>
      </c>
      <c r="R44"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4" s="51">
        <f>(IF(COUNTIF(JF,H_Avr[[#This Row],[Date]]),MAX(0,MIN(fin_dimJF,H_Avr[[#This Row],[Fin corrigée si nuit]])-MAX(deb_dimJF,H_Avr[[#This Row],[début]])),0)+IF(COUNTIF(JF,H_Avr[[#This Row],[Date]]+1),MAX(0,H_Avr[[#This Row],[Fin corrigée si nuit]]-(1+deb_dimJF)),0))*24</f>
        <v>0</v>
      </c>
      <c r="T44"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5" spans="1:20" x14ac:dyDescent="0.3">
      <c r="A45" s="4"/>
      <c r="B45" s="1"/>
      <c r="C45" s="2"/>
      <c r="D45" s="2"/>
      <c r="E45" s="3"/>
      <c r="F45" s="3"/>
      <c r="G45" s="3"/>
      <c r="H45" s="3"/>
      <c r="I45" s="47">
        <f>0.1*(H_Avr[[#This Row],[Heures de nuit]]+IF(H_Avr[[#This Row],[majoration dim &amp; JF]]="non",0,H_Avr[[#This Row],[heures jour dimanche]]+H_Avr[[#This Row],[heures jour fériés]]))</f>
        <v>0</v>
      </c>
      <c r="J45" s="29">
        <f>(MOD(H_Avr[[#This Row],[Fin]]-H_Avr[[#This Row],[début]],1)-MOD(H_Avr[[#This Row],[PNP Fin]]-H_Avr[[#This Row],[PNP Début]],1))*24</f>
        <v>0</v>
      </c>
      <c r="K45" s="119" t="str">
        <f>IFERROR(VLOOKUP(H_Avr[[#This Row],[Service]],Codes[],4,0),"")</f>
        <v/>
      </c>
      <c r="L45" s="49">
        <f>IF(H_Avr[[#This Row],[PNP Début]]=0,0,IF(H_Avr[[#This Row],[PNP Début]]&lt;H_Avr[[#This Row],[début]],1,0)+H_Avr[[#This Row],[PNP Début]])</f>
        <v>0</v>
      </c>
      <c r="M45" s="50">
        <f>IF(H_Avr[[#This Row],[PNP Fin]]=0,0,IF(H_Avr[[#This Row],[PNP Fin]]&lt;H_Avr[[#This Row],[début]],1,0)+H_Avr[[#This Row],[PNP Fin]])</f>
        <v>0</v>
      </c>
      <c r="N45" s="50">
        <f>IF(H_Avr[[#This Row],[Fin]]&lt;H_Avr[[#This Row],[début]],1,0)+H_Avr[[#This Row],[Fin]]</f>
        <v>0</v>
      </c>
      <c r="O45" s="31">
        <f>IF(H_Avr[[#This Row],[Fin]]&lt;H_Avr[[#This Row],[début]],MAX(0,MIN(H_Avr[[#This Row],[Fin corrigée si nuit]],fin_nuit)-MAX(H_Avr[[#This Row],[début]],deb_nuit))*24,(MAX(deb_nuit,H_Avr[[#This Row],[Fin]])-MAX(deb_nuit,H_Avr[[#This Row],[début]])+MAX(MIN(fin_nuit-1,H_Avr[[#This Row],[Fin]])-MIN(fin_nuit-1,H_Avr[[#This Row],[début]]),0))*24)</f>
        <v>0</v>
      </c>
      <c r="P45" s="51">
        <f>(MAX(0,MIN(H_Avr[[#This Row],[Fin corrigée si nuit]],fin_nuit)-MAX(H_Avr[[#This Row],[début]],deb_nuit))-IF(H_Avr[[#This Row],[PNP Début]]=0,0,MIN(H_Avr[[#This Row],[PNP Fin corrigée]],fin_nuit)-MAX(H_Avr[[#This Row],[PNP Début corrigé]],deb_nuit)))*24</f>
        <v>0</v>
      </c>
      <c r="Q45" s="51">
        <f>(IF(WEEKDAY(H_Avr[[#This Row],[Date]],2)=7,MAX(0,MIN(fin_dimJF,H_Avr[[#This Row],[Fin corrigée si nuit]])-MAX(deb_dimJF,H_Avr[[#This Row],[début]])),0)+IF(WEEKDAY(H_Avr[[#This Row],[Date]],2)=6,MAX(0,H_Avr[[#This Row],[Fin corrigée si nuit]]-(1+deb_dimJF)),0))*24</f>
        <v>0</v>
      </c>
      <c r="R45"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5" s="51">
        <f>(IF(COUNTIF(JF,H_Avr[[#This Row],[Date]]),MAX(0,MIN(fin_dimJF,H_Avr[[#This Row],[Fin corrigée si nuit]])-MAX(deb_dimJF,H_Avr[[#This Row],[début]])),0)+IF(COUNTIF(JF,H_Avr[[#This Row],[Date]]+1),MAX(0,H_Avr[[#This Row],[Fin corrigée si nuit]]-(1+deb_dimJF)),0))*24</f>
        <v>0</v>
      </c>
      <c r="T45"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6" spans="1:20" x14ac:dyDescent="0.3">
      <c r="A46" s="4"/>
      <c r="B46" s="1"/>
      <c r="C46" s="2"/>
      <c r="D46" s="2"/>
      <c r="E46" s="3"/>
      <c r="F46" s="3"/>
      <c r="G46" s="3"/>
      <c r="H46" s="3"/>
      <c r="I46" s="47">
        <f>0.1*(H_Avr[[#This Row],[Heures de nuit]]+IF(H_Avr[[#This Row],[majoration dim &amp; JF]]="non",0,H_Avr[[#This Row],[heures jour dimanche]]+H_Avr[[#This Row],[heures jour fériés]]))</f>
        <v>0</v>
      </c>
      <c r="J46" s="29">
        <f>(MOD(H_Avr[[#This Row],[Fin]]-H_Avr[[#This Row],[début]],1)-MOD(H_Avr[[#This Row],[PNP Fin]]-H_Avr[[#This Row],[PNP Début]],1))*24</f>
        <v>0</v>
      </c>
      <c r="K46" s="119" t="str">
        <f>IFERROR(VLOOKUP(H_Avr[[#This Row],[Service]],Codes[],4,0),"")</f>
        <v/>
      </c>
      <c r="L46" s="49">
        <f>IF(H_Avr[[#This Row],[PNP Début]]=0,0,IF(H_Avr[[#This Row],[PNP Début]]&lt;H_Avr[[#This Row],[début]],1,0)+H_Avr[[#This Row],[PNP Début]])</f>
        <v>0</v>
      </c>
      <c r="M46" s="50">
        <f>IF(H_Avr[[#This Row],[PNP Fin]]=0,0,IF(H_Avr[[#This Row],[PNP Fin]]&lt;H_Avr[[#This Row],[début]],1,0)+H_Avr[[#This Row],[PNP Fin]])</f>
        <v>0</v>
      </c>
      <c r="N46" s="50">
        <f>IF(H_Avr[[#This Row],[Fin]]&lt;H_Avr[[#This Row],[début]],1,0)+H_Avr[[#This Row],[Fin]]</f>
        <v>0</v>
      </c>
      <c r="O46" s="31">
        <f>IF(H_Avr[[#This Row],[Fin]]&lt;H_Avr[[#This Row],[début]],MAX(0,MIN(H_Avr[[#This Row],[Fin corrigée si nuit]],fin_nuit)-MAX(H_Avr[[#This Row],[début]],deb_nuit))*24,(MAX(deb_nuit,H_Avr[[#This Row],[Fin]])-MAX(deb_nuit,H_Avr[[#This Row],[début]])+MAX(MIN(fin_nuit-1,H_Avr[[#This Row],[Fin]])-MIN(fin_nuit-1,H_Avr[[#This Row],[début]]),0))*24)</f>
        <v>0</v>
      </c>
      <c r="P46" s="51">
        <f>(MAX(0,MIN(H_Avr[[#This Row],[Fin corrigée si nuit]],fin_nuit)-MAX(H_Avr[[#This Row],[début]],deb_nuit))-IF(H_Avr[[#This Row],[PNP Début]]=0,0,MIN(H_Avr[[#This Row],[PNP Fin corrigée]],fin_nuit)-MAX(H_Avr[[#This Row],[PNP Début corrigé]],deb_nuit)))*24</f>
        <v>0</v>
      </c>
      <c r="Q46" s="51">
        <f>(IF(WEEKDAY(H_Avr[[#This Row],[Date]],2)=7,MAX(0,MIN(fin_dimJF,H_Avr[[#This Row],[Fin corrigée si nuit]])-MAX(deb_dimJF,H_Avr[[#This Row],[début]])),0)+IF(WEEKDAY(H_Avr[[#This Row],[Date]],2)=6,MAX(0,H_Avr[[#This Row],[Fin corrigée si nuit]]-(1+deb_dimJF)),0))*24</f>
        <v>0</v>
      </c>
      <c r="R46"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6" s="51">
        <f>(IF(COUNTIF(JF,H_Avr[[#This Row],[Date]]),MAX(0,MIN(fin_dimJF,H_Avr[[#This Row],[Fin corrigée si nuit]])-MAX(deb_dimJF,H_Avr[[#This Row],[début]])),0)+IF(COUNTIF(JF,H_Avr[[#This Row],[Date]]+1),MAX(0,H_Avr[[#This Row],[Fin corrigée si nuit]]-(1+deb_dimJF)),0))*24</f>
        <v>0</v>
      </c>
      <c r="T46"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7" spans="1:20" x14ac:dyDescent="0.3">
      <c r="A47" s="4"/>
      <c r="B47" s="1"/>
      <c r="C47" s="2"/>
      <c r="D47" s="2"/>
      <c r="E47" s="3"/>
      <c r="F47" s="3"/>
      <c r="G47" s="3"/>
      <c r="H47" s="3"/>
      <c r="I47" s="47">
        <f>0.1*(H_Avr[[#This Row],[Heures de nuit]]+IF(H_Avr[[#This Row],[majoration dim &amp; JF]]="non",0,H_Avr[[#This Row],[heures jour dimanche]]+H_Avr[[#This Row],[heures jour fériés]]))</f>
        <v>0</v>
      </c>
      <c r="J47" s="29">
        <f>(MOD(H_Avr[[#This Row],[Fin]]-H_Avr[[#This Row],[début]],1)-MOD(H_Avr[[#This Row],[PNP Fin]]-H_Avr[[#This Row],[PNP Début]],1))*24</f>
        <v>0</v>
      </c>
      <c r="K47" s="119" t="str">
        <f>IFERROR(VLOOKUP(H_Avr[[#This Row],[Service]],Codes[],4,0),"")</f>
        <v/>
      </c>
      <c r="L47" s="49">
        <f>IF(H_Avr[[#This Row],[PNP Début]]=0,0,IF(H_Avr[[#This Row],[PNP Début]]&lt;H_Avr[[#This Row],[début]],1,0)+H_Avr[[#This Row],[PNP Début]])</f>
        <v>0</v>
      </c>
      <c r="M47" s="50">
        <f>IF(H_Avr[[#This Row],[PNP Fin]]=0,0,IF(H_Avr[[#This Row],[PNP Fin]]&lt;H_Avr[[#This Row],[début]],1,0)+H_Avr[[#This Row],[PNP Fin]])</f>
        <v>0</v>
      </c>
      <c r="N47" s="50">
        <f>IF(H_Avr[[#This Row],[Fin]]&lt;H_Avr[[#This Row],[début]],1,0)+H_Avr[[#This Row],[Fin]]</f>
        <v>0</v>
      </c>
      <c r="O47" s="31">
        <f>IF(H_Avr[[#This Row],[Fin]]&lt;H_Avr[[#This Row],[début]],MAX(0,MIN(H_Avr[[#This Row],[Fin corrigée si nuit]],fin_nuit)-MAX(H_Avr[[#This Row],[début]],deb_nuit))*24,(MAX(deb_nuit,H_Avr[[#This Row],[Fin]])-MAX(deb_nuit,H_Avr[[#This Row],[début]])+MAX(MIN(fin_nuit-1,H_Avr[[#This Row],[Fin]])-MIN(fin_nuit-1,H_Avr[[#This Row],[début]]),0))*24)</f>
        <v>0</v>
      </c>
      <c r="P47" s="51">
        <f>(MAX(0,MIN(H_Avr[[#This Row],[Fin corrigée si nuit]],fin_nuit)-MAX(H_Avr[[#This Row],[début]],deb_nuit))-IF(H_Avr[[#This Row],[PNP Début]]=0,0,MIN(H_Avr[[#This Row],[PNP Fin corrigée]],fin_nuit)-MAX(H_Avr[[#This Row],[PNP Début corrigé]],deb_nuit)))*24</f>
        <v>0</v>
      </c>
      <c r="Q47" s="51">
        <f>(IF(WEEKDAY(H_Avr[[#This Row],[Date]],2)=7,MAX(0,MIN(fin_dimJF,H_Avr[[#This Row],[Fin corrigée si nuit]])-MAX(deb_dimJF,H_Avr[[#This Row],[début]])),0)+IF(WEEKDAY(H_Avr[[#This Row],[Date]],2)=6,MAX(0,H_Avr[[#This Row],[Fin corrigée si nuit]]-(1+deb_dimJF)),0))*24</f>
        <v>0</v>
      </c>
      <c r="R47"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7" s="51">
        <f>(IF(COUNTIF(JF,H_Avr[[#This Row],[Date]]),MAX(0,MIN(fin_dimJF,H_Avr[[#This Row],[Fin corrigée si nuit]])-MAX(deb_dimJF,H_Avr[[#This Row],[début]])),0)+IF(COUNTIF(JF,H_Avr[[#This Row],[Date]]+1),MAX(0,H_Avr[[#This Row],[Fin corrigée si nuit]]-(1+deb_dimJF)),0))*24</f>
        <v>0</v>
      </c>
      <c r="T47"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8" spans="1:20" x14ac:dyDescent="0.3">
      <c r="A48" s="4"/>
      <c r="B48" s="1"/>
      <c r="C48" s="2"/>
      <c r="D48" s="2"/>
      <c r="E48" s="3"/>
      <c r="F48" s="3"/>
      <c r="G48" s="3"/>
      <c r="H48" s="3"/>
      <c r="I48" s="47">
        <f>0.1*(H_Avr[[#This Row],[Heures de nuit]]+IF(H_Avr[[#This Row],[majoration dim &amp; JF]]="non",0,H_Avr[[#This Row],[heures jour dimanche]]+H_Avr[[#This Row],[heures jour fériés]]))</f>
        <v>0</v>
      </c>
      <c r="J48" s="29">
        <f>(MOD(H_Avr[[#This Row],[Fin]]-H_Avr[[#This Row],[début]],1)-MOD(H_Avr[[#This Row],[PNP Fin]]-H_Avr[[#This Row],[PNP Début]],1))*24</f>
        <v>0</v>
      </c>
      <c r="K48" s="119" t="str">
        <f>IFERROR(VLOOKUP(H_Avr[[#This Row],[Service]],Codes[],4,0),"")</f>
        <v/>
      </c>
      <c r="L48" s="49">
        <f>IF(H_Avr[[#This Row],[PNP Début]]=0,0,IF(H_Avr[[#This Row],[PNP Début]]&lt;H_Avr[[#This Row],[début]],1,0)+H_Avr[[#This Row],[PNP Début]])</f>
        <v>0</v>
      </c>
      <c r="M48" s="50">
        <f>IF(H_Avr[[#This Row],[PNP Fin]]=0,0,IF(H_Avr[[#This Row],[PNP Fin]]&lt;H_Avr[[#This Row],[début]],1,0)+H_Avr[[#This Row],[PNP Fin]])</f>
        <v>0</v>
      </c>
      <c r="N48" s="50">
        <f>IF(H_Avr[[#This Row],[Fin]]&lt;H_Avr[[#This Row],[début]],1,0)+H_Avr[[#This Row],[Fin]]</f>
        <v>0</v>
      </c>
      <c r="O48" s="31">
        <f>IF(H_Avr[[#This Row],[Fin]]&lt;H_Avr[[#This Row],[début]],MAX(0,MIN(H_Avr[[#This Row],[Fin corrigée si nuit]],fin_nuit)-MAX(H_Avr[[#This Row],[début]],deb_nuit))*24,(MAX(deb_nuit,H_Avr[[#This Row],[Fin]])-MAX(deb_nuit,H_Avr[[#This Row],[début]])+MAX(MIN(fin_nuit-1,H_Avr[[#This Row],[Fin]])-MIN(fin_nuit-1,H_Avr[[#This Row],[début]]),0))*24)</f>
        <v>0</v>
      </c>
      <c r="P48" s="51">
        <f>(MAX(0,MIN(H_Avr[[#This Row],[Fin corrigée si nuit]],fin_nuit)-MAX(H_Avr[[#This Row],[début]],deb_nuit))-IF(H_Avr[[#This Row],[PNP Début]]=0,0,MIN(H_Avr[[#This Row],[PNP Fin corrigée]],fin_nuit)-MAX(H_Avr[[#This Row],[PNP Début corrigé]],deb_nuit)))*24</f>
        <v>0</v>
      </c>
      <c r="Q48" s="51">
        <f>(IF(WEEKDAY(H_Avr[[#This Row],[Date]],2)=7,MAX(0,MIN(fin_dimJF,H_Avr[[#This Row],[Fin corrigée si nuit]])-MAX(deb_dimJF,H_Avr[[#This Row],[début]])),0)+IF(WEEKDAY(H_Avr[[#This Row],[Date]],2)=6,MAX(0,H_Avr[[#This Row],[Fin corrigée si nuit]]-(1+deb_dimJF)),0))*24</f>
        <v>0</v>
      </c>
      <c r="R48"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8" s="51">
        <f>(IF(COUNTIF(JF,H_Avr[[#This Row],[Date]]),MAX(0,MIN(fin_dimJF,H_Avr[[#This Row],[Fin corrigée si nuit]])-MAX(deb_dimJF,H_Avr[[#This Row],[début]])),0)+IF(COUNTIF(JF,H_Avr[[#This Row],[Date]]+1),MAX(0,H_Avr[[#This Row],[Fin corrigée si nuit]]-(1+deb_dimJF)),0))*24</f>
        <v>0</v>
      </c>
      <c r="T48"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49" spans="1:20" ht="15" thickBot="1" x14ac:dyDescent="0.35">
      <c r="A49" s="4"/>
      <c r="B49" s="1"/>
      <c r="C49" s="2"/>
      <c r="D49" s="2"/>
      <c r="E49" s="3"/>
      <c r="F49" s="3"/>
      <c r="G49" s="3"/>
      <c r="H49" s="3"/>
      <c r="I49" s="47">
        <f>0.1*(H_Avr[[#This Row],[Heures de nuit]]+IF(H_Avr[[#This Row],[majoration dim &amp; JF]]="non",0,H_Avr[[#This Row],[heures jour dimanche]]+H_Avr[[#This Row],[heures jour fériés]]))</f>
        <v>0</v>
      </c>
      <c r="J49" s="29">
        <f>(MOD(H_Avr[[#This Row],[Fin]]-H_Avr[[#This Row],[début]],1)-MOD(H_Avr[[#This Row],[PNP Fin]]-H_Avr[[#This Row],[PNP Début]],1))*24</f>
        <v>0</v>
      </c>
      <c r="K49" s="119" t="str">
        <f>IFERROR(VLOOKUP(H_Avr[[#This Row],[Service]],Codes[],4,0),"")</f>
        <v/>
      </c>
      <c r="L49" s="49">
        <f>IF(H_Avr[[#This Row],[PNP Début]]=0,0,IF(H_Avr[[#This Row],[PNP Début]]&lt;H_Avr[[#This Row],[début]],1,0)+H_Avr[[#This Row],[PNP Début]])</f>
        <v>0</v>
      </c>
      <c r="M49" s="50">
        <f>IF(H_Avr[[#This Row],[PNP Fin]]=0,0,IF(H_Avr[[#This Row],[PNP Fin]]&lt;H_Avr[[#This Row],[début]],1,0)+H_Avr[[#This Row],[PNP Fin]])</f>
        <v>0</v>
      </c>
      <c r="N49" s="50">
        <f>IF(H_Avr[[#This Row],[Fin]]&lt;H_Avr[[#This Row],[début]],1,0)+H_Avr[[#This Row],[Fin]]</f>
        <v>0</v>
      </c>
      <c r="O49" s="31">
        <f>IF(H_Avr[[#This Row],[Fin]]&lt;H_Avr[[#This Row],[début]],MAX(0,MIN(H_Avr[[#This Row],[Fin corrigée si nuit]],fin_nuit)-MAX(H_Avr[[#This Row],[début]],deb_nuit))*24,(MAX(deb_nuit,H_Avr[[#This Row],[Fin]])-MAX(deb_nuit,H_Avr[[#This Row],[début]])+MAX(MIN(fin_nuit-1,H_Avr[[#This Row],[Fin]])-MIN(fin_nuit-1,H_Avr[[#This Row],[début]]),0))*24)</f>
        <v>0</v>
      </c>
      <c r="P49" s="51">
        <f>(MAX(0,MIN(H_Avr[[#This Row],[Fin corrigée si nuit]],fin_nuit)-MAX(H_Avr[[#This Row],[début]],deb_nuit))-IF(H_Avr[[#This Row],[PNP Début]]=0,0,MIN(H_Avr[[#This Row],[PNP Fin corrigée]],fin_nuit)-MAX(H_Avr[[#This Row],[PNP Début corrigé]],deb_nuit)))*24</f>
        <v>0</v>
      </c>
      <c r="Q49" s="51">
        <f>(IF(WEEKDAY(H_Avr[[#This Row],[Date]],2)=7,MAX(0,MIN(fin_dimJF,H_Avr[[#This Row],[Fin corrigée si nuit]])-MAX(deb_dimJF,H_Avr[[#This Row],[début]])),0)+IF(WEEKDAY(H_Avr[[#This Row],[Date]],2)=6,MAX(0,H_Avr[[#This Row],[Fin corrigée si nuit]]-(1+deb_dimJF)),0))*24</f>
        <v>0</v>
      </c>
      <c r="R49" s="51">
        <f>(IF(WEEKDAY(H_Avr[[#This Row],[Date]],2)=7,MAX(0,MIN(fin_dimJF,H_Avr[[#This Row],[Fin corrigée si nuit]])-MAX(deb_dimJF,H_Avr[[#This Row],[début]])),0)+IF(WEEKDAY(H_Avr[[#This Row],[Date]],2)=6,MAX(0,H_Avr[[#This Row],[Fin corrigée si nuit]]-(1+deb_dimJF)),0))*24-
(IF(WEEKDAY(H_Avr[[#This Row],[Date]],2)=7,MAX(0,MIN(fin_dimJF,H_Avr[[#This Row],[PNP Fin corrigée]])-MAX(deb_dimJF,H_Avr[[#This Row],[PNP Début corrigé]])),0)+IF(WEEKDAY(H_Avr[[#This Row],[Date]],2)=6,MAX(0,H_Avr[[#This Row],[PNP Fin corrigée]]-(1+deb_dimJF)),0))*24</f>
        <v>0</v>
      </c>
      <c r="S49" s="51">
        <f>(IF(COUNTIF(JF,H_Avr[[#This Row],[Date]]),MAX(0,MIN(fin_dimJF,H_Avr[[#This Row],[Fin corrigée si nuit]])-MAX(deb_dimJF,H_Avr[[#This Row],[début]])),0)+IF(COUNTIF(JF,H_Avr[[#This Row],[Date]]+1),MAX(0,H_Avr[[#This Row],[Fin corrigée si nuit]]-(1+deb_dimJF)),0))*24</f>
        <v>0</v>
      </c>
      <c r="T49" s="51">
        <f>(IF(COUNTIF(JF,H_Avr[[#This Row],[Date]]),MAX(0,MIN(fin_dimJF,H_Avr[[#This Row],[Fin corrigée si nuit]])-MAX(deb_dimJF,H_Avr[[#This Row],[début]])),0)+IF(COUNTIF(JF,H_Avr[[#This Row],[Date]]+1),MAX(0,H_Avr[[#This Row],[Fin corrigée si nuit]]-(1+deb_dimJF)),0))*24-
(IF(COUNTIF(JF,H_Avr[[#This Row],[Date]]),MAX(0,MIN(fin_dimJF,H_Avr[[#This Row],[PNP Fin corrigée]])-MAX(deb_dimJF,H_Avr[[#This Row],[PNP Début corrigé]])),0)+IF(COUNTIF(JF,H_Avr[[#This Row],[Date]]+1),MAX(0,H_Avr[[#This Row],[PNP Fin corrigée]]-(1+deb_dimJF)),0))*24</f>
        <v>0</v>
      </c>
    </row>
    <row r="50" spans="1:20" ht="16.2" thickBot="1" x14ac:dyDescent="0.35">
      <c r="A50" s="52"/>
      <c r="B50" s="15"/>
      <c r="C50" s="15"/>
      <c r="D50" s="15"/>
      <c r="E50" s="144" t="s">
        <v>29</v>
      </c>
      <c r="F50" s="145"/>
      <c r="G50" s="145"/>
      <c r="H50" s="146"/>
      <c r="I50" s="53">
        <f>SUM(H_Avr[Majoration])</f>
        <v>0</v>
      </c>
      <c r="J50" s="54">
        <f>SUM(H_Avr[Heures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233" priority="1">
      <formula>$K13="non"</formula>
    </cfRule>
  </conditionalFormatting>
  <dataValidations count="3">
    <dataValidation type="date" operator="greaterThan" allowBlank="1" showInputMessage="1" showErrorMessage="1" error="Tapez le mois sous le format suivant_x000a_09/17" promptTitle="Mois du relevé" sqref="J5:K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L12:O49"/>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7169" r:id="rId4" name="CommandButton1">
          <controlPr defaultSize="0" print="0" autoLine="0" r:id="rId5">
            <anchor moveWithCells="1">
              <from>
                <xdr:col>9</xdr:col>
                <xdr:colOff>480060</xdr:colOff>
                <xdr:row>0</xdr:row>
                <xdr:rowOff>83820</xdr:rowOff>
              </from>
              <to>
                <xdr:col>9</xdr:col>
                <xdr:colOff>1264920</xdr:colOff>
                <xdr:row>3</xdr:row>
                <xdr:rowOff>198120</xdr:rowOff>
              </to>
            </anchor>
          </controlPr>
        </control>
      </mc:Choice>
      <mc:Fallback>
        <control shapeId="7169"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Z60"/>
  <sheetViews>
    <sheetView topLeftCell="A5" zoomScale="80" zoomScaleNormal="80" zoomScalePageLayoutView="70" workbookViewId="0">
      <selection activeCell="X17" sqref="X17"/>
    </sheetView>
  </sheetViews>
  <sheetFormatPr baseColWidth="10" defaultRowHeight="14.4" x14ac:dyDescent="0.3"/>
  <cols>
    <col min="1" max="1" width="20.2187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4.2187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Mai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0.1*(H_Mai[[#This Row],[Heures de nuit]]+IF(H_Mai[[#This Row],[majoration dim &amp; JF]]="non",0,H_Mai[[#This Row],[heures jour dimanche]]+H_Mai[[#This Row],[heures jour fériés]]))</f>
        <v>0</v>
      </c>
      <c r="J13" s="29">
        <f>(MOD(H_Mai[[#This Row],[Fin]]-H_Mai[[#This Row],[début]],1)-MOD(H_Mai[[#This Row],[PNP Fin]]-H_Mai[[#This Row],[PNP Début]],1))*24</f>
        <v>0</v>
      </c>
      <c r="K13" s="29" t="str">
        <f>IFERROR(VLOOKUP(H_Mai[[#This Row],[Service]],Codes[],4,0),"")</f>
        <v/>
      </c>
      <c r="L13" s="30">
        <f>IF(H_Mai[[#This Row],[PNP Début]]=0,0,IF(H_Mai[[#This Row],[PNP Début]]&lt;H_Mai[[#This Row],[début]],1,0)+H_Mai[[#This Row],[PNP Début]])</f>
        <v>0</v>
      </c>
      <c r="M13" s="30">
        <f>IF(H_Mai[[#This Row],[PNP Fin]]=0,0,IF(H_Mai[[#This Row],[PNP Fin]]&lt;H_Mai[[#This Row],[début]],1,0)+H_Mai[[#This Row],[PNP Fin]])</f>
        <v>0</v>
      </c>
      <c r="N13" s="30">
        <f>IF(H_Mai[[#This Row],[Fin]]&lt;H_Mai[[#This Row],[début]],1,0)+H_Mai[[#This Row],[Fin]]</f>
        <v>0</v>
      </c>
      <c r="O13" s="31">
        <f>IF(H_Mai[[#This Row],[Fin]]&lt;H_Mai[[#This Row],[début]],MAX(0,MIN(H_Mai[[#This Row],[Fin corrigée si nuit]],fin_nuit)-MAX(H_Mai[[#This Row],[début]],deb_nuit))*24,(MAX(deb_nuit,H_Mai[[#This Row],[Fin]])-MAX(deb_nuit,H_Mai[[#This Row],[début]])+MAX(MIN(fin_nuit-1,H_Mai[[#This Row],[Fin]])-MIN(fin_nuit-1,H_Mai[[#This Row],[début]]),0))*24)</f>
        <v>0</v>
      </c>
      <c r="P13" s="31">
        <f>(MAX(0,MIN(H_Mai[[#This Row],[Fin corrigée si nuit]],fin_nuit)-MAX(H_Mai[[#This Row],[début]],deb_nuit))-IF(H_Mai[[#This Row],[PNP Début]]=0,0,MIN(H_Mai[[#This Row],[PNP Fin corrigée]],fin_nuit)-MAX(H_Mai[[#This Row],[PNP Début corrigé]],deb_nuit)))*24</f>
        <v>0</v>
      </c>
      <c r="Q13" s="31">
        <f>(IF(WEEKDAY(H_Mai[[#This Row],[Date]],2)=7,MAX(0,MIN(fin_dimJF,H_Mai[[#This Row],[Fin corrigée si nuit]])-MAX(deb_dimJF,H_Mai[[#This Row],[début]])),0)+IF(WEEKDAY(H_Mai[[#This Row],[Date]],2)=6,MAX(0,H_Mai[[#This Row],[Fin corrigée si nuit]]-(1+deb_dimJF)),0))*24</f>
        <v>0</v>
      </c>
      <c r="R13" s="3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13" s="32">
        <f>(IF(COUNTIF(JF,H_Mai[[#This Row],[Date]]),MAX(0,MIN(fin_dimJF,H_Mai[[#This Row],[Fin corrigée si nuit]])-MAX(deb_dimJF,H_Mai[[#This Row],[début]])),0)+IF(COUNTIF(JF,H_Mai[[#This Row],[Date]]+1),MAX(0,H_Mai[[#This Row],[Fin corrigée si nuit]]-(1+deb_dimJF)),0))*24</f>
        <v>0</v>
      </c>
      <c r="T13" s="32">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c r="V13" s="124"/>
      <c r="W13" s="124"/>
      <c r="X13" s="124"/>
      <c r="Y13" s="124"/>
      <c r="Z13" s="124"/>
    </row>
    <row r="14" spans="1:26" x14ac:dyDescent="0.3">
      <c r="A14" s="4"/>
      <c r="B14" s="1"/>
      <c r="C14" s="113"/>
      <c r="D14" s="113"/>
      <c r="E14" s="3"/>
      <c r="F14" s="3"/>
      <c r="G14" s="3"/>
      <c r="H14" s="3"/>
      <c r="I14" s="28">
        <f>0.1*(H_Mai[[#This Row],[Heures de nuit]]+IF(H_Mai[[#This Row],[majoration dim &amp; JF]]="non",0,H_Mai[[#This Row],[heures jour dimanche]]+H_Mai[[#This Row],[heures jour fériés]]))</f>
        <v>0</v>
      </c>
      <c r="J14" s="29">
        <f>(MOD(H_Mai[[#This Row],[Fin]]-H_Mai[[#This Row],[début]],1)-MOD(H_Mai[[#This Row],[PNP Fin]]-H_Mai[[#This Row],[PNP Début]],1))*24</f>
        <v>0</v>
      </c>
      <c r="K14" s="29" t="str">
        <f>IFERROR(VLOOKUP(H_Mai[[#This Row],[Service]],Codes[],4,0),"")</f>
        <v/>
      </c>
      <c r="L14" s="30">
        <f>IF(H_Mai[[#This Row],[PNP Début]]=0,0,IF(H_Mai[[#This Row],[PNP Début]]&lt;H_Mai[[#This Row],[début]],1,0)+H_Mai[[#This Row],[PNP Début]])</f>
        <v>0</v>
      </c>
      <c r="M14" s="30">
        <f>IF(H_Mai[[#This Row],[PNP Fin]]=0,0,IF(H_Mai[[#This Row],[PNP Fin]]&lt;H_Mai[[#This Row],[début]],1,0)+H_Mai[[#This Row],[PNP Fin]])</f>
        <v>0</v>
      </c>
      <c r="N14" s="30">
        <f>IF(H_Mai[[#This Row],[Fin]]&lt;H_Mai[[#This Row],[début]],1,0)+H_Mai[[#This Row],[Fin]]</f>
        <v>0</v>
      </c>
      <c r="O14" s="31">
        <f>IF(H_Mai[[#This Row],[Fin]]&lt;H_Mai[[#This Row],[début]],MAX(0,MIN(H_Mai[[#This Row],[Fin corrigée si nuit]],fin_nuit)-MAX(H_Mai[[#This Row],[début]],deb_nuit))*24,(MAX(deb_nuit,H_Mai[[#This Row],[Fin]])-MAX(deb_nuit,H_Mai[[#This Row],[début]])+MAX(MIN(fin_nuit-1,H_Mai[[#This Row],[Fin]])-MIN(fin_nuit-1,H_Mai[[#This Row],[début]]),0))*24)</f>
        <v>0</v>
      </c>
      <c r="P14" s="31">
        <f>(MAX(0,MIN(H_Mai[[#This Row],[Fin corrigée si nuit]],fin_nuit)-MAX(H_Mai[[#This Row],[début]],deb_nuit))-IF(H_Mai[[#This Row],[PNP Début]]=0,0,MIN(H_Mai[[#This Row],[PNP Fin corrigée]],fin_nuit)-MAX(H_Mai[[#This Row],[PNP Début corrigé]],deb_nuit)))*24</f>
        <v>0</v>
      </c>
      <c r="Q14" s="31">
        <f>(IF(WEEKDAY(H_Mai[[#This Row],[Date]],2)=7,MAX(0,MIN(fin_dimJF,H_Mai[[#This Row],[Fin corrigée si nuit]])-MAX(deb_dimJF,H_Mai[[#This Row],[début]])),0)+IF(WEEKDAY(H_Mai[[#This Row],[Date]],2)=6,MAX(0,H_Mai[[#This Row],[Fin corrigée si nuit]]-(1+deb_dimJF)),0))*24</f>
        <v>0</v>
      </c>
      <c r="R14" s="3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14" s="32">
        <f>(IF(COUNTIF(JF,H_Mai[[#This Row],[Date]]),MAX(0,MIN(fin_dimJF,H_Mai[[#This Row],[Fin corrigée si nuit]])-MAX(deb_dimJF,H_Mai[[#This Row],[début]])),0)+IF(COUNTIF(JF,H_Mai[[#This Row],[Date]]+1),MAX(0,H_Mai[[#This Row],[Fin corrigée si nuit]]-(1+deb_dimJF)),0))*24</f>
        <v>0</v>
      </c>
      <c r="T14" s="32">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c r="V14" s="124"/>
      <c r="W14" s="124"/>
      <c r="X14" s="124"/>
      <c r="Y14" s="124"/>
      <c r="Z14" s="124"/>
    </row>
    <row r="15" spans="1:26" x14ac:dyDescent="0.3">
      <c r="A15" s="4"/>
      <c r="B15" s="1"/>
      <c r="C15" s="2"/>
      <c r="D15" s="2"/>
      <c r="E15" s="3"/>
      <c r="F15" s="3"/>
      <c r="G15" s="3"/>
      <c r="H15" s="3"/>
      <c r="I15" s="28">
        <f>0.1*(H_Mai[[#This Row],[Heures de nuit]]+IF(H_Mai[[#This Row],[majoration dim &amp; JF]]="non",0,H_Mai[[#This Row],[heures jour dimanche]]+H_Mai[[#This Row],[heures jour fériés]]))</f>
        <v>0</v>
      </c>
      <c r="J15" s="29">
        <f>(MOD(H_Mai[[#This Row],[Fin]]-H_Mai[[#This Row],[début]],1)-MOD(H_Mai[[#This Row],[PNP Fin]]-H_Mai[[#This Row],[PNP Début]],1))*24</f>
        <v>0</v>
      </c>
      <c r="K15" s="29" t="str">
        <f>IFERROR(VLOOKUP(H_Mai[[#This Row],[Service]],Codes[],4,0),"")</f>
        <v/>
      </c>
      <c r="L15" s="30">
        <f>IF(H_Mai[[#This Row],[PNP Début]]=0,0,IF(H_Mai[[#This Row],[PNP Début]]&lt;H_Mai[[#This Row],[début]],1,0)+H_Mai[[#This Row],[PNP Début]])</f>
        <v>0</v>
      </c>
      <c r="M15" s="30">
        <f>IF(H_Mai[[#This Row],[PNP Fin]]=0,0,IF(H_Mai[[#This Row],[PNP Fin]]&lt;H_Mai[[#This Row],[début]],1,0)+H_Mai[[#This Row],[PNP Fin]])</f>
        <v>0</v>
      </c>
      <c r="N15" s="30">
        <f>IF(H_Mai[[#This Row],[Fin]]&lt;H_Mai[[#This Row],[début]],1,0)+H_Mai[[#This Row],[Fin]]</f>
        <v>0</v>
      </c>
      <c r="O15" s="31">
        <f>IF(H_Mai[[#This Row],[Fin]]&lt;H_Mai[[#This Row],[début]],MAX(0,MIN(H_Mai[[#This Row],[Fin corrigée si nuit]],fin_nuit)-MAX(H_Mai[[#This Row],[début]],deb_nuit))*24,(MAX(deb_nuit,H_Mai[[#This Row],[Fin]])-MAX(deb_nuit,H_Mai[[#This Row],[début]])+MAX(MIN(fin_nuit-1,H_Mai[[#This Row],[Fin]])-MIN(fin_nuit-1,H_Mai[[#This Row],[début]]),0))*24)</f>
        <v>0</v>
      </c>
      <c r="P15" s="31">
        <f>(MAX(0,MIN(H_Mai[[#This Row],[Fin corrigée si nuit]],fin_nuit)-MAX(H_Mai[[#This Row],[début]],deb_nuit))-IF(H_Mai[[#This Row],[PNP Début]]=0,0,MIN(H_Mai[[#This Row],[PNP Fin corrigée]],fin_nuit)-MAX(H_Mai[[#This Row],[PNP Début corrigé]],deb_nuit)))*24</f>
        <v>0</v>
      </c>
      <c r="Q15" s="31">
        <f>(IF(WEEKDAY(H_Mai[[#This Row],[Date]],2)=7,MAX(0,MIN(fin_dimJF,H_Mai[[#This Row],[Fin corrigée si nuit]])-MAX(deb_dimJF,H_Mai[[#This Row],[début]])),0)+IF(WEEKDAY(H_Mai[[#This Row],[Date]],2)=6,MAX(0,H_Mai[[#This Row],[Fin corrigée si nuit]]-(1+deb_dimJF)),0))*24</f>
        <v>0</v>
      </c>
      <c r="R15" s="3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15" s="32">
        <f>(IF(COUNTIF(JF,H_Mai[[#This Row],[Date]]),MAX(0,MIN(fin_dimJF,H_Mai[[#This Row],[Fin corrigée si nuit]])-MAX(deb_dimJF,H_Mai[[#This Row],[début]])),0)+IF(COUNTIF(JF,H_Mai[[#This Row],[Date]]+1),MAX(0,H_Mai[[#This Row],[Fin corrigée si nuit]]-(1+deb_dimJF)),0))*24</f>
        <v>0</v>
      </c>
      <c r="T15" s="32">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0.1*(H_Mai[[#This Row],[Heures de nuit]]+IF(H_Mai[[#This Row],[majoration dim &amp; JF]]="non",0,H_Mai[[#This Row],[heures jour dimanche]]+H_Mai[[#This Row],[heures jour fériés]]))</f>
        <v>0</v>
      </c>
      <c r="J16" s="33">
        <f>(MOD(H_Mai[[#This Row],[Fin]]-H_Mai[[#This Row],[début]],1)-MOD(H_Mai[[#This Row],[PNP Fin]]-H_Mai[[#This Row],[PNP Début]],1))*24</f>
        <v>0</v>
      </c>
      <c r="K16" s="33" t="str">
        <f>IFERROR(VLOOKUP(H_Mai[[#This Row],[Service]],Codes[],4,0),"")</f>
        <v/>
      </c>
      <c r="L16" s="30">
        <f>IF(H_Mai[[#This Row],[PNP Début]]=0,0,IF(H_Mai[[#This Row],[PNP Début]]&lt;H_Mai[[#This Row],[début]],1,0)+H_Mai[[#This Row],[PNP Début]])</f>
        <v>0</v>
      </c>
      <c r="M16" s="30">
        <f>IF(H_Mai[[#This Row],[PNP Fin]]=0,0,IF(H_Mai[[#This Row],[PNP Fin]]&lt;H_Mai[[#This Row],[début]],1,0)+H_Mai[[#This Row],[PNP Fin]])</f>
        <v>0</v>
      </c>
      <c r="N16" s="34">
        <f>IF(H_Mai[[#This Row],[Fin]]&lt;H_Mai[[#This Row],[début]],1,0)+H_Mai[[#This Row],[Fin]]</f>
        <v>0</v>
      </c>
      <c r="O16" s="31">
        <f>IF(H_Mai[[#This Row],[Fin]]&lt;H_Mai[[#This Row],[début]],MAX(0,MIN(H_Mai[[#This Row],[Fin corrigée si nuit]],fin_nuit)-MAX(H_Mai[[#This Row],[début]],deb_nuit))*24,(MAX(deb_nuit,H_Mai[[#This Row],[Fin]])-MAX(deb_nuit,H_Mai[[#This Row],[début]])+MAX(MIN(fin_nuit-1,H_Mai[[#This Row],[Fin]])-MIN(fin_nuit-1,H_Mai[[#This Row],[début]]),0))*24)</f>
        <v>0</v>
      </c>
      <c r="P16" s="35">
        <f>(MAX(0,MIN(H_Mai[[#This Row],[Fin corrigée si nuit]],fin_nuit)-MAX(H_Mai[[#This Row],[début]],deb_nuit))-IF(H_Mai[[#This Row],[PNP Début]]=0,0,MIN(H_Mai[[#This Row],[PNP Fin corrigée]],fin_nuit)-MAX(H_Mai[[#This Row],[PNP Début corrigé]],deb_nuit)))*24</f>
        <v>0</v>
      </c>
      <c r="Q16" s="35">
        <f>(IF(WEEKDAY(H_Mai[[#This Row],[Date]],2)=7,MAX(0,MIN(fin_dimJF,H_Mai[[#This Row],[Fin corrigée si nuit]])-MAX(deb_dimJF,H_Mai[[#This Row],[début]])),0)+IF(WEEKDAY(H_Mai[[#This Row],[Date]],2)=6,MAX(0,H_Mai[[#This Row],[Fin corrigée si nuit]]-(1+deb_dimJF)),0))*24</f>
        <v>0</v>
      </c>
      <c r="R16" s="3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16" s="36">
        <f>(IF(COUNTIF(JF,H_Mai[[#This Row],[Date]]),MAX(0,MIN(fin_dimJF,H_Mai[[#This Row],[Fin corrigée si nuit]])-MAX(deb_dimJF,H_Mai[[#This Row],[début]])),0)+IF(COUNTIF(JF,H_Mai[[#This Row],[Date]]+1),MAX(0,H_Mai[[#This Row],[Fin corrigée si nuit]]-(1+deb_dimJF)),0))*24</f>
        <v>0</v>
      </c>
      <c r="T16" s="36">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c r="V16" s="127" t="s">
        <v>135</v>
      </c>
      <c r="W16" s="128">
        <f>'Avril 18'!Z16</f>
        <v>20.100000000000001</v>
      </c>
      <c r="X16" s="128">
        <f>I50</f>
        <v>0</v>
      </c>
      <c r="Y16" s="128"/>
      <c r="Z16" s="128">
        <f>W16+X16-Y16</f>
        <v>20.100000000000001</v>
      </c>
    </row>
    <row r="17" spans="1:20" x14ac:dyDescent="0.3">
      <c r="A17" s="4"/>
      <c r="B17" s="1"/>
      <c r="C17" s="2"/>
      <c r="D17" s="2"/>
      <c r="E17" s="3"/>
      <c r="F17" s="3"/>
      <c r="G17" s="9"/>
      <c r="H17" s="9"/>
      <c r="I17" s="37">
        <f>0.1*(H_Mai[[#This Row],[Heures de nuit]]+IF(H_Mai[[#This Row],[majoration dim &amp; JF]]="non",0,H_Mai[[#This Row],[heures jour dimanche]]+H_Mai[[#This Row],[heures jour fériés]]))</f>
        <v>0</v>
      </c>
      <c r="J17" s="38">
        <f>(MOD(H_Mai[[#This Row],[Fin]]-H_Mai[[#This Row],[début]],1)-MOD(H_Mai[[#This Row],[PNP Fin]]-H_Mai[[#This Row],[PNP Début]],1))*24</f>
        <v>0</v>
      </c>
      <c r="K17" s="122" t="str">
        <f>IFERROR(VLOOKUP(H_Mai[[#This Row],[Service]],Codes[],4,0),"")</f>
        <v/>
      </c>
      <c r="L17" s="39">
        <f>IF(H_Mai[[#This Row],[PNP Début]]=0,0,IF(H_Mai[[#This Row],[PNP Début]]&lt;H_Mai[[#This Row],[début]],1,0)+H_Mai[[#This Row],[PNP Début]])</f>
        <v>0</v>
      </c>
      <c r="M17" s="40">
        <f>IF(H_Mai[[#This Row],[PNP Fin]]=0,0,IF(H_Mai[[#This Row],[PNP Fin]]&lt;H_Mai[[#This Row],[début]],1,0)+H_Mai[[#This Row],[PNP Fin]])</f>
        <v>0</v>
      </c>
      <c r="N17" s="40">
        <f>IF(H_Mai[[#This Row],[Fin]]&lt;H_Mai[[#This Row],[début]],1,0)+H_Mai[[#This Row],[Fin]]</f>
        <v>0</v>
      </c>
      <c r="O17" s="31">
        <f>IF(H_Mai[[#This Row],[Fin]]&lt;H_Mai[[#This Row],[début]],MAX(0,MIN(H_Mai[[#This Row],[Fin corrigée si nuit]],fin_nuit)-MAX(H_Mai[[#This Row],[début]],deb_nuit))*24,(MAX(deb_nuit,H_Mai[[#This Row],[Fin]])-MAX(deb_nuit,H_Mai[[#This Row],[début]])+MAX(MIN(fin_nuit-1,H_Mai[[#This Row],[Fin]])-MIN(fin_nuit-1,H_Mai[[#This Row],[début]]),0))*24)</f>
        <v>0</v>
      </c>
      <c r="P17" s="41">
        <f>(MAX(0,MIN(H_Mai[[#This Row],[Fin corrigée si nuit]],fin_nuit)-MAX(H_Mai[[#This Row],[début]],deb_nuit))-IF(H_Mai[[#This Row],[PNP Début]]=0,0,MIN(H_Mai[[#This Row],[PNP Fin corrigée]],fin_nuit)-MAX(H_Mai[[#This Row],[PNP Début corrigé]],deb_nuit)))*24</f>
        <v>0</v>
      </c>
      <c r="Q17" s="41">
        <f>(IF(WEEKDAY(H_Mai[[#This Row],[Date]],2)=7,MAX(0,MIN(fin_dimJF,H_Mai[[#This Row],[Fin corrigée si nuit]])-MAX(deb_dimJF,H_Mai[[#This Row],[début]])),0)+IF(WEEKDAY(H_Mai[[#This Row],[Date]],2)=6,MAX(0,H_Mai[[#This Row],[Fin corrigée si nuit]]-(1+deb_dimJF)),0))*24</f>
        <v>0</v>
      </c>
      <c r="R17" s="4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17" s="41">
        <f>(IF(COUNTIF(JF,H_Mai[[#This Row],[Date]]),MAX(0,MIN(fin_dimJF,H_Mai[[#This Row],[Fin corrigée si nuit]])-MAX(deb_dimJF,H_Mai[[#This Row],[début]])),0)+IF(COUNTIF(JF,H_Mai[[#This Row],[Date]]+1),MAX(0,H_Mai[[#This Row],[Fin corrigée si nuit]]-(1+deb_dimJF)),0))*24</f>
        <v>0</v>
      </c>
      <c r="T17" s="4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18" spans="1:20" x14ac:dyDescent="0.3">
      <c r="A18" s="4"/>
      <c r="B18" s="1"/>
      <c r="C18" s="2"/>
      <c r="D18" s="2"/>
      <c r="E18" s="9"/>
      <c r="F18" s="9"/>
      <c r="G18" s="9"/>
      <c r="H18" s="9"/>
      <c r="I18" s="37">
        <f>0.1*(H_Mai[[#This Row],[Heures de nuit]]+IF(H_Mai[[#This Row],[majoration dim &amp; JF]]="non",0,H_Mai[[#This Row],[heures jour dimanche]]+H_Mai[[#This Row],[heures jour fériés]]))</f>
        <v>0</v>
      </c>
      <c r="J18" s="38">
        <f>(MOD(H_Mai[[#This Row],[Fin]]-H_Mai[[#This Row],[début]],1)-MOD(H_Mai[[#This Row],[PNP Fin]]-H_Mai[[#This Row],[PNP Début]],1))*24</f>
        <v>0</v>
      </c>
      <c r="K18" s="122" t="str">
        <f>IFERROR(VLOOKUP(H_Mai[[#This Row],[Service]],Codes[],4,0),"")</f>
        <v/>
      </c>
      <c r="L18" s="39">
        <f>IF(H_Mai[[#This Row],[PNP Début]]=0,0,IF(H_Mai[[#This Row],[PNP Début]]&lt;H_Mai[[#This Row],[début]],1,0)+H_Mai[[#This Row],[PNP Début]])</f>
        <v>0</v>
      </c>
      <c r="M18" s="40">
        <f>IF(H_Mai[[#This Row],[PNP Fin]]=0,0,IF(H_Mai[[#This Row],[PNP Fin]]&lt;H_Mai[[#This Row],[début]],1,0)+H_Mai[[#This Row],[PNP Fin]])</f>
        <v>0</v>
      </c>
      <c r="N18" s="40">
        <f>IF(H_Mai[[#This Row],[Fin]]&lt;H_Mai[[#This Row],[début]],1,0)+H_Mai[[#This Row],[Fin]]</f>
        <v>0</v>
      </c>
      <c r="O18" s="31">
        <f>IF(H_Mai[[#This Row],[Fin]]&lt;H_Mai[[#This Row],[début]],MAX(0,MIN(H_Mai[[#This Row],[Fin corrigée si nuit]],fin_nuit)-MAX(H_Mai[[#This Row],[début]],deb_nuit))*24,(MAX(deb_nuit,H_Mai[[#This Row],[Fin]])-MAX(deb_nuit,H_Mai[[#This Row],[début]])+MAX(MIN(fin_nuit-1,H_Mai[[#This Row],[Fin]])-MIN(fin_nuit-1,H_Mai[[#This Row],[début]]),0))*24)</f>
        <v>0</v>
      </c>
      <c r="P18" s="41">
        <f>(MAX(0,MIN(H_Mai[[#This Row],[Fin corrigée si nuit]],fin_nuit)-MAX(H_Mai[[#This Row],[début]],deb_nuit))-IF(H_Mai[[#This Row],[PNP Début]]=0,0,MIN(H_Mai[[#This Row],[PNP Fin corrigée]],fin_nuit)-MAX(H_Mai[[#This Row],[PNP Début corrigé]],deb_nuit)))*24</f>
        <v>0</v>
      </c>
      <c r="Q18" s="41">
        <f>(IF(WEEKDAY(H_Mai[[#This Row],[Date]],2)=7,MAX(0,MIN(fin_dimJF,H_Mai[[#This Row],[Fin corrigée si nuit]])-MAX(deb_dimJF,H_Mai[[#This Row],[début]])),0)+IF(WEEKDAY(H_Mai[[#This Row],[Date]],2)=6,MAX(0,H_Mai[[#This Row],[Fin corrigée si nuit]]-(1+deb_dimJF)),0))*24</f>
        <v>0</v>
      </c>
      <c r="R18" s="4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18" s="41">
        <f>(IF(COUNTIF(JF,H_Mai[[#This Row],[Date]]),MAX(0,MIN(fin_dimJF,H_Mai[[#This Row],[Fin corrigée si nuit]])-MAX(deb_dimJF,H_Mai[[#This Row],[début]])),0)+IF(COUNTIF(JF,H_Mai[[#This Row],[Date]]+1),MAX(0,H_Mai[[#This Row],[Fin corrigée si nuit]]-(1+deb_dimJF)),0))*24</f>
        <v>0</v>
      </c>
      <c r="T18" s="4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19" spans="1:20" x14ac:dyDescent="0.3">
      <c r="A19" s="4"/>
      <c r="B19" s="1"/>
      <c r="C19" s="2"/>
      <c r="D19" s="2"/>
      <c r="E19" s="3"/>
      <c r="F19" s="3"/>
      <c r="G19" s="9"/>
      <c r="H19" s="9"/>
      <c r="I19" s="37">
        <f>0.1*(H_Mai[[#This Row],[Heures de nuit]]+IF(H_Mai[[#This Row],[majoration dim &amp; JF]]="non",0,H_Mai[[#This Row],[heures jour dimanche]]+H_Mai[[#This Row],[heures jour fériés]]))</f>
        <v>0</v>
      </c>
      <c r="J19" s="38">
        <f>(MOD(H_Mai[[#This Row],[Fin]]-H_Mai[[#This Row],[début]],1)-MOD(H_Mai[[#This Row],[PNP Fin]]-H_Mai[[#This Row],[PNP Début]],1))*24</f>
        <v>0</v>
      </c>
      <c r="K19" s="122" t="str">
        <f>IFERROR(VLOOKUP(H_Mai[[#This Row],[Service]],Codes[],4,0),"")</f>
        <v/>
      </c>
      <c r="L19" s="39">
        <f>IF(H_Mai[[#This Row],[PNP Début]]=0,0,IF(H_Mai[[#This Row],[PNP Début]]&lt;H_Mai[[#This Row],[début]],1,0)+H_Mai[[#This Row],[PNP Début]])</f>
        <v>0</v>
      </c>
      <c r="M19" s="40">
        <f>IF(H_Mai[[#This Row],[PNP Fin]]=0,0,IF(H_Mai[[#This Row],[PNP Fin]]&lt;H_Mai[[#This Row],[début]],1,0)+H_Mai[[#This Row],[PNP Fin]])</f>
        <v>0</v>
      </c>
      <c r="N19" s="40">
        <f>IF(H_Mai[[#This Row],[Fin]]&lt;H_Mai[[#This Row],[début]],1,0)+H_Mai[[#This Row],[Fin]]</f>
        <v>0</v>
      </c>
      <c r="O19" s="31">
        <f>IF(H_Mai[[#This Row],[Fin]]&lt;H_Mai[[#This Row],[début]],MAX(0,MIN(H_Mai[[#This Row],[Fin corrigée si nuit]],fin_nuit)-MAX(H_Mai[[#This Row],[début]],deb_nuit))*24,(MAX(deb_nuit,H_Mai[[#This Row],[Fin]])-MAX(deb_nuit,H_Mai[[#This Row],[début]])+MAX(MIN(fin_nuit-1,H_Mai[[#This Row],[Fin]])-MIN(fin_nuit-1,H_Mai[[#This Row],[début]]),0))*24)</f>
        <v>0</v>
      </c>
      <c r="P19" s="41">
        <f>(MAX(0,MIN(H_Mai[[#This Row],[Fin corrigée si nuit]],fin_nuit)-MAX(H_Mai[[#This Row],[début]],deb_nuit))-IF(H_Mai[[#This Row],[PNP Début]]=0,0,MIN(H_Mai[[#This Row],[PNP Fin corrigée]],fin_nuit)-MAX(H_Mai[[#This Row],[PNP Début corrigé]],deb_nuit)))*24</f>
        <v>0</v>
      </c>
      <c r="Q19" s="41">
        <f>(IF(WEEKDAY(H_Mai[[#This Row],[Date]],2)=7,MAX(0,MIN(fin_dimJF,H_Mai[[#This Row],[Fin corrigée si nuit]])-MAX(deb_dimJF,H_Mai[[#This Row],[début]])),0)+IF(WEEKDAY(H_Mai[[#This Row],[Date]],2)=6,MAX(0,H_Mai[[#This Row],[Fin corrigée si nuit]]-(1+deb_dimJF)),0))*24</f>
        <v>0</v>
      </c>
      <c r="R19" s="4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19" s="41">
        <f>(IF(COUNTIF(JF,H_Mai[[#This Row],[Date]]),MAX(0,MIN(fin_dimJF,H_Mai[[#This Row],[Fin corrigée si nuit]])-MAX(deb_dimJF,H_Mai[[#This Row],[début]])),0)+IF(COUNTIF(JF,H_Mai[[#This Row],[Date]]+1),MAX(0,H_Mai[[#This Row],[Fin corrigée si nuit]]-(1+deb_dimJF)),0))*24</f>
        <v>0</v>
      </c>
      <c r="T19" s="4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0" spans="1:20" x14ac:dyDescent="0.3">
      <c r="A20" s="4"/>
      <c r="B20" s="1"/>
      <c r="C20" s="2"/>
      <c r="D20" s="2"/>
      <c r="E20" s="9"/>
      <c r="F20" s="9"/>
      <c r="G20" s="9"/>
      <c r="H20" s="9"/>
      <c r="I20" s="37">
        <f>0.1*(H_Mai[[#This Row],[Heures de nuit]]+IF(H_Mai[[#This Row],[majoration dim &amp; JF]]="non",0,H_Mai[[#This Row],[heures jour dimanche]]+H_Mai[[#This Row],[heures jour fériés]]))</f>
        <v>0</v>
      </c>
      <c r="J20" s="38">
        <f>(MOD(H_Mai[[#This Row],[Fin]]-H_Mai[[#This Row],[début]],1)-MOD(H_Mai[[#This Row],[PNP Fin]]-H_Mai[[#This Row],[PNP Début]],1))*24</f>
        <v>0</v>
      </c>
      <c r="K20" s="122" t="str">
        <f>IFERROR(VLOOKUP(H_Mai[[#This Row],[Service]],Codes[],4,0),"")</f>
        <v/>
      </c>
      <c r="L20" s="39">
        <f>IF(H_Mai[[#This Row],[PNP Début]]=0,0,IF(H_Mai[[#This Row],[PNP Début]]&lt;H_Mai[[#This Row],[début]],1,0)+H_Mai[[#This Row],[PNP Début]])</f>
        <v>0</v>
      </c>
      <c r="M20" s="40">
        <f>IF(H_Mai[[#This Row],[PNP Fin]]=0,0,IF(H_Mai[[#This Row],[PNP Fin]]&lt;H_Mai[[#This Row],[début]],1,0)+H_Mai[[#This Row],[PNP Fin]])</f>
        <v>0</v>
      </c>
      <c r="N20" s="40">
        <f>IF(H_Mai[[#This Row],[Fin]]&lt;H_Mai[[#This Row],[début]],1,0)+H_Mai[[#This Row],[Fin]]</f>
        <v>0</v>
      </c>
      <c r="O20" s="31">
        <f>IF(H_Mai[[#This Row],[Fin]]&lt;H_Mai[[#This Row],[début]],MAX(0,MIN(H_Mai[[#This Row],[Fin corrigée si nuit]],fin_nuit)-MAX(H_Mai[[#This Row],[début]],deb_nuit))*24,(MAX(deb_nuit,H_Mai[[#This Row],[Fin]])-MAX(deb_nuit,H_Mai[[#This Row],[début]])+MAX(MIN(fin_nuit-1,H_Mai[[#This Row],[Fin]])-MIN(fin_nuit-1,H_Mai[[#This Row],[début]]),0))*24)</f>
        <v>0</v>
      </c>
      <c r="P20" s="41">
        <f>(MAX(0,MIN(H_Mai[[#This Row],[Fin corrigée si nuit]],fin_nuit)-MAX(H_Mai[[#This Row],[début]],deb_nuit))-IF(H_Mai[[#This Row],[PNP Début]]=0,0,MIN(H_Mai[[#This Row],[PNP Fin corrigée]],fin_nuit)-MAX(H_Mai[[#This Row],[PNP Début corrigé]],deb_nuit)))*24</f>
        <v>0</v>
      </c>
      <c r="Q20" s="41">
        <f>(IF(WEEKDAY(H_Mai[[#This Row],[Date]],2)=7,MAX(0,MIN(fin_dimJF,H_Mai[[#This Row],[Fin corrigée si nuit]])-MAX(deb_dimJF,H_Mai[[#This Row],[début]])),0)+IF(WEEKDAY(H_Mai[[#This Row],[Date]],2)=6,MAX(0,H_Mai[[#This Row],[Fin corrigée si nuit]]-(1+deb_dimJF)),0))*24</f>
        <v>0</v>
      </c>
      <c r="R20" s="4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0" s="41">
        <f>(IF(COUNTIF(JF,H_Mai[[#This Row],[Date]]),MAX(0,MIN(fin_dimJF,H_Mai[[#This Row],[Fin corrigée si nuit]])-MAX(deb_dimJF,H_Mai[[#This Row],[début]])),0)+IF(COUNTIF(JF,H_Mai[[#This Row],[Date]]+1),MAX(0,H_Mai[[#This Row],[Fin corrigée si nuit]]-(1+deb_dimJF)),0))*24</f>
        <v>0</v>
      </c>
      <c r="T20" s="4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1" spans="1:20" x14ac:dyDescent="0.3">
      <c r="A21" s="4"/>
      <c r="B21" s="1"/>
      <c r="C21" s="2"/>
      <c r="D21" s="2"/>
      <c r="E21" s="3"/>
      <c r="F21" s="3"/>
      <c r="G21" s="10"/>
      <c r="H21" s="10"/>
      <c r="I21" s="42">
        <f>0.1*(H_Mai[[#This Row],[Heures de nuit]]+IF(H_Mai[[#This Row],[majoration dim &amp; JF]]="non",0,H_Mai[[#This Row],[heures jour dimanche]]+H_Mai[[#This Row],[heures jour fériés]]))</f>
        <v>0</v>
      </c>
      <c r="J21" s="43">
        <f>(MOD(H_Mai[[#This Row],[Fin]]-H_Mai[[#This Row],[début]],1)-MOD(H_Mai[[#This Row],[PNP Fin]]-H_Mai[[#This Row],[PNP Début]],1))*24</f>
        <v>0</v>
      </c>
      <c r="K21" s="123" t="str">
        <f>IFERROR(VLOOKUP(H_Mai[[#This Row],[Service]],Codes[],4,0),"")</f>
        <v/>
      </c>
      <c r="L21" s="44">
        <f>IF(H_Mai[[#This Row],[PNP Début]]=0,0,IF(H_Mai[[#This Row],[PNP Début]]&lt;H_Mai[[#This Row],[début]],1,0)+H_Mai[[#This Row],[PNP Début]])</f>
        <v>0</v>
      </c>
      <c r="M21" s="45">
        <f>IF(H_Mai[[#This Row],[PNP Fin]]=0,0,IF(H_Mai[[#This Row],[PNP Fin]]&lt;H_Mai[[#This Row],[début]],1,0)+H_Mai[[#This Row],[PNP Fin]])</f>
        <v>0</v>
      </c>
      <c r="N21" s="45">
        <f>IF(H_Mai[[#This Row],[Fin]]&lt;H_Mai[[#This Row],[début]],1,0)+H_Mai[[#This Row],[Fin]]</f>
        <v>0</v>
      </c>
      <c r="O21" s="31">
        <f>IF(H_Mai[[#This Row],[Fin]]&lt;H_Mai[[#This Row],[début]],MAX(0,MIN(H_Mai[[#This Row],[Fin corrigée si nuit]],fin_nuit)-MAX(H_Mai[[#This Row],[début]],deb_nuit))*24,(MAX(deb_nuit,H_Mai[[#This Row],[Fin]])-MAX(deb_nuit,H_Mai[[#This Row],[début]])+MAX(MIN(fin_nuit-1,H_Mai[[#This Row],[Fin]])-MIN(fin_nuit-1,H_Mai[[#This Row],[début]]),0))*24)</f>
        <v>0</v>
      </c>
      <c r="P21" s="46">
        <f>(MAX(0,MIN(H_Mai[[#This Row],[Fin corrigée si nuit]],fin_nuit)-MAX(H_Mai[[#This Row],[début]],deb_nuit))-IF(H_Mai[[#This Row],[PNP Début]]=0,0,MIN(H_Mai[[#This Row],[PNP Fin corrigée]],fin_nuit)-MAX(H_Mai[[#This Row],[PNP Début corrigé]],deb_nuit)))*24</f>
        <v>0</v>
      </c>
      <c r="Q21" s="46">
        <f>(IF(WEEKDAY(H_Mai[[#This Row],[Date]],2)=7,MAX(0,MIN(fin_dimJF,H_Mai[[#This Row],[Fin corrigée si nuit]])-MAX(deb_dimJF,H_Mai[[#This Row],[début]])),0)+IF(WEEKDAY(H_Mai[[#This Row],[Date]],2)=6,MAX(0,H_Mai[[#This Row],[Fin corrigée si nuit]]-(1+deb_dimJF)),0))*24</f>
        <v>0</v>
      </c>
      <c r="R21" s="46">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1" s="46">
        <f>(IF(COUNTIF(JF,H_Mai[[#This Row],[Date]]),MAX(0,MIN(fin_dimJF,H_Mai[[#This Row],[Fin corrigée si nuit]])-MAX(deb_dimJF,H_Mai[[#This Row],[début]])),0)+IF(COUNTIF(JF,H_Mai[[#This Row],[Date]]+1),MAX(0,H_Mai[[#This Row],[Fin corrigée si nuit]]-(1+deb_dimJF)),0))*24</f>
        <v>0</v>
      </c>
      <c r="T21" s="46">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2" spans="1:20" x14ac:dyDescent="0.3">
      <c r="A22" s="4"/>
      <c r="B22" s="1"/>
      <c r="C22" s="2"/>
      <c r="D22" s="2"/>
      <c r="E22" s="3"/>
      <c r="F22" s="3"/>
      <c r="G22" s="3"/>
      <c r="H22" s="3"/>
      <c r="I22" s="47">
        <f>0.1*(H_Mai[[#This Row],[Heures de nuit]]+IF(H_Mai[[#This Row],[majoration dim &amp; JF]]="non",0,H_Mai[[#This Row],[heures jour dimanche]]+H_Mai[[#This Row],[heures jour fériés]]))</f>
        <v>0</v>
      </c>
      <c r="J22" s="48">
        <f>(MOD(H_Mai[[#This Row],[Fin]]-H_Mai[[#This Row],[début]],1)-MOD(H_Mai[[#This Row],[PNP Fin]]-H_Mai[[#This Row],[PNP Début]],1))*24</f>
        <v>0</v>
      </c>
      <c r="K22" s="119" t="str">
        <f>IFERROR(VLOOKUP(H_Mai[[#This Row],[Service]],Codes[],4,0),"")</f>
        <v/>
      </c>
      <c r="L22" s="49">
        <f>IF(H_Mai[[#This Row],[PNP Début]]=0,0,IF(H_Mai[[#This Row],[PNP Début]]&lt;H_Mai[[#This Row],[début]],1,0)+H_Mai[[#This Row],[PNP Début]])</f>
        <v>0</v>
      </c>
      <c r="M22" s="50">
        <f>IF(H_Mai[[#This Row],[PNP Fin]]=0,0,IF(H_Mai[[#This Row],[PNP Fin]]&lt;H_Mai[[#This Row],[début]],1,0)+H_Mai[[#This Row],[PNP Fin]])</f>
        <v>0</v>
      </c>
      <c r="N22" s="50">
        <f>IF(H_Mai[[#This Row],[Fin]]&lt;H_Mai[[#This Row],[début]],1,0)+H_Mai[[#This Row],[Fin]]</f>
        <v>0</v>
      </c>
      <c r="O22" s="31">
        <f>IF(H_Mai[[#This Row],[Fin]]&lt;H_Mai[[#This Row],[début]],MAX(0,MIN(H_Mai[[#This Row],[Fin corrigée si nuit]],fin_nuit)-MAX(H_Mai[[#This Row],[début]],deb_nuit))*24,(MAX(deb_nuit,H_Mai[[#This Row],[Fin]])-MAX(deb_nuit,H_Mai[[#This Row],[début]])+MAX(MIN(fin_nuit-1,H_Mai[[#This Row],[Fin]])-MIN(fin_nuit-1,H_Mai[[#This Row],[début]]),0))*24)</f>
        <v>0</v>
      </c>
      <c r="P22" s="51">
        <f>(MAX(0,MIN(H_Mai[[#This Row],[Fin corrigée si nuit]],fin_nuit)-MAX(H_Mai[[#This Row],[début]],deb_nuit))-IF(H_Mai[[#This Row],[PNP Début]]=0,0,MIN(H_Mai[[#This Row],[PNP Fin corrigée]],fin_nuit)-MAX(H_Mai[[#This Row],[PNP Début corrigé]],deb_nuit)))*24</f>
        <v>0</v>
      </c>
      <c r="Q22" s="51">
        <f>(IF(WEEKDAY(H_Mai[[#This Row],[Date]],2)=7,MAX(0,MIN(fin_dimJF,H_Mai[[#This Row],[Fin corrigée si nuit]])-MAX(deb_dimJF,H_Mai[[#This Row],[début]])),0)+IF(WEEKDAY(H_Mai[[#This Row],[Date]],2)=6,MAX(0,H_Mai[[#This Row],[Fin corrigée si nuit]]-(1+deb_dimJF)),0))*24</f>
        <v>0</v>
      </c>
      <c r="R22"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2" s="51">
        <f>(IF(COUNTIF(JF,H_Mai[[#This Row],[Date]]),MAX(0,MIN(fin_dimJF,H_Mai[[#This Row],[Fin corrigée si nuit]])-MAX(deb_dimJF,H_Mai[[#This Row],[début]])),0)+IF(COUNTIF(JF,H_Mai[[#This Row],[Date]]+1),MAX(0,H_Mai[[#This Row],[Fin corrigée si nuit]]-(1+deb_dimJF)),0))*24</f>
        <v>0</v>
      </c>
      <c r="T22"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3" spans="1:20" x14ac:dyDescent="0.3">
      <c r="A23" s="4"/>
      <c r="B23" s="1"/>
      <c r="C23" s="2"/>
      <c r="D23" s="2"/>
      <c r="E23" s="3"/>
      <c r="F23" s="3"/>
      <c r="G23" s="3"/>
      <c r="H23" s="3"/>
      <c r="I23" s="47">
        <f>0.1*(H_Mai[[#This Row],[Heures de nuit]]+IF(H_Mai[[#This Row],[majoration dim &amp; JF]]="non",0,H_Mai[[#This Row],[heures jour dimanche]]+H_Mai[[#This Row],[heures jour fériés]]))</f>
        <v>0</v>
      </c>
      <c r="J23" s="48">
        <f>(MOD(H_Mai[[#This Row],[Fin]]-H_Mai[[#This Row],[début]],1)-MOD(H_Mai[[#This Row],[PNP Fin]]-H_Mai[[#This Row],[PNP Début]],1))*24</f>
        <v>0</v>
      </c>
      <c r="K23" s="119" t="str">
        <f>IFERROR(VLOOKUP(H_Mai[[#This Row],[Service]],Codes[],4,0),"")</f>
        <v/>
      </c>
      <c r="L23" s="49">
        <f>IF(H_Mai[[#This Row],[PNP Début]]=0,0,IF(H_Mai[[#This Row],[PNP Début]]&lt;H_Mai[[#This Row],[début]],1,0)+H_Mai[[#This Row],[PNP Début]])</f>
        <v>0</v>
      </c>
      <c r="M23" s="50">
        <f>IF(H_Mai[[#This Row],[PNP Fin]]=0,0,IF(H_Mai[[#This Row],[PNP Fin]]&lt;H_Mai[[#This Row],[début]],1,0)+H_Mai[[#This Row],[PNP Fin]])</f>
        <v>0</v>
      </c>
      <c r="N23" s="50">
        <f>IF(H_Mai[[#This Row],[Fin]]&lt;H_Mai[[#This Row],[début]],1,0)+H_Mai[[#This Row],[Fin]]</f>
        <v>0</v>
      </c>
      <c r="O23" s="31">
        <f>IF(H_Mai[[#This Row],[Fin]]&lt;H_Mai[[#This Row],[début]],MAX(0,MIN(H_Mai[[#This Row],[Fin corrigée si nuit]],fin_nuit)-MAX(H_Mai[[#This Row],[début]],deb_nuit))*24,(MAX(deb_nuit,H_Mai[[#This Row],[Fin]])-MAX(deb_nuit,H_Mai[[#This Row],[début]])+MAX(MIN(fin_nuit-1,H_Mai[[#This Row],[Fin]])-MIN(fin_nuit-1,H_Mai[[#This Row],[début]]),0))*24)</f>
        <v>0</v>
      </c>
      <c r="P23" s="51">
        <f>(MAX(0,MIN(H_Mai[[#This Row],[Fin corrigée si nuit]],fin_nuit)-MAX(H_Mai[[#This Row],[début]],deb_nuit))-IF(H_Mai[[#This Row],[PNP Début]]=0,0,MIN(H_Mai[[#This Row],[PNP Fin corrigée]],fin_nuit)-MAX(H_Mai[[#This Row],[PNP Début corrigé]],deb_nuit)))*24</f>
        <v>0</v>
      </c>
      <c r="Q23" s="51">
        <f>(IF(WEEKDAY(H_Mai[[#This Row],[Date]],2)=7,MAX(0,MIN(fin_dimJF,H_Mai[[#This Row],[Fin corrigée si nuit]])-MAX(deb_dimJF,H_Mai[[#This Row],[début]])),0)+IF(WEEKDAY(H_Mai[[#This Row],[Date]],2)=6,MAX(0,H_Mai[[#This Row],[Fin corrigée si nuit]]-(1+deb_dimJF)),0))*24</f>
        <v>0</v>
      </c>
      <c r="R23"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3" s="51">
        <f>(IF(COUNTIF(JF,H_Mai[[#This Row],[Date]]),MAX(0,MIN(fin_dimJF,H_Mai[[#This Row],[Fin corrigée si nuit]])-MAX(deb_dimJF,H_Mai[[#This Row],[début]])),0)+IF(COUNTIF(JF,H_Mai[[#This Row],[Date]]+1),MAX(0,H_Mai[[#This Row],[Fin corrigée si nuit]]-(1+deb_dimJF)),0))*24</f>
        <v>0</v>
      </c>
      <c r="T23"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4" spans="1:20" x14ac:dyDescent="0.3">
      <c r="A24" s="4"/>
      <c r="B24" s="1"/>
      <c r="C24" s="2"/>
      <c r="D24" s="2"/>
      <c r="E24" s="3"/>
      <c r="F24" s="3"/>
      <c r="G24" s="3"/>
      <c r="H24" s="3"/>
      <c r="I24" s="47">
        <f>0.1*(H_Mai[[#This Row],[Heures de nuit]]+IF(H_Mai[[#This Row],[majoration dim &amp; JF]]="non",0,H_Mai[[#This Row],[heures jour dimanche]]+H_Mai[[#This Row],[heures jour fériés]]))</f>
        <v>0</v>
      </c>
      <c r="J24" s="48">
        <f>(MOD(H_Mai[[#This Row],[Fin]]-H_Mai[[#This Row],[début]],1)-MOD(H_Mai[[#This Row],[PNP Fin]]-H_Mai[[#This Row],[PNP Début]],1))*24</f>
        <v>0</v>
      </c>
      <c r="K24" s="119" t="str">
        <f>IFERROR(VLOOKUP(H_Mai[[#This Row],[Service]],Codes[],4,0),"")</f>
        <v/>
      </c>
      <c r="L24" s="49">
        <f>IF(H_Mai[[#This Row],[PNP Début]]=0,0,IF(H_Mai[[#This Row],[PNP Début]]&lt;H_Mai[[#This Row],[début]],1,0)+H_Mai[[#This Row],[PNP Début]])</f>
        <v>0</v>
      </c>
      <c r="M24" s="50">
        <f>IF(H_Mai[[#This Row],[PNP Fin]]=0,0,IF(H_Mai[[#This Row],[PNP Fin]]&lt;H_Mai[[#This Row],[début]],1,0)+H_Mai[[#This Row],[PNP Fin]])</f>
        <v>0</v>
      </c>
      <c r="N24" s="50">
        <f>IF(H_Mai[[#This Row],[Fin]]&lt;H_Mai[[#This Row],[début]],1,0)+H_Mai[[#This Row],[Fin]]</f>
        <v>0</v>
      </c>
      <c r="O24" s="31">
        <f>IF(H_Mai[[#This Row],[Fin]]&lt;H_Mai[[#This Row],[début]],MAX(0,MIN(H_Mai[[#This Row],[Fin corrigée si nuit]],fin_nuit)-MAX(H_Mai[[#This Row],[début]],deb_nuit))*24,(MAX(deb_nuit,H_Mai[[#This Row],[Fin]])-MAX(deb_nuit,H_Mai[[#This Row],[début]])+MAX(MIN(fin_nuit-1,H_Mai[[#This Row],[Fin]])-MIN(fin_nuit-1,H_Mai[[#This Row],[début]]),0))*24)</f>
        <v>0</v>
      </c>
      <c r="P24" s="51">
        <f>(MAX(0,MIN(H_Mai[[#This Row],[Fin corrigée si nuit]],fin_nuit)-MAX(H_Mai[[#This Row],[début]],deb_nuit))-IF(H_Mai[[#This Row],[PNP Début]]=0,0,MIN(H_Mai[[#This Row],[PNP Fin corrigée]],fin_nuit)-MAX(H_Mai[[#This Row],[PNP Début corrigé]],deb_nuit)))*24</f>
        <v>0</v>
      </c>
      <c r="Q24" s="51">
        <f>(IF(WEEKDAY(H_Mai[[#This Row],[Date]],2)=7,MAX(0,MIN(fin_dimJF,H_Mai[[#This Row],[Fin corrigée si nuit]])-MAX(deb_dimJF,H_Mai[[#This Row],[début]])),0)+IF(WEEKDAY(H_Mai[[#This Row],[Date]],2)=6,MAX(0,H_Mai[[#This Row],[Fin corrigée si nuit]]-(1+deb_dimJF)),0))*24</f>
        <v>0</v>
      </c>
      <c r="R24"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4" s="51">
        <f>(IF(COUNTIF(JF,H_Mai[[#This Row],[Date]]),MAX(0,MIN(fin_dimJF,H_Mai[[#This Row],[Fin corrigée si nuit]])-MAX(deb_dimJF,H_Mai[[#This Row],[début]])),0)+IF(COUNTIF(JF,H_Mai[[#This Row],[Date]]+1),MAX(0,H_Mai[[#This Row],[Fin corrigée si nuit]]-(1+deb_dimJF)),0))*24</f>
        <v>0</v>
      </c>
      <c r="T24"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5" spans="1:20" x14ac:dyDescent="0.3">
      <c r="A25" s="4"/>
      <c r="B25" s="1"/>
      <c r="C25" s="2"/>
      <c r="D25" s="2"/>
      <c r="E25" s="3"/>
      <c r="F25" s="3"/>
      <c r="G25" s="3"/>
      <c r="H25" s="3"/>
      <c r="I25" s="47">
        <f>0.1*(H_Mai[[#This Row],[Heures de nuit]]+IF(H_Mai[[#This Row],[majoration dim &amp; JF]]="non",0,H_Mai[[#This Row],[heures jour dimanche]]+H_Mai[[#This Row],[heures jour fériés]]))</f>
        <v>0</v>
      </c>
      <c r="J25" s="48">
        <f>(MOD(H_Mai[[#This Row],[Fin]]-H_Mai[[#This Row],[début]],1)-MOD(H_Mai[[#This Row],[PNP Fin]]-H_Mai[[#This Row],[PNP Début]],1))*24</f>
        <v>0</v>
      </c>
      <c r="K25" s="119" t="str">
        <f>IFERROR(VLOOKUP(H_Mai[[#This Row],[Service]],Codes[],4,0),"")</f>
        <v/>
      </c>
      <c r="L25" s="49">
        <f>IF(H_Mai[[#This Row],[PNP Début]]=0,0,IF(H_Mai[[#This Row],[PNP Début]]&lt;H_Mai[[#This Row],[début]],1,0)+H_Mai[[#This Row],[PNP Début]])</f>
        <v>0</v>
      </c>
      <c r="M25" s="50">
        <f>IF(H_Mai[[#This Row],[PNP Fin]]=0,0,IF(H_Mai[[#This Row],[PNP Fin]]&lt;H_Mai[[#This Row],[début]],1,0)+H_Mai[[#This Row],[PNP Fin]])</f>
        <v>0</v>
      </c>
      <c r="N25" s="50">
        <f>IF(H_Mai[[#This Row],[Fin]]&lt;H_Mai[[#This Row],[début]],1,0)+H_Mai[[#This Row],[Fin]]</f>
        <v>0</v>
      </c>
      <c r="O25" s="31">
        <f>IF(H_Mai[[#This Row],[Fin]]&lt;H_Mai[[#This Row],[début]],MAX(0,MIN(H_Mai[[#This Row],[Fin corrigée si nuit]],fin_nuit)-MAX(H_Mai[[#This Row],[début]],deb_nuit))*24,(MAX(deb_nuit,H_Mai[[#This Row],[Fin]])-MAX(deb_nuit,H_Mai[[#This Row],[début]])+MAX(MIN(fin_nuit-1,H_Mai[[#This Row],[Fin]])-MIN(fin_nuit-1,H_Mai[[#This Row],[début]]),0))*24)</f>
        <v>0</v>
      </c>
      <c r="P25" s="51">
        <f>(MAX(0,MIN(H_Mai[[#This Row],[Fin corrigée si nuit]],fin_nuit)-MAX(H_Mai[[#This Row],[début]],deb_nuit))-IF(H_Mai[[#This Row],[PNP Début]]=0,0,MIN(H_Mai[[#This Row],[PNP Fin corrigée]],fin_nuit)-MAX(H_Mai[[#This Row],[PNP Début corrigé]],deb_nuit)))*24</f>
        <v>0</v>
      </c>
      <c r="Q25" s="51">
        <f>(IF(WEEKDAY(H_Mai[[#This Row],[Date]],2)=7,MAX(0,MIN(fin_dimJF,H_Mai[[#This Row],[Fin corrigée si nuit]])-MAX(deb_dimJF,H_Mai[[#This Row],[début]])),0)+IF(WEEKDAY(H_Mai[[#This Row],[Date]],2)=6,MAX(0,H_Mai[[#This Row],[Fin corrigée si nuit]]-(1+deb_dimJF)),0))*24</f>
        <v>0</v>
      </c>
      <c r="R25"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5" s="51">
        <f>(IF(COUNTIF(JF,H_Mai[[#This Row],[Date]]),MAX(0,MIN(fin_dimJF,H_Mai[[#This Row],[Fin corrigée si nuit]])-MAX(deb_dimJF,H_Mai[[#This Row],[début]])),0)+IF(COUNTIF(JF,H_Mai[[#This Row],[Date]]+1),MAX(0,H_Mai[[#This Row],[Fin corrigée si nuit]]-(1+deb_dimJF)),0))*24</f>
        <v>0</v>
      </c>
      <c r="T25"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6" spans="1:20" ht="14.4" customHeight="1" x14ac:dyDescent="0.3">
      <c r="A26" s="4"/>
      <c r="B26" s="1"/>
      <c r="C26" s="2"/>
      <c r="D26" s="2"/>
      <c r="E26" s="3"/>
      <c r="F26" s="3"/>
      <c r="G26" s="3"/>
      <c r="H26" s="3"/>
      <c r="I26" s="47">
        <f>0.1*(H_Mai[[#This Row],[Heures de nuit]]+IF(H_Mai[[#This Row],[majoration dim &amp; JF]]="non",0,H_Mai[[#This Row],[heures jour dimanche]]+H_Mai[[#This Row],[heures jour fériés]]))</f>
        <v>0</v>
      </c>
      <c r="J26" s="48">
        <f>(MOD(H_Mai[[#This Row],[Fin]]-H_Mai[[#This Row],[début]],1)-MOD(H_Mai[[#This Row],[PNP Fin]]-H_Mai[[#This Row],[PNP Début]],1))*24</f>
        <v>0</v>
      </c>
      <c r="K26" s="119" t="str">
        <f>IFERROR(VLOOKUP(H_Mai[[#This Row],[Service]],Codes[],4,0),"")</f>
        <v/>
      </c>
      <c r="L26" s="49">
        <f>IF(H_Mai[[#This Row],[PNP Début]]=0,0,IF(H_Mai[[#This Row],[PNP Début]]&lt;H_Mai[[#This Row],[début]],1,0)+H_Mai[[#This Row],[PNP Début]])</f>
        <v>0</v>
      </c>
      <c r="M26" s="50">
        <f>IF(H_Mai[[#This Row],[PNP Fin]]=0,0,IF(H_Mai[[#This Row],[PNP Fin]]&lt;H_Mai[[#This Row],[début]],1,0)+H_Mai[[#This Row],[PNP Fin]])</f>
        <v>0</v>
      </c>
      <c r="N26" s="50">
        <f>IF(H_Mai[[#This Row],[Fin]]&lt;H_Mai[[#This Row],[début]],1,0)+H_Mai[[#This Row],[Fin]]</f>
        <v>0</v>
      </c>
      <c r="O26" s="31">
        <f>IF(H_Mai[[#This Row],[Fin]]&lt;H_Mai[[#This Row],[début]],MAX(0,MIN(H_Mai[[#This Row],[Fin corrigée si nuit]],fin_nuit)-MAX(H_Mai[[#This Row],[début]],deb_nuit))*24,(MAX(deb_nuit,H_Mai[[#This Row],[Fin]])-MAX(deb_nuit,H_Mai[[#This Row],[début]])+MAX(MIN(fin_nuit-1,H_Mai[[#This Row],[Fin]])-MIN(fin_nuit-1,H_Mai[[#This Row],[début]]),0))*24)</f>
        <v>0</v>
      </c>
      <c r="P26" s="51">
        <f>(MAX(0,MIN(H_Mai[[#This Row],[Fin corrigée si nuit]],fin_nuit)-MAX(H_Mai[[#This Row],[début]],deb_nuit))-IF(H_Mai[[#This Row],[PNP Début]]=0,0,MIN(H_Mai[[#This Row],[PNP Fin corrigée]],fin_nuit)-MAX(H_Mai[[#This Row],[PNP Début corrigé]],deb_nuit)))*24</f>
        <v>0</v>
      </c>
      <c r="Q26" s="51">
        <f>(IF(WEEKDAY(H_Mai[[#This Row],[Date]],2)=7,MAX(0,MIN(fin_dimJF,H_Mai[[#This Row],[Fin corrigée si nuit]])-MAX(deb_dimJF,H_Mai[[#This Row],[début]])),0)+IF(WEEKDAY(H_Mai[[#This Row],[Date]],2)=6,MAX(0,H_Mai[[#This Row],[Fin corrigée si nuit]]-(1+deb_dimJF)),0))*24</f>
        <v>0</v>
      </c>
      <c r="R26"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6" s="51">
        <f>(IF(COUNTIF(JF,H_Mai[[#This Row],[Date]]),MAX(0,MIN(fin_dimJF,H_Mai[[#This Row],[Fin corrigée si nuit]])-MAX(deb_dimJF,H_Mai[[#This Row],[début]])),0)+IF(COUNTIF(JF,H_Mai[[#This Row],[Date]]+1),MAX(0,H_Mai[[#This Row],[Fin corrigée si nuit]]-(1+deb_dimJF)),0))*24</f>
        <v>0</v>
      </c>
      <c r="T26"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7" spans="1:20" x14ac:dyDescent="0.3">
      <c r="A27" s="4"/>
      <c r="B27" s="1"/>
      <c r="C27" s="2"/>
      <c r="D27" s="2"/>
      <c r="E27" s="3"/>
      <c r="F27" s="3"/>
      <c r="G27" s="3"/>
      <c r="H27" s="3"/>
      <c r="I27" s="47">
        <f>0.1*(H_Mai[[#This Row],[Heures de nuit]]+IF(H_Mai[[#This Row],[majoration dim &amp; JF]]="non",0,H_Mai[[#This Row],[heures jour dimanche]]+H_Mai[[#This Row],[heures jour fériés]]))</f>
        <v>0</v>
      </c>
      <c r="J27" s="48">
        <f>(MOD(H_Mai[[#This Row],[Fin]]-H_Mai[[#This Row],[début]],1)-MOD(H_Mai[[#This Row],[PNP Fin]]-H_Mai[[#This Row],[PNP Début]],1))*24</f>
        <v>0</v>
      </c>
      <c r="K27" s="119" t="str">
        <f>IFERROR(VLOOKUP(H_Mai[[#This Row],[Service]],Codes[],4,0),"")</f>
        <v/>
      </c>
      <c r="L27" s="49">
        <f>IF(H_Mai[[#This Row],[PNP Début]]=0,0,IF(H_Mai[[#This Row],[PNP Début]]&lt;H_Mai[[#This Row],[début]],1,0)+H_Mai[[#This Row],[PNP Début]])</f>
        <v>0</v>
      </c>
      <c r="M27" s="50">
        <f>IF(H_Mai[[#This Row],[PNP Fin]]=0,0,IF(H_Mai[[#This Row],[PNP Fin]]&lt;H_Mai[[#This Row],[début]],1,0)+H_Mai[[#This Row],[PNP Fin]])</f>
        <v>0</v>
      </c>
      <c r="N27" s="50">
        <f>IF(H_Mai[[#This Row],[Fin]]&lt;H_Mai[[#This Row],[début]],1,0)+H_Mai[[#This Row],[Fin]]</f>
        <v>0</v>
      </c>
      <c r="O27" s="31">
        <f>IF(H_Mai[[#This Row],[Fin]]&lt;H_Mai[[#This Row],[début]],MAX(0,MIN(H_Mai[[#This Row],[Fin corrigée si nuit]],fin_nuit)-MAX(H_Mai[[#This Row],[début]],deb_nuit))*24,(MAX(deb_nuit,H_Mai[[#This Row],[Fin]])-MAX(deb_nuit,H_Mai[[#This Row],[début]])+MAX(MIN(fin_nuit-1,H_Mai[[#This Row],[Fin]])-MIN(fin_nuit-1,H_Mai[[#This Row],[début]]),0))*24)</f>
        <v>0</v>
      </c>
      <c r="P27" s="51">
        <f>(MAX(0,MIN(H_Mai[[#This Row],[Fin corrigée si nuit]],fin_nuit)-MAX(H_Mai[[#This Row],[début]],deb_nuit))-IF(H_Mai[[#This Row],[PNP Début]]=0,0,MIN(H_Mai[[#This Row],[PNP Fin corrigée]],fin_nuit)-MAX(H_Mai[[#This Row],[PNP Début corrigé]],deb_nuit)))*24</f>
        <v>0</v>
      </c>
      <c r="Q27" s="51">
        <f>(IF(WEEKDAY(H_Mai[[#This Row],[Date]],2)=7,MAX(0,MIN(fin_dimJF,H_Mai[[#This Row],[Fin corrigée si nuit]])-MAX(deb_dimJF,H_Mai[[#This Row],[début]])),0)+IF(WEEKDAY(H_Mai[[#This Row],[Date]],2)=6,MAX(0,H_Mai[[#This Row],[Fin corrigée si nuit]]-(1+deb_dimJF)),0))*24</f>
        <v>0</v>
      </c>
      <c r="R27"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7" s="51">
        <f>(IF(COUNTIF(JF,H_Mai[[#This Row],[Date]]),MAX(0,MIN(fin_dimJF,H_Mai[[#This Row],[Fin corrigée si nuit]])-MAX(deb_dimJF,H_Mai[[#This Row],[début]])),0)+IF(COUNTIF(JF,H_Mai[[#This Row],[Date]]+1),MAX(0,H_Mai[[#This Row],[Fin corrigée si nuit]]-(1+deb_dimJF)),0))*24</f>
        <v>0</v>
      </c>
      <c r="T27"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8" spans="1:20" x14ac:dyDescent="0.3">
      <c r="A28" s="4"/>
      <c r="B28" s="1"/>
      <c r="C28" s="2"/>
      <c r="D28" s="2"/>
      <c r="E28" s="3"/>
      <c r="F28" s="3"/>
      <c r="G28" s="3"/>
      <c r="H28" s="3"/>
      <c r="I28" s="47">
        <f>0.1*(H_Mai[[#This Row],[Heures de nuit]]+IF(H_Mai[[#This Row],[majoration dim &amp; JF]]="non",0,H_Mai[[#This Row],[heures jour dimanche]]+H_Mai[[#This Row],[heures jour fériés]]))</f>
        <v>0</v>
      </c>
      <c r="J28" s="48">
        <f>(MOD(H_Mai[[#This Row],[Fin]]-H_Mai[[#This Row],[début]],1)-MOD(H_Mai[[#This Row],[PNP Fin]]-H_Mai[[#This Row],[PNP Début]],1))*24</f>
        <v>0</v>
      </c>
      <c r="K28" s="119" t="str">
        <f>IFERROR(VLOOKUP(H_Mai[[#This Row],[Service]],Codes[],4,0),"")</f>
        <v/>
      </c>
      <c r="L28" s="49">
        <f>IF(H_Mai[[#This Row],[PNP Début]]=0,0,IF(H_Mai[[#This Row],[PNP Début]]&lt;H_Mai[[#This Row],[début]],1,0)+H_Mai[[#This Row],[PNP Début]])</f>
        <v>0</v>
      </c>
      <c r="M28" s="50">
        <f>IF(H_Mai[[#This Row],[PNP Fin]]=0,0,IF(H_Mai[[#This Row],[PNP Fin]]&lt;H_Mai[[#This Row],[début]],1,0)+H_Mai[[#This Row],[PNP Fin]])</f>
        <v>0</v>
      </c>
      <c r="N28" s="50">
        <f>IF(H_Mai[[#This Row],[Fin]]&lt;H_Mai[[#This Row],[début]],1,0)+H_Mai[[#This Row],[Fin]]</f>
        <v>0</v>
      </c>
      <c r="O28" s="31">
        <f>IF(H_Mai[[#This Row],[Fin]]&lt;H_Mai[[#This Row],[début]],MAX(0,MIN(H_Mai[[#This Row],[Fin corrigée si nuit]],fin_nuit)-MAX(H_Mai[[#This Row],[début]],deb_nuit))*24,(MAX(deb_nuit,H_Mai[[#This Row],[Fin]])-MAX(deb_nuit,H_Mai[[#This Row],[début]])+MAX(MIN(fin_nuit-1,H_Mai[[#This Row],[Fin]])-MIN(fin_nuit-1,H_Mai[[#This Row],[début]]),0))*24)</f>
        <v>0</v>
      </c>
      <c r="P28" s="51">
        <f>(MAX(0,MIN(H_Mai[[#This Row],[Fin corrigée si nuit]],fin_nuit)-MAX(H_Mai[[#This Row],[début]],deb_nuit))-IF(H_Mai[[#This Row],[PNP Début]]=0,0,MIN(H_Mai[[#This Row],[PNP Fin corrigée]],fin_nuit)-MAX(H_Mai[[#This Row],[PNP Début corrigé]],deb_nuit)))*24</f>
        <v>0</v>
      </c>
      <c r="Q28" s="51">
        <f>(IF(WEEKDAY(H_Mai[[#This Row],[Date]],2)=7,MAX(0,MIN(fin_dimJF,H_Mai[[#This Row],[Fin corrigée si nuit]])-MAX(deb_dimJF,H_Mai[[#This Row],[début]])),0)+IF(WEEKDAY(H_Mai[[#This Row],[Date]],2)=6,MAX(0,H_Mai[[#This Row],[Fin corrigée si nuit]]-(1+deb_dimJF)),0))*24</f>
        <v>0</v>
      </c>
      <c r="R28"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8" s="51">
        <f>(IF(COUNTIF(JF,H_Mai[[#This Row],[Date]]),MAX(0,MIN(fin_dimJF,H_Mai[[#This Row],[Fin corrigée si nuit]])-MAX(deb_dimJF,H_Mai[[#This Row],[début]])),0)+IF(COUNTIF(JF,H_Mai[[#This Row],[Date]]+1),MAX(0,H_Mai[[#This Row],[Fin corrigée si nuit]]-(1+deb_dimJF)),0))*24</f>
        <v>0</v>
      </c>
      <c r="T28"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29" spans="1:20" x14ac:dyDescent="0.3">
      <c r="A29" s="4"/>
      <c r="B29" s="1"/>
      <c r="C29" s="2"/>
      <c r="D29" s="2"/>
      <c r="E29" s="3"/>
      <c r="F29" s="3"/>
      <c r="G29" s="3"/>
      <c r="H29" s="3"/>
      <c r="I29" s="47">
        <f>0.1*(H_Mai[[#This Row],[Heures de nuit]]+IF(H_Mai[[#This Row],[majoration dim &amp; JF]]="non",0,H_Mai[[#This Row],[heures jour dimanche]]+H_Mai[[#This Row],[heures jour fériés]]))</f>
        <v>0</v>
      </c>
      <c r="J29" s="48">
        <f>(MOD(H_Mai[[#This Row],[Fin]]-H_Mai[[#This Row],[début]],1)-MOD(H_Mai[[#This Row],[PNP Fin]]-H_Mai[[#This Row],[PNP Début]],1))*24</f>
        <v>0</v>
      </c>
      <c r="K29" s="119" t="str">
        <f>IFERROR(VLOOKUP(H_Mai[[#This Row],[Service]],Codes[],4,0),"")</f>
        <v/>
      </c>
      <c r="L29" s="49">
        <f>IF(H_Mai[[#This Row],[PNP Début]]=0,0,IF(H_Mai[[#This Row],[PNP Début]]&lt;H_Mai[[#This Row],[début]],1,0)+H_Mai[[#This Row],[PNP Début]])</f>
        <v>0</v>
      </c>
      <c r="M29" s="50">
        <f>IF(H_Mai[[#This Row],[PNP Fin]]=0,0,IF(H_Mai[[#This Row],[PNP Fin]]&lt;H_Mai[[#This Row],[début]],1,0)+H_Mai[[#This Row],[PNP Fin]])</f>
        <v>0</v>
      </c>
      <c r="N29" s="50">
        <f>IF(H_Mai[[#This Row],[Fin]]&lt;H_Mai[[#This Row],[début]],1,0)+H_Mai[[#This Row],[Fin]]</f>
        <v>0</v>
      </c>
      <c r="O29" s="31">
        <f>IF(H_Mai[[#This Row],[Fin]]&lt;H_Mai[[#This Row],[début]],MAX(0,MIN(H_Mai[[#This Row],[Fin corrigée si nuit]],fin_nuit)-MAX(H_Mai[[#This Row],[début]],deb_nuit))*24,(MAX(deb_nuit,H_Mai[[#This Row],[Fin]])-MAX(deb_nuit,H_Mai[[#This Row],[début]])+MAX(MIN(fin_nuit-1,H_Mai[[#This Row],[Fin]])-MIN(fin_nuit-1,H_Mai[[#This Row],[début]]),0))*24)</f>
        <v>0</v>
      </c>
      <c r="P29" s="51">
        <f>(MAX(0,MIN(H_Mai[[#This Row],[Fin corrigée si nuit]],fin_nuit)-MAX(H_Mai[[#This Row],[début]],deb_nuit))-IF(H_Mai[[#This Row],[PNP Début]]=0,0,MIN(H_Mai[[#This Row],[PNP Fin corrigée]],fin_nuit)-MAX(H_Mai[[#This Row],[PNP Début corrigé]],deb_nuit)))*24</f>
        <v>0</v>
      </c>
      <c r="Q29" s="51">
        <f>(IF(WEEKDAY(H_Mai[[#This Row],[Date]],2)=7,MAX(0,MIN(fin_dimJF,H_Mai[[#This Row],[Fin corrigée si nuit]])-MAX(deb_dimJF,H_Mai[[#This Row],[début]])),0)+IF(WEEKDAY(H_Mai[[#This Row],[Date]],2)=6,MAX(0,H_Mai[[#This Row],[Fin corrigée si nuit]]-(1+deb_dimJF)),0))*24</f>
        <v>0</v>
      </c>
      <c r="R29"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29" s="51">
        <f>(IF(COUNTIF(JF,H_Mai[[#This Row],[Date]]),MAX(0,MIN(fin_dimJF,H_Mai[[#This Row],[Fin corrigée si nuit]])-MAX(deb_dimJF,H_Mai[[#This Row],[début]])),0)+IF(COUNTIF(JF,H_Mai[[#This Row],[Date]]+1),MAX(0,H_Mai[[#This Row],[Fin corrigée si nuit]]-(1+deb_dimJF)),0))*24</f>
        <v>0</v>
      </c>
      <c r="T29"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0" spans="1:20" x14ac:dyDescent="0.3">
      <c r="A30" s="4"/>
      <c r="B30" s="1"/>
      <c r="C30" s="2"/>
      <c r="D30" s="2"/>
      <c r="E30" s="3"/>
      <c r="F30" s="3"/>
      <c r="G30" s="3"/>
      <c r="H30" s="3"/>
      <c r="I30" s="47">
        <f>0.1*(H_Mai[[#This Row],[Heures de nuit]]+IF(H_Mai[[#This Row],[majoration dim &amp; JF]]="non",0,H_Mai[[#This Row],[heures jour dimanche]]+H_Mai[[#This Row],[heures jour fériés]]))</f>
        <v>0</v>
      </c>
      <c r="J30" s="48">
        <f>(MOD(H_Mai[[#This Row],[Fin]]-H_Mai[[#This Row],[début]],1)-MOD(H_Mai[[#This Row],[PNP Fin]]-H_Mai[[#This Row],[PNP Début]],1))*24</f>
        <v>0</v>
      </c>
      <c r="K30" s="119" t="str">
        <f>IFERROR(VLOOKUP(H_Mai[[#This Row],[Service]],Codes[],4,0),"")</f>
        <v/>
      </c>
      <c r="L30" s="49">
        <f>IF(H_Mai[[#This Row],[PNP Début]]=0,0,IF(H_Mai[[#This Row],[PNP Début]]&lt;H_Mai[[#This Row],[début]],1,0)+H_Mai[[#This Row],[PNP Début]])</f>
        <v>0</v>
      </c>
      <c r="M30" s="50">
        <f>IF(H_Mai[[#This Row],[PNP Fin]]=0,0,IF(H_Mai[[#This Row],[PNP Fin]]&lt;H_Mai[[#This Row],[début]],1,0)+H_Mai[[#This Row],[PNP Fin]])</f>
        <v>0</v>
      </c>
      <c r="N30" s="50">
        <f>IF(H_Mai[[#This Row],[Fin]]&lt;H_Mai[[#This Row],[début]],1,0)+H_Mai[[#This Row],[Fin]]</f>
        <v>0</v>
      </c>
      <c r="O30" s="31">
        <f>IF(H_Mai[[#This Row],[Fin]]&lt;H_Mai[[#This Row],[début]],MAX(0,MIN(H_Mai[[#This Row],[Fin corrigée si nuit]],fin_nuit)-MAX(H_Mai[[#This Row],[début]],deb_nuit))*24,(MAX(deb_nuit,H_Mai[[#This Row],[Fin]])-MAX(deb_nuit,H_Mai[[#This Row],[début]])+MAX(MIN(fin_nuit-1,H_Mai[[#This Row],[Fin]])-MIN(fin_nuit-1,H_Mai[[#This Row],[début]]),0))*24)</f>
        <v>0</v>
      </c>
      <c r="P30" s="51">
        <f>(MAX(0,MIN(H_Mai[[#This Row],[Fin corrigée si nuit]],fin_nuit)-MAX(H_Mai[[#This Row],[début]],deb_nuit))-IF(H_Mai[[#This Row],[PNP Début]]=0,0,MIN(H_Mai[[#This Row],[PNP Fin corrigée]],fin_nuit)-MAX(H_Mai[[#This Row],[PNP Début corrigé]],deb_nuit)))*24</f>
        <v>0</v>
      </c>
      <c r="Q30" s="51">
        <f>(IF(WEEKDAY(H_Mai[[#This Row],[Date]],2)=7,MAX(0,MIN(fin_dimJF,H_Mai[[#This Row],[Fin corrigée si nuit]])-MAX(deb_dimJF,H_Mai[[#This Row],[début]])),0)+IF(WEEKDAY(H_Mai[[#This Row],[Date]],2)=6,MAX(0,H_Mai[[#This Row],[Fin corrigée si nuit]]-(1+deb_dimJF)),0))*24</f>
        <v>0</v>
      </c>
      <c r="R30"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0" s="51">
        <f>(IF(COUNTIF(JF,H_Mai[[#This Row],[Date]]),MAX(0,MIN(fin_dimJF,H_Mai[[#This Row],[Fin corrigée si nuit]])-MAX(deb_dimJF,H_Mai[[#This Row],[début]])),0)+IF(COUNTIF(JF,H_Mai[[#This Row],[Date]]+1),MAX(0,H_Mai[[#This Row],[Fin corrigée si nuit]]-(1+deb_dimJF)),0))*24</f>
        <v>0</v>
      </c>
      <c r="T30"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1" spans="1:20" x14ac:dyDescent="0.3">
      <c r="A31" s="4"/>
      <c r="B31" s="1"/>
      <c r="C31" s="2"/>
      <c r="D31" s="2"/>
      <c r="E31" s="3"/>
      <c r="F31" s="3"/>
      <c r="G31" s="3"/>
      <c r="H31" s="3"/>
      <c r="I31" s="47">
        <f>0.1*(H_Mai[[#This Row],[Heures de nuit]]+IF(H_Mai[[#This Row],[majoration dim &amp; JF]]="non",0,H_Mai[[#This Row],[heures jour dimanche]]+H_Mai[[#This Row],[heures jour fériés]]))</f>
        <v>0</v>
      </c>
      <c r="J31" s="48">
        <f>(MOD(H_Mai[[#This Row],[Fin]]-H_Mai[[#This Row],[début]],1)-MOD(H_Mai[[#This Row],[PNP Fin]]-H_Mai[[#This Row],[PNP Début]],1))*24</f>
        <v>0</v>
      </c>
      <c r="K31" s="119" t="str">
        <f>IFERROR(VLOOKUP(H_Mai[[#This Row],[Service]],Codes[],4,0),"")</f>
        <v/>
      </c>
      <c r="L31" s="49">
        <f>IF(H_Mai[[#This Row],[PNP Début]]=0,0,IF(H_Mai[[#This Row],[PNP Début]]&lt;H_Mai[[#This Row],[début]],1,0)+H_Mai[[#This Row],[PNP Début]])</f>
        <v>0</v>
      </c>
      <c r="M31" s="50">
        <f>IF(H_Mai[[#This Row],[PNP Fin]]=0,0,IF(H_Mai[[#This Row],[PNP Fin]]&lt;H_Mai[[#This Row],[début]],1,0)+H_Mai[[#This Row],[PNP Fin]])</f>
        <v>0</v>
      </c>
      <c r="N31" s="50">
        <f>IF(H_Mai[[#This Row],[Fin]]&lt;H_Mai[[#This Row],[début]],1,0)+H_Mai[[#This Row],[Fin]]</f>
        <v>0</v>
      </c>
      <c r="O31" s="31">
        <f>IF(H_Mai[[#This Row],[Fin]]&lt;H_Mai[[#This Row],[début]],MAX(0,MIN(H_Mai[[#This Row],[Fin corrigée si nuit]],fin_nuit)-MAX(H_Mai[[#This Row],[début]],deb_nuit))*24,(MAX(deb_nuit,H_Mai[[#This Row],[Fin]])-MAX(deb_nuit,H_Mai[[#This Row],[début]])+MAX(MIN(fin_nuit-1,H_Mai[[#This Row],[Fin]])-MIN(fin_nuit-1,H_Mai[[#This Row],[début]]),0))*24)</f>
        <v>0</v>
      </c>
      <c r="P31" s="51">
        <f>(MAX(0,MIN(H_Mai[[#This Row],[Fin corrigée si nuit]],fin_nuit)-MAX(H_Mai[[#This Row],[début]],deb_nuit))-IF(H_Mai[[#This Row],[PNP Début]]=0,0,MIN(H_Mai[[#This Row],[PNP Fin corrigée]],fin_nuit)-MAX(H_Mai[[#This Row],[PNP Début corrigé]],deb_nuit)))*24</f>
        <v>0</v>
      </c>
      <c r="Q31" s="51">
        <f>(IF(WEEKDAY(H_Mai[[#This Row],[Date]],2)=7,MAX(0,MIN(fin_dimJF,H_Mai[[#This Row],[Fin corrigée si nuit]])-MAX(deb_dimJF,H_Mai[[#This Row],[début]])),0)+IF(WEEKDAY(H_Mai[[#This Row],[Date]],2)=6,MAX(0,H_Mai[[#This Row],[Fin corrigée si nuit]]-(1+deb_dimJF)),0))*24</f>
        <v>0</v>
      </c>
      <c r="R31"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1" s="51">
        <f>(IF(COUNTIF(JF,H_Mai[[#This Row],[Date]]),MAX(0,MIN(fin_dimJF,H_Mai[[#This Row],[Fin corrigée si nuit]])-MAX(deb_dimJF,H_Mai[[#This Row],[début]])),0)+IF(COUNTIF(JF,H_Mai[[#This Row],[Date]]+1),MAX(0,H_Mai[[#This Row],[Fin corrigée si nuit]]-(1+deb_dimJF)),0))*24</f>
        <v>0</v>
      </c>
      <c r="T31"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2" spans="1:20" ht="14.55" customHeight="1" x14ac:dyDescent="0.3">
      <c r="A32" s="4"/>
      <c r="B32" s="1"/>
      <c r="C32" s="2"/>
      <c r="D32" s="2"/>
      <c r="E32" s="3"/>
      <c r="F32" s="3"/>
      <c r="G32" s="3"/>
      <c r="H32" s="3"/>
      <c r="I32" s="47">
        <f>0.1*(H_Mai[[#This Row],[Heures de nuit]]+IF(H_Mai[[#This Row],[majoration dim &amp; JF]]="non",0,H_Mai[[#This Row],[heures jour dimanche]]+H_Mai[[#This Row],[heures jour fériés]]))</f>
        <v>0</v>
      </c>
      <c r="J32" s="48">
        <f>(MOD(H_Mai[[#This Row],[Fin]]-H_Mai[[#This Row],[début]],1)-MOD(H_Mai[[#This Row],[PNP Fin]]-H_Mai[[#This Row],[PNP Début]],1))*24</f>
        <v>0</v>
      </c>
      <c r="K32" s="119" t="str">
        <f>IFERROR(VLOOKUP(H_Mai[[#This Row],[Service]],Codes[],4,0),"")</f>
        <v/>
      </c>
      <c r="L32" s="49">
        <f>IF(H_Mai[[#This Row],[PNP Début]]=0,0,IF(H_Mai[[#This Row],[PNP Début]]&lt;H_Mai[[#This Row],[début]],1,0)+H_Mai[[#This Row],[PNP Début]])</f>
        <v>0</v>
      </c>
      <c r="M32" s="50">
        <f>IF(H_Mai[[#This Row],[PNP Fin]]=0,0,IF(H_Mai[[#This Row],[PNP Fin]]&lt;H_Mai[[#This Row],[début]],1,0)+H_Mai[[#This Row],[PNP Fin]])</f>
        <v>0</v>
      </c>
      <c r="N32" s="50">
        <f>IF(H_Mai[[#This Row],[Fin]]&lt;H_Mai[[#This Row],[début]],1,0)+H_Mai[[#This Row],[Fin]]</f>
        <v>0</v>
      </c>
      <c r="O32" s="31">
        <f>IF(H_Mai[[#This Row],[Fin]]&lt;H_Mai[[#This Row],[début]],MAX(0,MIN(H_Mai[[#This Row],[Fin corrigée si nuit]],fin_nuit)-MAX(H_Mai[[#This Row],[début]],deb_nuit))*24,(MAX(deb_nuit,H_Mai[[#This Row],[Fin]])-MAX(deb_nuit,H_Mai[[#This Row],[début]])+MAX(MIN(fin_nuit-1,H_Mai[[#This Row],[Fin]])-MIN(fin_nuit-1,H_Mai[[#This Row],[début]]),0))*24)</f>
        <v>0</v>
      </c>
      <c r="P32" s="51">
        <f>(MAX(0,MIN(H_Mai[[#This Row],[Fin corrigée si nuit]],fin_nuit)-MAX(H_Mai[[#This Row],[début]],deb_nuit))-IF(H_Mai[[#This Row],[PNP Début]]=0,0,MIN(H_Mai[[#This Row],[PNP Fin corrigée]],fin_nuit)-MAX(H_Mai[[#This Row],[PNP Début corrigé]],deb_nuit)))*24</f>
        <v>0</v>
      </c>
      <c r="Q32" s="51">
        <f>(IF(WEEKDAY(H_Mai[[#This Row],[Date]],2)=7,MAX(0,MIN(fin_dimJF,H_Mai[[#This Row],[Fin corrigée si nuit]])-MAX(deb_dimJF,H_Mai[[#This Row],[début]])),0)+IF(WEEKDAY(H_Mai[[#This Row],[Date]],2)=6,MAX(0,H_Mai[[#This Row],[Fin corrigée si nuit]]-(1+deb_dimJF)),0))*24</f>
        <v>0</v>
      </c>
      <c r="R32"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2" s="51">
        <f>(IF(COUNTIF(JF,H_Mai[[#This Row],[Date]]),MAX(0,MIN(fin_dimJF,H_Mai[[#This Row],[Fin corrigée si nuit]])-MAX(deb_dimJF,H_Mai[[#This Row],[début]])),0)+IF(COUNTIF(JF,H_Mai[[#This Row],[Date]]+1),MAX(0,H_Mai[[#This Row],[Fin corrigée si nuit]]-(1+deb_dimJF)),0))*24</f>
        <v>0</v>
      </c>
      <c r="T32"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3" spans="1:20" x14ac:dyDescent="0.3">
      <c r="A33" s="4"/>
      <c r="B33" s="1"/>
      <c r="C33" s="2"/>
      <c r="D33" s="2"/>
      <c r="E33" s="3"/>
      <c r="F33" s="3"/>
      <c r="G33" s="3"/>
      <c r="H33" s="3"/>
      <c r="I33" s="47">
        <f>0.1*(H_Mai[[#This Row],[Heures de nuit]]+IF(H_Mai[[#This Row],[majoration dim &amp; JF]]="non",0,H_Mai[[#This Row],[heures jour dimanche]]+H_Mai[[#This Row],[heures jour fériés]]))</f>
        <v>0</v>
      </c>
      <c r="J33" s="48">
        <f>(MOD(H_Mai[[#This Row],[Fin]]-H_Mai[[#This Row],[début]],1)-MOD(H_Mai[[#This Row],[PNP Fin]]-H_Mai[[#This Row],[PNP Début]],1))*24</f>
        <v>0</v>
      </c>
      <c r="K33" s="119" t="str">
        <f>IFERROR(VLOOKUP(H_Mai[[#This Row],[Service]],Codes[],4,0),"")</f>
        <v/>
      </c>
      <c r="L33" s="49">
        <f>IF(H_Mai[[#This Row],[PNP Début]]=0,0,IF(H_Mai[[#This Row],[PNP Début]]&lt;H_Mai[[#This Row],[début]],1,0)+H_Mai[[#This Row],[PNP Début]])</f>
        <v>0</v>
      </c>
      <c r="M33" s="50">
        <f>IF(H_Mai[[#This Row],[PNP Fin]]=0,0,IF(H_Mai[[#This Row],[PNP Fin]]&lt;H_Mai[[#This Row],[début]],1,0)+H_Mai[[#This Row],[PNP Fin]])</f>
        <v>0</v>
      </c>
      <c r="N33" s="50">
        <f>IF(H_Mai[[#This Row],[Fin]]&lt;H_Mai[[#This Row],[début]],1,0)+H_Mai[[#This Row],[Fin]]</f>
        <v>0</v>
      </c>
      <c r="O33" s="31">
        <f>IF(H_Mai[[#This Row],[Fin]]&lt;H_Mai[[#This Row],[début]],MAX(0,MIN(H_Mai[[#This Row],[Fin corrigée si nuit]],fin_nuit)-MAX(H_Mai[[#This Row],[début]],deb_nuit))*24,(MAX(deb_nuit,H_Mai[[#This Row],[Fin]])-MAX(deb_nuit,H_Mai[[#This Row],[début]])+MAX(MIN(fin_nuit-1,H_Mai[[#This Row],[Fin]])-MIN(fin_nuit-1,H_Mai[[#This Row],[début]]),0))*24)</f>
        <v>0</v>
      </c>
      <c r="P33" s="51">
        <f>(MAX(0,MIN(H_Mai[[#This Row],[Fin corrigée si nuit]],fin_nuit)-MAX(H_Mai[[#This Row],[début]],deb_nuit))-IF(H_Mai[[#This Row],[PNP Début]]=0,0,MIN(H_Mai[[#This Row],[PNP Fin corrigée]],fin_nuit)-MAX(H_Mai[[#This Row],[PNP Début corrigé]],deb_nuit)))*24</f>
        <v>0</v>
      </c>
      <c r="Q33" s="51">
        <f>(IF(WEEKDAY(H_Mai[[#This Row],[Date]],2)=7,MAX(0,MIN(fin_dimJF,H_Mai[[#This Row],[Fin corrigée si nuit]])-MAX(deb_dimJF,H_Mai[[#This Row],[début]])),0)+IF(WEEKDAY(H_Mai[[#This Row],[Date]],2)=6,MAX(0,H_Mai[[#This Row],[Fin corrigée si nuit]]-(1+deb_dimJF)),0))*24</f>
        <v>0</v>
      </c>
      <c r="R33"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3" s="51">
        <f>(IF(COUNTIF(JF,H_Mai[[#This Row],[Date]]),MAX(0,MIN(fin_dimJF,H_Mai[[#This Row],[Fin corrigée si nuit]])-MAX(deb_dimJF,H_Mai[[#This Row],[début]])),0)+IF(COUNTIF(JF,H_Mai[[#This Row],[Date]]+1),MAX(0,H_Mai[[#This Row],[Fin corrigée si nuit]]-(1+deb_dimJF)),0))*24</f>
        <v>0</v>
      </c>
      <c r="T33"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4" spans="1:20" x14ac:dyDescent="0.3">
      <c r="A34" s="4"/>
      <c r="B34" s="1"/>
      <c r="C34" s="2"/>
      <c r="D34" s="2"/>
      <c r="E34" s="3"/>
      <c r="F34" s="3"/>
      <c r="G34" s="3"/>
      <c r="H34" s="3"/>
      <c r="I34" s="47">
        <f>0.1*(H_Mai[[#This Row],[Heures de nuit]]+IF(H_Mai[[#This Row],[majoration dim &amp; JF]]="non",0,H_Mai[[#This Row],[heures jour dimanche]]+H_Mai[[#This Row],[heures jour fériés]]))</f>
        <v>0</v>
      </c>
      <c r="J34" s="48">
        <f>(MOD(H_Mai[[#This Row],[Fin]]-H_Mai[[#This Row],[début]],1)-MOD(H_Mai[[#This Row],[PNP Fin]]-H_Mai[[#This Row],[PNP Début]],1))*24</f>
        <v>0</v>
      </c>
      <c r="K34" s="119" t="str">
        <f>IFERROR(VLOOKUP(H_Mai[[#This Row],[Service]],Codes[],4,0),"")</f>
        <v/>
      </c>
      <c r="L34" s="49">
        <f>IF(H_Mai[[#This Row],[PNP Début]]=0,0,IF(H_Mai[[#This Row],[PNP Début]]&lt;H_Mai[[#This Row],[début]],1,0)+H_Mai[[#This Row],[PNP Début]])</f>
        <v>0</v>
      </c>
      <c r="M34" s="50">
        <f>IF(H_Mai[[#This Row],[PNP Fin]]=0,0,IF(H_Mai[[#This Row],[PNP Fin]]&lt;H_Mai[[#This Row],[début]],1,0)+H_Mai[[#This Row],[PNP Fin]])</f>
        <v>0</v>
      </c>
      <c r="N34" s="50">
        <f>IF(H_Mai[[#This Row],[Fin]]&lt;H_Mai[[#This Row],[début]],1,0)+H_Mai[[#This Row],[Fin]]</f>
        <v>0</v>
      </c>
      <c r="O34" s="31">
        <f>IF(H_Mai[[#This Row],[Fin]]&lt;H_Mai[[#This Row],[début]],MAX(0,MIN(H_Mai[[#This Row],[Fin corrigée si nuit]],fin_nuit)-MAX(H_Mai[[#This Row],[début]],deb_nuit))*24,(MAX(deb_nuit,H_Mai[[#This Row],[Fin]])-MAX(deb_nuit,H_Mai[[#This Row],[début]])+MAX(MIN(fin_nuit-1,H_Mai[[#This Row],[Fin]])-MIN(fin_nuit-1,H_Mai[[#This Row],[début]]),0))*24)</f>
        <v>0</v>
      </c>
      <c r="P34" s="51">
        <f>(MAX(0,MIN(H_Mai[[#This Row],[Fin corrigée si nuit]],fin_nuit)-MAX(H_Mai[[#This Row],[début]],deb_nuit))-IF(H_Mai[[#This Row],[PNP Début]]=0,0,MIN(H_Mai[[#This Row],[PNP Fin corrigée]],fin_nuit)-MAX(H_Mai[[#This Row],[PNP Début corrigé]],deb_nuit)))*24</f>
        <v>0</v>
      </c>
      <c r="Q34" s="51">
        <f>(IF(WEEKDAY(H_Mai[[#This Row],[Date]],2)=7,MAX(0,MIN(fin_dimJF,H_Mai[[#This Row],[Fin corrigée si nuit]])-MAX(deb_dimJF,H_Mai[[#This Row],[début]])),0)+IF(WEEKDAY(H_Mai[[#This Row],[Date]],2)=6,MAX(0,H_Mai[[#This Row],[Fin corrigée si nuit]]-(1+deb_dimJF)),0))*24</f>
        <v>0</v>
      </c>
      <c r="R34"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4" s="51">
        <f>(IF(COUNTIF(JF,H_Mai[[#This Row],[Date]]),MAX(0,MIN(fin_dimJF,H_Mai[[#This Row],[Fin corrigée si nuit]])-MAX(deb_dimJF,H_Mai[[#This Row],[début]])),0)+IF(COUNTIF(JF,H_Mai[[#This Row],[Date]]+1),MAX(0,H_Mai[[#This Row],[Fin corrigée si nuit]]-(1+deb_dimJF)),0))*24</f>
        <v>0</v>
      </c>
      <c r="T34"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5" spans="1:20" x14ac:dyDescent="0.3">
      <c r="A35" s="4"/>
      <c r="B35" s="1"/>
      <c r="C35" s="2"/>
      <c r="D35" s="2"/>
      <c r="E35" s="3"/>
      <c r="F35" s="3"/>
      <c r="G35" s="3"/>
      <c r="H35" s="3"/>
      <c r="I35" s="47">
        <f>0.1*(H_Mai[[#This Row],[Heures de nuit]]+IF(H_Mai[[#This Row],[majoration dim &amp; JF]]="non",0,H_Mai[[#This Row],[heures jour dimanche]]+H_Mai[[#This Row],[heures jour fériés]]))</f>
        <v>0</v>
      </c>
      <c r="J35" s="48">
        <f>(MOD(H_Mai[[#This Row],[Fin]]-H_Mai[[#This Row],[début]],1)-MOD(H_Mai[[#This Row],[PNP Fin]]-H_Mai[[#This Row],[PNP Début]],1))*24</f>
        <v>0</v>
      </c>
      <c r="K35" s="119" t="str">
        <f>IFERROR(VLOOKUP(H_Mai[[#This Row],[Service]],Codes[],4,0),"")</f>
        <v/>
      </c>
      <c r="L35" s="49">
        <f>IF(H_Mai[[#This Row],[PNP Début]]=0,0,IF(H_Mai[[#This Row],[PNP Début]]&lt;H_Mai[[#This Row],[début]],1,0)+H_Mai[[#This Row],[PNP Début]])</f>
        <v>0</v>
      </c>
      <c r="M35" s="50">
        <f>IF(H_Mai[[#This Row],[PNP Fin]]=0,0,IF(H_Mai[[#This Row],[PNP Fin]]&lt;H_Mai[[#This Row],[début]],1,0)+H_Mai[[#This Row],[PNP Fin]])</f>
        <v>0</v>
      </c>
      <c r="N35" s="50">
        <f>IF(H_Mai[[#This Row],[Fin]]&lt;H_Mai[[#This Row],[début]],1,0)+H_Mai[[#This Row],[Fin]]</f>
        <v>0</v>
      </c>
      <c r="O35" s="31">
        <f>IF(H_Mai[[#This Row],[Fin]]&lt;H_Mai[[#This Row],[début]],MAX(0,MIN(H_Mai[[#This Row],[Fin corrigée si nuit]],fin_nuit)-MAX(H_Mai[[#This Row],[début]],deb_nuit))*24,(MAX(deb_nuit,H_Mai[[#This Row],[Fin]])-MAX(deb_nuit,H_Mai[[#This Row],[début]])+MAX(MIN(fin_nuit-1,H_Mai[[#This Row],[Fin]])-MIN(fin_nuit-1,H_Mai[[#This Row],[début]]),0))*24)</f>
        <v>0</v>
      </c>
      <c r="P35" s="51">
        <f>(MAX(0,MIN(H_Mai[[#This Row],[Fin corrigée si nuit]],fin_nuit)-MAX(H_Mai[[#This Row],[début]],deb_nuit))-IF(H_Mai[[#This Row],[PNP Début]]=0,0,MIN(H_Mai[[#This Row],[PNP Fin corrigée]],fin_nuit)-MAX(H_Mai[[#This Row],[PNP Début corrigé]],deb_nuit)))*24</f>
        <v>0</v>
      </c>
      <c r="Q35" s="51">
        <f>(IF(WEEKDAY(H_Mai[[#This Row],[Date]],2)=7,MAX(0,MIN(fin_dimJF,H_Mai[[#This Row],[Fin corrigée si nuit]])-MAX(deb_dimJF,H_Mai[[#This Row],[début]])),0)+IF(WEEKDAY(H_Mai[[#This Row],[Date]],2)=6,MAX(0,H_Mai[[#This Row],[Fin corrigée si nuit]]-(1+deb_dimJF)),0))*24</f>
        <v>0</v>
      </c>
      <c r="R35"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5" s="51">
        <f>(IF(COUNTIF(JF,H_Mai[[#This Row],[Date]]),MAX(0,MIN(fin_dimJF,H_Mai[[#This Row],[Fin corrigée si nuit]])-MAX(deb_dimJF,H_Mai[[#This Row],[début]])),0)+IF(COUNTIF(JF,H_Mai[[#This Row],[Date]]+1),MAX(0,H_Mai[[#This Row],[Fin corrigée si nuit]]-(1+deb_dimJF)),0))*24</f>
        <v>0</v>
      </c>
      <c r="T35"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6" spans="1:20" x14ac:dyDescent="0.3">
      <c r="A36" s="4"/>
      <c r="B36" s="1"/>
      <c r="C36" s="2"/>
      <c r="D36" s="2"/>
      <c r="E36" s="3"/>
      <c r="F36" s="3"/>
      <c r="G36" s="3"/>
      <c r="H36" s="3"/>
      <c r="I36" s="47">
        <f>0.1*(H_Mai[[#This Row],[Heures de nuit]]+IF(H_Mai[[#This Row],[majoration dim &amp; JF]]="non",0,H_Mai[[#This Row],[heures jour dimanche]]+H_Mai[[#This Row],[heures jour fériés]]))</f>
        <v>0</v>
      </c>
      <c r="J36" s="48">
        <f>(MOD(H_Mai[[#This Row],[Fin]]-H_Mai[[#This Row],[début]],1)-MOD(H_Mai[[#This Row],[PNP Fin]]-H_Mai[[#This Row],[PNP Début]],1))*24</f>
        <v>0</v>
      </c>
      <c r="K36" s="119" t="str">
        <f>IFERROR(VLOOKUP(H_Mai[[#This Row],[Service]],Codes[],4,0),"")</f>
        <v/>
      </c>
      <c r="L36" s="49">
        <f>IF(H_Mai[[#This Row],[PNP Début]]=0,0,IF(H_Mai[[#This Row],[PNP Début]]&lt;H_Mai[[#This Row],[début]],1,0)+H_Mai[[#This Row],[PNP Début]])</f>
        <v>0</v>
      </c>
      <c r="M36" s="50">
        <f>IF(H_Mai[[#This Row],[PNP Fin]]=0,0,IF(H_Mai[[#This Row],[PNP Fin]]&lt;H_Mai[[#This Row],[début]],1,0)+H_Mai[[#This Row],[PNP Fin]])</f>
        <v>0</v>
      </c>
      <c r="N36" s="50">
        <f>IF(H_Mai[[#This Row],[Fin]]&lt;H_Mai[[#This Row],[début]],1,0)+H_Mai[[#This Row],[Fin]]</f>
        <v>0</v>
      </c>
      <c r="O36" s="31">
        <f>IF(H_Mai[[#This Row],[Fin]]&lt;H_Mai[[#This Row],[début]],MAX(0,MIN(H_Mai[[#This Row],[Fin corrigée si nuit]],fin_nuit)-MAX(H_Mai[[#This Row],[début]],deb_nuit))*24,(MAX(deb_nuit,H_Mai[[#This Row],[Fin]])-MAX(deb_nuit,H_Mai[[#This Row],[début]])+MAX(MIN(fin_nuit-1,H_Mai[[#This Row],[Fin]])-MIN(fin_nuit-1,H_Mai[[#This Row],[début]]),0))*24)</f>
        <v>0</v>
      </c>
      <c r="P36" s="51">
        <f>(MAX(0,MIN(H_Mai[[#This Row],[Fin corrigée si nuit]],fin_nuit)-MAX(H_Mai[[#This Row],[début]],deb_nuit))-IF(H_Mai[[#This Row],[PNP Début]]=0,0,MIN(H_Mai[[#This Row],[PNP Fin corrigée]],fin_nuit)-MAX(H_Mai[[#This Row],[PNP Début corrigé]],deb_nuit)))*24</f>
        <v>0</v>
      </c>
      <c r="Q36" s="51">
        <f>(IF(WEEKDAY(H_Mai[[#This Row],[Date]],2)=7,MAX(0,MIN(fin_dimJF,H_Mai[[#This Row],[Fin corrigée si nuit]])-MAX(deb_dimJF,H_Mai[[#This Row],[début]])),0)+IF(WEEKDAY(H_Mai[[#This Row],[Date]],2)=6,MAX(0,H_Mai[[#This Row],[Fin corrigée si nuit]]-(1+deb_dimJF)),0))*24</f>
        <v>0</v>
      </c>
      <c r="R36"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6" s="51">
        <f>(IF(COUNTIF(JF,H_Mai[[#This Row],[Date]]),MAX(0,MIN(fin_dimJF,H_Mai[[#This Row],[Fin corrigée si nuit]])-MAX(deb_dimJF,H_Mai[[#This Row],[début]])),0)+IF(COUNTIF(JF,H_Mai[[#This Row],[Date]]+1),MAX(0,H_Mai[[#This Row],[Fin corrigée si nuit]]-(1+deb_dimJF)),0))*24</f>
        <v>0</v>
      </c>
      <c r="T36"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7" spans="1:20" x14ac:dyDescent="0.3">
      <c r="A37" s="4"/>
      <c r="B37" s="1"/>
      <c r="C37" s="2"/>
      <c r="D37" s="2"/>
      <c r="E37" s="3"/>
      <c r="F37" s="3"/>
      <c r="G37" s="3"/>
      <c r="H37" s="3"/>
      <c r="I37" s="47">
        <f>0.1*(H_Mai[[#This Row],[Heures de nuit]]+IF(H_Mai[[#This Row],[majoration dim &amp; JF]]="non",0,H_Mai[[#This Row],[heures jour dimanche]]+H_Mai[[#This Row],[heures jour fériés]]))</f>
        <v>0</v>
      </c>
      <c r="J37" s="48">
        <f>(MOD(H_Mai[[#This Row],[Fin]]-H_Mai[[#This Row],[début]],1)-MOD(H_Mai[[#This Row],[PNP Fin]]-H_Mai[[#This Row],[PNP Début]],1))*24</f>
        <v>0</v>
      </c>
      <c r="K37" s="119" t="str">
        <f>IFERROR(VLOOKUP(H_Mai[[#This Row],[Service]],Codes[],4,0),"")</f>
        <v/>
      </c>
      <c r="L37" s="49">
        <f>IF(H_Mai[[#This Row],[PNP Début]]=0,0,IF(H_Mai[[#This Row],[PNP Début]]&lt;H_Mai[[#This Row],[début]],1,0)+H_Mai[[#This Row],[PNP Début]])</f>
        <v>0</v>
      </c>
      <c r="M37" s="50">
        <f>IF(H_Mai[[#This Row],[PNP Fin]]=0,0,IF(H_Mai[[#This Row],[PNP Fin]]&lt;H_Mai[[#This Row],[début]],1,0)+H_Mai[[#This Row],[PNP Fin]])</f>
        <v>0</v>
      </c>
      <c r="N37" s="50">
        <f>IF(H_Mai[[#This Row],[Fin]]&lt;H_Mai[[#This Row],[début]],1,0)+H_Mai[[#This Row],[Fin]]</f>
        <v>0</v>
      </c>
      <c r="O37" s="31">
        <f>IF(H_Mai[[#This Row],[Fin]]&lt;H_Mai[[#This Row],[début]],MAX(0,MIN(H_Mai[[#This Row],[Fin corrigée si nuit]],fin_nuit)-MAX(H_Mai[[#This Row],[début]],deb_nuit))*24,(MAX(deb_nuit,H_Mai[[#This Row],[Fin]])-MAX(deb_nuit,H_Mai[[#This Row],[début]])+MAX(MIN(fin_nuit-1,H_Mai[[#This Row],[Fin]])-MIN(fin_nuit-1,H_Mai[[#This Row],[début]]),0))*24)</f>
        <v>0</v>
      </c>
      <c r="P37" s="51">
        <f>(MAX(0,MIN(H_Mai[[#This Row],[Fin corrigée si nuit]],fin_nuit)-MAX(H_Mai[[#This Row],[début]],deb_nuit))-IF(H_Mai[[#This Row],[PNP Début]]=0,0,MIN(H_Mai[[#This Row],[PNP Fin corrigée]],fin_nuit)-MAX(H_Mai[[#This Row],[PNP Début corrigé]],deb_nuit)))*24</f>
        <v>0</v>
      </c>
      <c r="Q37" s="51">
        <f>(IF(WEEKDAY(H_Mai[[#This Row],[Date]],2)=7,MAX(0,MIN(fin_dimJF,H_Mai[[#This Row],[Fin corrigée si nuit]])-MAX(deb_dimJF,H_Mai[[#This Row],[début]])),0)+IF(WEEKDAY(H_Mai[[#This Row],[Date]],2)=6,MAX(0,H_Mai[[#This Row],[Fin corrigée si nuit]]-(1+deb_dimJF)),0))*24</f>
        <v>0</v>
      </c>
      <c r="R37"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7" s="51">
        <f>(IF(COUNTIF(JF,H_Mai[[#This Row],[Date]]),MAX(0,MIN(fin_dimJF,H_Mai[[#This Row],[Fin corrigée si nuit]])-MAX(deb_dimJF,H_Mai[[#This Row],[début]])),0)+IF(COUNTIF(JF,H_Mai[[#This Row],[Date]]+1),MAX(0,H_Mai[[#This Row],[Fin corrigée si nuit]]-(1+deb_dimJF)),0))*24</f>
        <v>0</v>
      </c>
      <c r="T37"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8" spans="1:20" x14ac:dyDescent="0.3">
      <c r="A38" s="4"/>
      <c r="B38" s="1"/>
      <c r="C38" s="2"/>
      <c r="D38" s="2"/>
      <c r="E38" s="3"/>
      <c r="F38" s="3"/>
      <c r="G38" s="3"/>
      <c r="H38" s="3"/>
      <c r="I38" s="47">
        <f>0.1*(H_Mai[[#This Row],[Heures de nuit]]+IF(H_Mai[[#This Row],[majoration dim &amp; JF]]="non",0,H_Mai[[#This Row],[heures jour dimanche]]+H_Mai[[#This Row],[heures jour fériés]]))</f>
        <v>0</v>
      </c>
      <c r="J38" s="48">
        <f>(MOD(H_Mai[[#This Row],[Fin]]-H_Mai[[#This Row],[début]],1)-MOD(H_Mai[[#This Row],[PNP Fin]]-H_Mai[[#This Row],[PNP Début]],1))*24</f>
        <v>0</v>
      </c>
      <c r="K38" s="119" t="str">
        <f>IFERROR(VLOOKUP(H_Mai[[#This Row],[Service]],Codes[],4,0),"")</f>
        <v/>
      </c>
      <c r="L38" s="49">
        <f>IF(H_Mai[[#This Row],[PNP Début]]=0,0,IF(H_Mai[[#This Row],[PNP Début]]&lt;H_Mai[[#This Row],[début]],1,0)+H_Mai[[#This Row],[PNP Début]])</f>
        <v>0</v>
      </c>
      <c r="M38" s="50">
        <f>IF(H_Mai[[#This Row],[PNP Fin]]=0,0,IF(H_Mai[[#This Row],[PNP Fin]]&lt;H_Mai[[#This Row],[début]],1,0)+H_Mai[[#This Row],[PNP Fin]])</f>
        <v>0</v>
      </c>
      <c r="N38" s="50">
        <f>IF(H_Mai[[#This Row],[Fin]]&lt;H_Mai[[#This Row],[début]],1,0)+H_Mai[[#This Row],[Fin]]</f>
        <v>0</v>
      </c>
      <c r="O38" s="31">
        <f>IF(H_Mai[[#This Row],[Fin]]&lt;H_Mai[[#This Row],[début]],MAX(0,MIN(H_Mai[[#This Row],[Fin corrigée si nuit]],fin_nuit)-MAX(H_Mai[[#This Row],[début]],deb_nuit))*24,(MAX(deb_nuit,H_Mai[[#This Row],[Fin]])-MAX(deb_nuit,H_Mai[[#This Row],[début]])+MAX(MIN(fin_nuit-1,H_Mai[[#This Row],[Fin]])-MIN(fin_nuit-1,H_Mai[[#This Row],[début]]),0))*24)</f>
        <v>0</v>
      </c>
      <c r="P38" s="51">
        <f>(MAX(0,MIN(H_Mai[[#This Row],[Fin corrigée si nuit]],fin_nuit)-MAX(H_Mai[[#This Row],[début]],deb_nuit))-IF(H_Mai[[#This Row],[PNP Début]]=0,0,MIN(H_Mai[[#This Row],[PNP Fin corrigée]],fin_nuit)-MAX(H_Mai[[#This Row],[PNP Début corrigé]],deb_nuit)))*24</f>
        <v>0</v>
      </c>
      <c r="Q38" s="51">
        <f>(IF(WEEKDAY(H_Mai[[#This Row],[Date]],2)=7,MAX(0,MIN(fin_dimJF,H_Mai[[#This Row],[Fin corrigée si nuit]])-MAX(deb_dimJF,H_Mai[[#This Row],[début]])),0)+IF(WEEKDAY(H_Mai[[#This Row],[Date]],2)=6,MAX(0,H_Mai[[#This Row],[Fin corrigée si nuit]]-(1+deb_dimJF)),0))*24</f>
        <v>0</v>
      </c>
      <c r="R38"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8" s="51">
        <f>(IF(COUNTIF(JF,H_Mai[[#This Row],[Date]]),MAX(0,MIN(fin_dimJF,H_Mai[[#This Row],[Fin corrigée si nuit]])-MAX(deb_dimJF,H_Mai[[#This Row],[début]])),0)+IF(COUNTIF(JF,H_Mai[[#This Row],[Date]]+1),MAX(0,H_Mai[[#This Row],[Fin corrigée si nuit]]-(1+deb_dimJF)),0))*24</f>
        <v>0</v>
      </c>
      <c r="T38"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39" spans="1:20" x14ac:dyDescent="0.3">
      <c r="A39" s="4"/>
      <c r="B39" s="1"/>
      <c r="C39" s="2"/>
      <c r="D39" s="2"/>
      <c r="E39" s="3"/>
      <c r="F39" s="3"/>
      <c r="G39" s="3"/>
      <c r="H39" s="3"/>
      <c r="I39" s="47">
        <f>0.1*(H_Mai[[#This Row],[Heures de nuit]]+IF(H_Mai[[#This Row],[majoration dim &amp; JF]]="non",0,H_Mai[[#This Row],[heures jour dimanche]]+H_Mai[[#This Row],[heures jour fériés]]))</f>
        <v>0</v>
      </c>
      <c r="J39" s="48">
        <f>(MOD(H_Mai[[#This Row],[Fin]]-H_Mai[[#This Row],[début]],1)-MOD(H_Mai[[#This Row],[PNP Fin]]-H_Mai[[#This Row],[PNP Début]],1))*24</f>
        <v>0</v>
      </c>
      <c r="K39" s="119" t="str">
        <f>IFERROR(VLOOKUP(H_Mai[[#This Row],[Service]],Codes[],4,0),"")</f>
        <v/>
      </c>
      <c r="L39" s="49">
        <f>IF(H_Mai[[#This Row],[PNP Début]]=0,0,IF(H_Mai[[#This Row],[PNP Début]]&lt;H_Mai[[#This Row],[début]],1,0)+H_Mai[[#This Row],[PNP Début]])</f>
        <v>0</v>
      </c>
      <c r="M39" s="50">
        <f>IF(H_Mai[[#This Row],[PNP Fin]]=0,0,IF(H_Mai[[#This Row],[PNP Fin]]&lt;H_Mai[[#This Row],[début]],1,0)+H_Mai[[#This Row],[PNP Fin]])</f>
        <v>0</v>
      </c>
      <c r="N39" s="50">
        <f>IF(H_Mai[[#This Row],[Fin]]&lt;H_Mai[[#This Row],[début]],1,0)+H_Mai[[#This Row],[Fin]]</f>
        <v>0</v>
      </c>
      <c r="O39" s="31">
        <f>IF(H_Mai[[#This Row],[Fin]]&lt;H_Mai[[#This Row],[début]],MAX(0,MIN(H_Mai[[#This Row],[Fin corrigée si nuit]],fin_nuit)-MAX(H_Mai[[#This Row],[début]],deb_nuit))*24,(MAX(deb_nuit,H_Mai[[#This Row],[Fin]])-MAX(deb_nuit,H_Mai[[#This Row],[début]])+MAX(MIN(fin_nuit-1,H_Mai[[#This Row],[Fin]])-MIN(fin_nuit-1,H_Mai[[#This Row],[début]]),0))*24)</f>
        <v>0</v>
      </c>
      <c r="P39" s="51">
        <f>(MAX(0,MIN(H_Mai[[#This Row],[Fin corrigée si nuit]],fin_nuit)-MAX(H_Mai[[#This Row],[début]],deb_nuit))-IF(H_Mai[[#This Row],[PNP Début]]=0,0,MIN(H_Mai[[#This Row],[PNP Fin corrigée]],fin_nuit)-MAX(H_Mai[[#This Row],[PNP Début corrigé]],deb_nuit)))*24</f>
        <v>0</v>
      </c>
      <c r="Q39" s="51">
        <f>(IF(WEEKDAY(H_Mai[[#This Row],[Date]],2)=7,MAX(0,MIN(fin_dimJF,H_Mai[[#This Row],[Fin corrigée si nuit]])-MAX(deb_dimJF,H_Mai[[#This Row],[début]])),0)+IF(WEEKDAY(H_Mai[[#This Row],[Date]],2)=6,MAX(0,H_Mai[[#This Row],[Fin corrigée si nuit]]-(1+deb_dimJF)),0))*24</f>
        <v>0</v>
      </c>
      <c r="R39"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39" s="51">
        <f>(IF(COUNTIF(JF,H_Mai[[#This Row],[Date]]),MAX(0,MIN(fin_dimJF,H_Mai[[#This Row],[Fin corrigée si nuit]])-MAX(deb_dimJF,H_Mai[[#This Row],[début]])),0)+IF(COUNTIF(JF,H_Mai[[#This Row],[Date]]+1),MAX(0,H_Mai[[#This Row],[Fin corrigée si nuit]]-(1+deb_dimJF)),0))*24</f>
        <v>0</v>
      </c>
      <c r="T39"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0" spans="1:20" x14ac:dyDescent="0.3">
      <c r="A40" s="4"/>
      <c r="B40" s="1"/>
      <c r="C40" s="2"/>
      <c r="D40" s="2"/>
      <c r="E40" s="3"/>
      <c r="F40" s="3"/>
      <c r="G40" s="3"/>
      <c r="H40" s="3"/>
      <c r="I40" s="47">
        <f>0.1*(H_Mai[[#This Row],[Heures de nuit]]+IF(H_Mai[[#This Row],[majoration dim &amp; JF]]="non",0,H_Mai[[#This Row],[heures jour dimanche]]+H_Mai[[#This Row],[heures jour fériés]]))</f>
        <v>0</v>
      </c>
      <c r="J40" s="48">
        <f>(MOD(H_Mai[[#This Row],[Fin]]-H_Mai[[#This Row],[début]],1)-MOD(H_Mai[[#This Row],[PNP Fin]]-H_Mai[[#This Row],[PNP Début]],1))*24</f>
        <v>0</v>
      </c>
      <c r="K40" s="119" t="str">
        <f>IFERROR(VLOOKUP(H_Mai[[#This Row],[Service]],Codes[],4,0),"")</f>
        <v/>
      </c>
      <c r="L40" s="49">
        <f>IF(H_Mai[[#This Row],[PNP Début]]=0,0,IF(H_Mai[[#This Row],[PNP Début]]&lt;H_Mai[[#This Row],[début]],1,0)+H_Mai[[#This Row],[PNP Début]])</f>
        <v>0</v>
      </c>
      <c r="M40" s="50">
        <f>IF(H_Mai[[#This Row],[PNP Fin]]=0,0,IF(H_Mai[[#This Row],[PNP Fin]]&lt;H_Mai[[#This Row],[début]],1,0)+H_Mai[[#This Row],[PNP Fin]])</f>
        <v>0</v>
      </c>
      <c r="N40" s="50">
        <f>IF(H_Mai[[#This Row],[Fin]]&lt;H_Mai[[#This Row],[début]],1,0)+H_Mai[[#This Row],[Fin]]</f>
        <v>0</v>
      </c>
      <c r="O40" s="31">
        <f>IF(H_Mai[[#This Row],[Fin]]&lt;H_Mai[[#This Row],[début]],MAX(0,MIN(H_Mai[[#This Row],[Fin corrigée si nuit]],fin_nuit)-MAX(H_Mai[[#This Row],[début]],deb_nuit))*24,(MAX(deb_nuit,H_Mai[[#This Row],[Fin]])-MAX(deb_nuit,H_Mai[[#This Row],[début]])+MAX(MIN(fin_nuit-1,H_Mai[[#This Row],[Fin]])-MIN(fin_nuit-1,H_Mai[[#This Row],[début]]),0))*24)</f>
        <v>0</v>
      </c>
      <c r="P40" s="51">
        <f>(MAX(0,MIN(H_Mai[[#This Row],[Fin corrigée si nuit]],fin_nuit)-MAX(H_Mai[[#This Row],[début]],deb_nuit))-IF(H_Mai[[#This Row],[PNP Début]]=0,0,MIN(H_Mai[[#This Row],[PNP Fin corrigée]],fin_nuit)-MAX(H_Mai[[#This Row],[PNP Début corrigé]],deb_nuit)))*24</f>
        <v>0</v>
      </c>
      <c r="Q40" s="51">
        <f>(IF(WEEKDAY(H_Mai[[#This Row],[Date]],2)=7,MAX(0,MIN(fin_dimJF,H_Mai[[#This Row],[Fin corrigée si nuit]])-MAX(deb_dimJF,H_Mai[[#This Row],[début]])),0)+IF(WEEKDAY(H_Mai[[#This Row],[Date]],2)=6,MAX(0,H_Mai[[#This Row],[Fin corrigée si nuit]]-(1+deb_dimJF)),0))*24</f>
        <v>0</v>
      </c>
      <c r="R40"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0" s="51">
        <f>(IF(COUNTIF(JF,H_Mai[[#This Row],[Date]]),MAX(0,MIN(fin_dimJF,H_Mai[[#This Row],[Fin corrigée si nuit]])-MAX(deb_dimJF,H_Mai[[#This Row],[début]])),0)+IF(COUNTIF(JF,H_Mai[[#This Row],[Date]]+1),MAX(0,H_Mai[[#This Row],[Fin corrigée si nuit]]-(1+deb_dimJF)),0))*24</f>
        <v>0</v>
      </c>
      <c r="T40"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1" spans="1:20" x14ac:dyDescent="0.3">
      <c r="A41" s="4"/>
      <c r="B41" s="1"/>
      <c r="C41" s="2"/>
      <c r="D41" s="2"/>
      <c r="E41" s="3"/>
      <c r="F41" s="3"/>
      <c r="G41" s="3"/>
      <c r="H41" s="3"/>
      <c r="I41" s="47">
        <f>0.1*(H_Mai[[#This Row],[Heures de nuit]]+IF(H_Mai[[#This Row],[majoration dim &amp; JF]]="non",0,H_Mai[[#This Row],[heures jour dimanche]]+H_Mai[[#This Row],[heures jour fériés]]))</f>
        <v>0</v>
      </c>
      <c r="J41" s="48">
        <f>(MOD(H_Mai[[#This Row],[Fin]]-H_Mai[[#This Row],[début]],1)-MOD(H_Mai[[#This Row],[PNP Fin]]-H_Mai[[#This Row],[PNP Début]],1))*24</f>
        <v>0</v>
      </c>
      <c r="K41" s="119" t="str">
        <f>IFERROR(VLOOKUP(H_Mai[[#This Row],[Service]],Codes[],4,0),"")</f>
        <v/>
      </c>
      <c r="L41" s="49">
        <f>IF(H_Mai[[#This Row],[PNP Début]]=0,0,IF(H_Mai[[#This Row],[PNP Début]]&lt;H_Mai[[#This Row],[début]],1,0)+H_Mai[[#This Row],[PNP Début]])</f>
        <v>0</v>
      </c>
      <c r="M41" s="50">
        <f>IF(H_Mai[[#This Row],[PNP Fin]]=0,0,IF(H_Mai[[#This Row],[PNP Fin]]&lt;H_Mai[[#This Row],[début]],1,0)+H_Mai[[#This Row],[PNP Fin]])</f>
        <v>0</v>
      </c>
      <c r="N41" s="50">
        <f>IF(H_Mai[[#This Row],[Fin]]&lt;H_Mai[[#This Row],[début]],1,0)+H_Mai[[#This Row],[Fin]]</f>
        <v>0</v>
      </c>
      <c r="O41" s="31">
        <f>IF(H_Mai[[#This Row],[Fin]]&lt;H_Mai[[#This Row],[début]],MAX(0,MIN(H_Mai[[#This Row],[Fin corrigée si nuit]],fin_nuit)-MAX(H_Mai[[#This Row],[début]],deb_nuit))*24,(MAX(deb_nuit,H_Mai[[#This Row],[Fin]])-MAX(deb_nuit,H_Mai[[#This Row],[début]])+MAX(MIN(fin_nuit-1,H_Mai[[#This Row],[Fin]])-MIN(fin_nuit-1,H_Mai[[#This Row],[début]]),0))*24)</f>
        <v>0</v>
      </c>
      <c r="P41" s="51">
        <f>(MAX(0,MIN(H_Mai[[#This Row],[Fin corrigée si nuit]],fin_nuit)-MAX(H_Mai[[#This Row],[début]],deb_nuit))-IF(H_Mai[[#This Row],[PNP Début]]=0,0,MIN(H_Mai[[#This Row],[PNP Fin corrigée]],fin_nuit)-MAX(H_Mai[[#This Row],[PNP Début corrigé]],deb_nuit)))*24</f>
        <v>0</v>
      </c>
      <c r="Q41" s="51">
        <f>(IF(WEEKDAY(H_Mai[[#This Row],[Date]],2)=7,MAX(0,MIN(fin_dimJF,H_Mai[[#This Row],[Fin corrigée si nuit]])-MAX(deb_dimJF,H_Mai[[#This Row],[début]])),0)+IF(WEEKDAY(H_Mai[[#This Row],[Date]],2)=6,MAX(0,H_Mai[[#This Row],[Fin corrigée si nuit]]-(1+deb_dimJF)),0))*24</f>
        <v>0</v>
      </c>
      <c r="R41"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1" s="51">
        <f>(IF(COUNTIF(JF,H_Mai[[#This Row],[Date]]),MAX(0,MIN(fin_dimJF,H_Mai[[#This Row],[Fin corrigée si nuit]])-MAX(deb_dimJF,H_Mai[[#This Row],[début]])),0)+IF(COUNTIF(JF,H_Mai[[#This Row],[Date]]+1),MAX(0,H_Mai[[#This Row],[Fin corrigée si nuit]]-(1+deb_dimJF)),0))*24</f>
        <v>0</v>
      </c>
      <c r="T41"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2" spans="1:20" x14ac:dyDescent="0.3">
      <c r="A42" s="4"/>
      <c r="B42" s="1"/>
      <c r="C42" s="2"/>
      <c r="D42" s="2"/>
      <c r="E42" s="3"/>
      <c r="F42" s="3"/>
      <c r="G42" s="3"/>
      <c r="H42" s="3"/>
      <c r="I42" s="47">
        <f>0.1*(H_Mai[[#This Row],[Heures de nuit]]+IF(H_Mai[[#This Row],[majoration dim &amp; JF]]="non",0,H_Mai[[#This Row],[heures jour dimanche]]+H_Mai[[#This Row],[heures jour fériés]]))</f>
        <v>0</v>
      </c>
      <c r="J42" s="48">
        <f>(MOD(H_Mai[[#This Row],[Fin]]-H_Mai[[#This Row],[début]],1)-MOD(H_Mai[[#This Row],[PNP Fin]]-H_Mai[[#This Row],[PNP Début]],1))*24</f>
        <v>0</v>
      </c>
      <c r="K42" s="119" t="str">
        <f>IFERROR(VLOOKUP(H_Mai[[#This Row],[Service]],Codes[],4,0),"")</f>
        <v/>
      </c>
      <c r="L42" s="49">
        <f>IF(H_Mai[[#This Row],[PNP Début]]=0,0,IF(H_Mai[[#This Row],[PNP Début]]&lt;H_Mai[[#This Row],[début]],1,0)+H_Mai[[#This Row],[PNP Début]])</f>
        <v>0</v>
      </c>
      <c r="M42" s="50">
        <f>IF(H_Mai[[#This Row],[PNP Fin]]=0,0,IF(H_Mai[[#This Row],[PNP Fin]]&lt;H_Mai[[#This Row],[début]],1,0)+H_Mai[[#This Row],[PNP Fin]])</f>
        <v>0</v>
      </c>
      <c r="N42" s="50">
        <f>IF(H_Mai[[#This Row],[Fin]]&lt;H_Mai[[#This Row],[début]],1,0)+H_Mai[[#This Row],[Fin]]</f>
        <v>0</v>
      </c>
      <c r="O42" s="31">
        <f>IF(H_Mai[[#This Row],[Fin]]&lt;H_Mai[[#This Row],[début]],MAX(0,MIN(H_Mai[[#This Row],[Fin corrigée si nuit]],fin_nuit)-MAX(H_Mai[[#This Row],[début]],deb_nuit))*24,(MAX(deb_nuit,H_Mai[[#This Row],[Fin]])-MAX(deb_nuit,H_Mai[[#This Row],[début]])+MAX(MIN(fin_nuit-1,H_Mai[[#This Row],[Fin]])-MIN(fin_nuit-1,H_Mai[[#This Row],[début]]),0))*24)</f>
        <v>0</v>
      </c>
      <c r="P42" s="51">
        <f>(MAX(0,MIN(H_Mai[[#This Row],[Fin corrigée si nuit]],fin_nuit)-MAX(H_Mai[[#This Row],[début]],deb_nuit))-IF(H_Mai[[#This Row],[PNP Début]]=0,0,MIN(H_Mai[[#This Row],[PNP Fin corrigée]],fin_nuit)-MAX(H_Mai[[#This Row],[PNP Début corrigé]],deb_nuit)))*24</f>
        <v>0</v>
      </c>
      <c r="Q42" s="51">
        <f>(IF(WEEKDAY(H_Mai[[#This Row],[Date]],2)=7,MAX(0,MIN(fin_dimJF,H_Mai[[#This Row],[Fin corrigée si nuit]])-MAX(deb_dimJF,H_Mai[[#This Row],[début]])),0)+IF(WEEKDAY(H_Mai[[#This Row],[Date]],2)=6,MAX(0,H_Mai[[#This Row],[Fin corrigée si nuit]]-(1+deb_dimJF)),0))*24</f>
        <v>0</v>
      </c>
      <c r="R42"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2" s="51">
        <f>(IF(COUNTIF(JF,H_Mai[[#This Row],[Date]]),MAX(0,MIN(fin_dimJF,H_Mai[[#This Row],[Fin corrigée si nuit]])-MAX(deb_dimJF,H_Mai[[#This Row],[début]])),0)+IF(COUNTIF(JF,H_Mai[[#This Row],[Date]]+1),MAX(0,H_Mai[[#This Row],[Fin corrigée si nuit]]-(1+deb_dimJF)),0))*24</f>
        <v>0</v>
      </c>
      <c r="T42"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3" spans="1:20" x14ac:dyDescent="0.3">
      <c r="A43" s="4"/>
      <c r="B43" s="1"/>
      <c r="C43" s="2"/>
      <c r="D43" s="2"/>
      <c r="E43" s="3"/>
      <c r="F43" s="3"/>
      <c r="G43" s="3"/>
      <c r="H43" s="3"/>
      <c r="I43" s="47">
        <f>0.1*(H_Mai[[#This Row],[Heures de nuit]]+IF(H_Mai[[#This Row],[majoration dim &amp; JF]]="non",0,H_Mai[[#This Row],[heures jour dimanche]]+H_Mai[[#This Row],[heures jour fériés]]))</f>
        <v>0</v>
      </c>
      <c r="J43" s="48">
        <f>(MOD(H_Mai[[#This Row],[Fin]]-H_Mai[[#This Row],[début]],1)-MOD(H_Mai[[#This Row],[PNP Fin]]-H_Mai[[#This Row],[PNP Début]],1))*24</f>
        <v>0</v>
      </c>
      <c r="K43" s="119" t="str">
        <f>IFERROR(VLOOKUP(H_Mai[[#This Row],[Service]],Codes[],4,0),"")</f>
        <v/>
      </c>
      <c r="L43" s="49">
        <f>IF(H_Mai[[#This Row],[PNP Début]]=0,0,IF(H_Mai[[#This Row],[PNP Début]]&lt;H_Mai[[#This Row],[début]],1,0)+H_Mai[[#This Row],[PNP Début]])</f>
        <v>0</v>
      </c>
      <c r="M43" s="50">
        <f>IF(H_Mai[[#This Row],[PNP Fin]]=0,0,IF(H_Mai[[#This Row],[PNP Fin]]&lt;H_Mai[[#This Row],[début]],1,0)+H_Mai[[#This Row],[PNP Fin]])</f>
        <v>0</v>
      </c>
      <c r="N43" s="50">
        <f>IF(H_Mai[[#This Row],[Fin]]&lt;H_Mai[[#This Row],[début]],1,0)+H_Mai[[#This Row],[Fin]]</f>
        <v>0</v>
      </c>
      <c r="O43" s="31">
        <f>IF(H_Mai[[#This Row],[Fin]]&lt;H_Mai[[#This Row],[début]],MAX(0,MIN(H_Mai[[#This Row],[Fin corrigée si nuit]],fin_nuit)-MAX(H_Mai[[#This Row],[début]],deb_nuit))*24,(MAX(deb_nuit,H_Mai[[#This Row],[Fin]])-MAX(deb_nuit,H_Mai[[#This Row],[début]])+MAX(MIN(fin_nuit-1,H_Mai[[#This Row],[Fin]])-MIN(fin_nuit-1,H_Mai[[#This Row],[début]]),0))*24)</f>
        <v>0</v>
      </c>
      <c r="P43" s="51">
        <f>(MAX(0,MIN(H_Mai[[#This Row],[Fin corrigée si nuit]],fin_nuit)-MAX(H_Mai[[#This Row],[début]],deb_nuit))-IF(H_Mai[[#This Row],[PNP Début]]=0,0,MIN(H_Mai[[#This Row],[PNP Fin corrigée]],fin_nuit)-MAX(H_Mai[[#This Row],[PNP Début corrigé]],deb_nuit)))*24</f>
        <v>0</v>
      </c>
      <c r="Q43" s="51">
        <f>(IF(WEEKDAY(H_Mai[[#This Row],[Date]],2)=7,MAX(0,MIN(fin_dimJF,H_Mai[[#This Row],[Fin corrigée si nuit]])-MAX(deb_dimJF,H_Mai[[#This Row],[début]])),0)+IF(WEEKDAY(H_Mai[[#This Row],[Date]],2)=6,MAX(0,H_Mai[[#This Row],[Fin corrigée si nuit]]-(1+deb_dimJF)),0))*24</f>
        <v>0</v>
      </c>
      <c r="R43"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3" s="51">
        <f>(IF(COUNTIF(JF,H_Mai[[#This Row],[Date]]),MAX(0,MIN(fin_dimJF,H_Mai[[#This Row],[Fin corrigée si nuit]])-MAX(deb_dimJF,H_Mai[[#This Row],[début]])),0)+IF(COUNTIF(JF,H_Mai[[#This Row],[Date]]+1),MAX(0,H_Mai[[#This Row],[Fin corrigée si nuit]]-(1+deb_dimJF)),0))*24</f>
        <v>0</v>
      </c>
      <c r="T43"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4" spans="1:20" x14ac:dyDescent="0.3">
      <c r="A44" s="4"/>
      <c r="B44" s="1"/>
      <c r="C44" s="2"/>
      <c r="D44" s="2"/>
      <c r="E44" s="3"/>
      <c r="F44" s="3"/>
      <c r="G44" s="3"/>
      <c r="H44" s="3"/>
      <c r="I44" s="47">
        <f>0.1*(H_Mai[[#This Row],[Heures de nuit]]+IF(H_Mai[[#This Row],[majoration dim &amp; JF]]="non",0,H_Mai[[#This Row],[heures jour dimanche]]+H_Mai[[#This Row],[heures jour fériés]]))</f>
        <v>0</v>
      </c>
      <c r="J44" s="48">
        <f>(MOD(H_Mai[[#This Row],[Fin]]-H_Mai[[#This Row],[début]],1)-MOD(H_Mai[[#This Row],[PNP Fin]]-H_Mai[[#This Row],[PNP Début]],1))*24</f>
        <v>0</v>
      </c>
      <c r="K44" s="119" t="str">
        <f>IFERROR(VLOOKUP(H_Mai[[#This Row],[Service]],Codes[],4,0),"")</f>
        <v/>
      </c>
      <c r="L44" s="49">
        <f>IF(H_Mai[[#This Row],[PNP Début]]=0,0,IF(H_Mai[[#This Row],[PNP Début]]&lt;H_Mai[[#This Row],[début]],1,0)+H_Mai[[#This Row],[PNP Début]])</f>
        <v>0</v>
      </c>
      <c r="M44" s="50">
        <f>IF(H_Mai[[#This Row],[PNP Fin]]=0,0,IF(H_Mai[[#This Row],[PNP Fin]]&lt;H_Mai[[#This Row],[début]],1,0)+H_Mai[[#This Row],[PNP Fin]])</f>
        <v>0</v>
      </c>
      <c r="N44" s="50">
        <f>IF(H_Mai[[#This Row],[Fin]]&lt;H_Mai[[#This Row],[début]],1,0)+H_Mai[[#This Row],[Fin]]</f>
        <v>0</v>
      </c>
      <c r="O44" s="31">
        <f>IF(H_Mai[[#This Row],[Fin]]&lt;H_Mai[[#This Row],[début]],MAX(0,MIN(H_Mai[[#This Row],[Fin corrigée si nuit]],fin_nuit)-MAX(H_Mai[[#This Row],[début]],deb_nuit))*24,(MAX(deb_nuit,H_Mai[[#This Row],[Fin]])-MAX(deb_nuit,H_Mai[[#This Row],[début]])+MAX(MIN(fin_nuit-1,H_Mai[[#This Row],[Fin]])-MIN(fin_nuit-1,H_Mai[[#This Row],[début]]),0))*24)</f>
        <v>0</v>
      </c>
      <c r="P44" s="51">
        <f>(MAX(0,MIN(H_Mai[[#This Row],[Fin corrigée si nuit]],fin_nuit)-MAX(H_Mai[[#This Row],[début]],deb_nuit))-IF(H_Mai[[#This Row],[PNP Début]]=0,0,MIN(H_Mai[[#This Row],[PNP Fin corrigée]],fin_nuit)-MAX(H_Mai[[#This Row],[PNP Début corrigé]],deb_nuit)))*24</f>
        <v>0</v>
      </c>
      <c r="Q44" s="51">
        <f>(IF(WEEKDAY(H_Mai[[#This Row],[Date]],2)=7,MAX(0,MIN(fin_dimJF,H_Mai[[#This Row],[Fin corrigée si nuit]])-MAX(deb_dimJF,H_Mai[[#This Row],[début]])),0)+IF(WEEKDAY(H_Mai[[#This Row],[Date]],2)=6,MAX(0,H_Mai[[#This Row],[Fin corrigée si nuit]]-(1+deb_dimJF)),0))*24</f>
        <v>0</v>
      </c>
      <c r="R44"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4" s="51">
        <f>(IF(COUNTIF(JF,H_Mai[[#This Row],[Date]]),MAX(0,MIN(fin_dimJF,H_Mai[[#This Row],[Fin corrigée si nuit]])-MAX(deb_dimJF,H_Mai[[#This Row],[début]])),0)+IF(COUNTIF(JF,H_Mai[[#This Row],[Date]]+1),MAX(0,H_Mai[[#This Row],[Fin corrigée si nuit]]-(1+deb_dimJF)),0))*24</f>
        <v>0</v>
      </c>
      <c r="T44"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5" spans="1:20" x14ac:dyDescent="0.3">
      <c r="A45" s="4"/>
      <c r="B45" s="1"/>
      <c r="C45" s="2"/>
      <c r="D45" s="2"/>
      <c r="E45" s="3"/>
      <c r="F45" s="3"/>
      <c r="G45" s="3"/>
      <c r="H45" s="3"/>
      <c r="I45" s="47">
        <f>0.1*(H_Mai[[#This Row],[Heures de nuit]]+IF(H_Mai[[#This Row],[majoration dim &amp; JF]]="non",0,H_Mai[[#This Row],[heures jour dimanche]]+H_Mai[[#This Row],[heures jour fériés]]))</f>
        <v>0</v>
      </c>
      <c r="J45" s="48">
        <f>(MOD(H_Mai[[#This Row],[Fin]]-H_Mai[[#This Row],[début]],1)-MOD(H_Mai[[#This Row],[PNP Fin]]-H_Mai[[#This Row],[PNP Début]],1))*24</f>
        <v>0</v>
      </c>
      <c r="K45" s="119" t="str">
        <f>IFERROR(VLOOKUP(H_Mai[[#This Row],[Service]],Codes[],4,0),"")</f>
        <v/>
      </c>
      <c r="L45" s="49">
        <f>IF(H_Mai[[#This Row],[PNP Début]]=0,0,IF(H_Mai[[#This Row],[PNP Début]]&lt;H_Mai[[#This Row],[début]],1,0)+H_Mai[[#This Row],[PNP Début]])</f>
        <v>0</v>
      </c>
      <c r="M45" s="50">
        <f>IF(H_Mai[[#This Row],[PNP Fin]]=0,0,IF(H_Mai[[#This Row],[PNP Fin]]&lt;H_Mai[[#This Row],[début]],1,0)+H_Mai[[#This Row],[PNP Fin]])</f>
        <v>0</v>
      </c>
      <c r="N45" s="50">
        <f>IF(H_Mai[[#This Row],[Fin]]&lt;H_Mai[[#This Row],[début]],1,0)+H_Mai[[#This Row],[Fin]]</f>
        <v>0</v>
      </c>
      <c r="O45" s="31">
        <f>IF(H_Mai[[#This Row],[Fin]]&lt;H_Mai[[#This Row],[début]],MAX(0,MIN(H_Mai[[#This Row],[Fin corrigée si nuit]],fin_nuit)-MAX(H_Mai[[#This Row],[début]],deb_nuit))*24,(MAX(deb_nuit,H_Mai[[#This Row],[Fin]])-MAX(deb_nuit,H_Mai[[#This Row],[début]])+MAX(MIN(fin_nuit-1,H_Mai[[#This Row],[Fin]])-MIN(fin_nuit-1,H_Mai[[#This Row],[début]]),0))*24)</f>
        <v>0</v>
      </c>
      <c r="P45" s="51">
        <f>(MAX(0,MIN(H_Mai[[#This Row],[Fin corrigée si nuit]],fin_nuit)-MAX(H_Mai[[#This Row],[début]],deb_nuit))-IF(H_Mai[[#This Row],[PNP Début]]=0,0,MIN(H_Mai[[#This Row],[PNP Fin corrigée]],fin_nuit)-MAX(H_Mai[[#This Row],[PNP Début corrigé]],deb_nuit)))*24</f>
        <v>0</v>
      </c>
      <c r="Q45" s="51">
        <f>(IF(WEEKDAY(H_Mai[[#This Row],[Date]],2)=7,MAX(0,MIN(fin_dimJF,H_Mai[[#This Row],[Fin corrigée si nuit]])-MAX(deb_dimJF,H_Mai[[#This Row],[début]])),0)+IF(WEEKDAY(H_Mai[[#This Row],[Date]],2)=6,MAX(0,H_Mai[[#This Row],[Fin corrigée si nuit]]-(1+deb_dimJF)),0))*24</f>
        <v>0</v>
      </c>
      <c r="R45"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5" s="51">
        <f>(IF(COUNTIF(JF,H_Mai[[#This Row],[Date]]),MAX(0,MIN(fin_dimJF,H_Mai[[#This Row],[Fin corrigée si nuit]])-MAX(deb_dimJF,H_Mai[[#This Row],[début]])),0)+IF(COUNTIF(JF,H_Mai[[#This Row],[Date]]+1),MAX(0,H_Mai[[#This Row],[Fin corrigée si nuit]]-(1+deb_dimJF)),0))*24</f>
        <v>0</v>
      </c>
      <c r="T45"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6" spans="1:20" x14ac:dyDescent="0.3">
      <c r="A46" s="4"/>
      <c r="B46" s="1"/>
      <c r="C46" s="2"/>
      <c r="D46" s="2"/>
      <c r="E46" s="3"/>
      <c r="F46" s="3"/>
      <c r="G46" s="3"/>
      <c r="H46" s="3"/>
      <c r="I46" s="47">
        <f>0.1*(H_Mai[[#This Row],[Heures de nuit]]+IF(H_Mai[[#This Row],[majoration dim &amp; JF]]="non",0,H_Mai[[#This Row],[heures jour dimanche]]+H_Mai[[#This Row],[heures jour fériés]]))</f>
        <v>0</v>
      </c>
      <c r="J46" s="48">
        <f>(MOD(H_Mai[[#This Row],[Fin]]-H_Mai[[#This Row],[début]],1)-MOD(H_Mai[[#This Row],[PNP Fin]]-H_Mai[[#This Row],[PNP Début]],1))*24</f>
        <v>0</v>
      </c>
      <c r="K46" s="119" t="str">
        <f>IFERROR(VLOOKUP(H_Mai[[#This Row],[Service]],Codes[],4,0),"")</f>
        <v/>
      </c>
      <c r="L46" s="49">
        <f>IF(H_Mai[[#This Row],[PNP Début]]=0,0,IF(H_Mai[[#This Row],[PNP Début]]&lt;H_Mai[[#This Row],[début]],1,0)+H_Mai[[#This Row],[PNP Début]])</f>
        <v>0</v>
      </c>
      <c r="M46" s="50">
        <f>IF(H_Mai[[#This Row],[PNP Fin]]=0,0,IF(H_Mai[[#This Row],[PNP Fin]]&lt;H_Mai[[#This Row],[début]],1,0)+H_Mai[[#This Row],[PNP Fin]])</f>
        <v>0</v>
      </c>
      <c r="N46" s="50">
        <f>IF(H_Mai[[#This Row],[Fin]]&lt;H_Mai[[#This Row],[début]],1,0)+H_Mai[[#This Row],[Fin]]</f>
        <v>0</v>
      </c>
      <c r="O46" s="31">
        <f>IF(H_Mai[[#This Row],[Fin]]&lt;H_Mai[[#This Row],[début]],MAX(0,MIN(H_Mai[[#This Row],[Fin corrigée si nuit]],fin_nuit)-MAX(H_Mai[[#This Row],[début]],deb_nuit))*24,(MAX(deb_nuit,H_Mai[[#This Row],[Fin]])-MAX(deb_nuit,H_Mai[[#This Row],[début]])+MAX(MIN(fin_nuit-1,H_Mai[[#This Row],[Fin]])-MIN(fin_nuit-1,H_Mai[[#This Row],[début]]),0))*24)</f>
        <v>0</v>
      </c>
      <c r="P46" s="51">
        <f>(MAX(0,MIN(H_Mai[[#This Row],[Fin corrigée si nuit]],fin_nuit)-MAX(H_Mai[[#This Row],[début]],deb_nuit))-IF(H_Mai[[#This Row],[PNP Début]]=0,0,MIN(H_Mai[[#This Row],[PNP Fin corrigée]],fin_nuit)-MAX(H_Mai[[#This Row],[PNP Début corrigé]],deb_nuit)))*24</f>
        <v>0</v>
      </c>
      <c r="Q46" s="51">
        <f>(IF(WEEKDAY(H_Mai[[#This Row],[Date]],2)=7,MAX(0,MIN(fin_dimJF,H_Mai[[#This Row],[Fin corrigée si nuit]])-MAX(deb_dimJF,H_Mai[[#This Row],[début]])),0)+IF(WEEKDAY(H_Mai[[#This Row],[Date]],2)=6,MAX(0,H_Mai[[#This Row],[Fin corrigée si nuit]]-(1+deb_dimJF)),0))*24</f>
        <v>0</v>
      </c>
      <c r="R46"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6" s="51">
        <f>(IF(COUNTIF(JF,H_Mai[[#This Row],[Date]]),MAX(0,MIN(fin_dimJF,H_Mai[[#This Row],[Fin corrigée si nuit]])-MAX(deb_dimJF,H_Mai[[#This Row],[début]])),0)+IF(COUNTIF(JF,H_Mai[[#This Row],[Date]]+1),MAX(0,H_Mai[[#This Row],[Fin corrigée si nuit]]-(1+deb_dimJF)),0))*24</f>
        <v>0</v>
      </c>
      <c r="T46"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7" spans="1:20" x14ac:dyDescent="0.3">
      <c r="A47" s="4"/>
      <c r="B47" s="1"/>
      <c r="C47" s="2"/>
      <c r="D47" s="2"/>
      <c r="E47" s="3"/>
      <c r="F47" s="3"/>
      <c r="G47" s="3"/>
      <c r="H47" s="3"/>
      <c r="I47" s="47">
        <f>0.1*(H_Mai[[#This Row],[Heures de nuit]]+IF(H_Mai[[#This Row],[majoration dim &amp; JF]]="non",0,H_Mai[[#This Row],[heures jour dimanche]]+H_Mai[[#This Row],[heures jour fériés]]))</f>
        <v>0</v>
      </c>
      <c r="J47" s="48">
        <f>(MOD(H_Mai[[#This Row],[Fin]]-H_Mai[[#This Row],[début]],1)-MOD(H_Mai[[#This Row],[PNP Fin]]-H_Mai[[#This Row],[PNP Début]],1))*24</f>
        <v>0</v>
      </c>
      <c r="K47" s="119" t="str">
        <f>IFERROR(VLOOKUP(H_Mai[[#This Row],[Service]],Codes[],4,0),"")</f>
        <v/>
      </c>
      <c r="L47" s="49">
        <f>IF(H_Mai[[#This Row],[PNP Début]]=0,0,IF(H_Mai[[#This Row],[PNP Début]]&lt;H_Mai[[#This Row],[début]],1,0)+H_Mai[[#This Row],[PNP Début]])</f>
        <v>0</v>
      </c>
      <c r="M47" s="50">
        <f>IF(H_Mai[[#This Row],[PNP Fin]]=0,0,IF(H_Mai[[#This Row],[PNP Fin]]&lt;H_Mai[[#This Row],[début]],1,0)+H_Mai[[#This Row],[PNP Fin]])</f>
        <v>0</v>
      </c>
      <c r="N47" s="50">
        <f>IF(H_Mai[[#This Row],[Fin]]&lt;H_Mai[[#This Row],[début]],1,0)+H_Mai[[#This Row],[Fin]]</f>
        <v>0</v>
      </c>
      <c r="O47" s="31">
        <f>IF(H_Mai[[#This Row],[Fin]]&lt;H_Mai[[#This Row],[début]],MAX(0,MIN(H_Mai[[#This Row],[Fin corrigée si nuit]],fin_nuit)-MAX(H_Mai[[#This Row],[début]],deb_nuit))*24,(MAX(deb_nuit,H_Mai[[#This Row],[Fin]])-MAX(deb_nuit,H_Mai[[#This Row],[début]])+MAX(MIN(fin_nuit-1,H_Mai[[#This Row],[Fin]])-MIN(fin_nuit-1,H_Mai[[#This Row],[début]]),0))*24)</f>
        <v>0</v>
      </c>
      <c r="P47" s="51">
        <f>(MAX(0,MIN(H_Mai[[#This Row],[Fin corrigée si nuit]],fin_nuit)-MAX(H_Mai[[#This Row],[début]],deb_nuit))-IF(H_Mai[[#This Row],[PNP Début]]=0,0,MIN(H_Mai[[#This Row],[PNP Fin corrigée]],fin_nuit)-MAX(H_Mai[[#This Row],[PNP Début corrigé]],deb_nuit)))*24</f>
        <v>0</v>
      </c>
      <c r="Q47" s="51">
        <f>(IF(WEEKDAY(H_Mai[[#This Row],[Date]],2)=7,MAX(0,MIN(fin_dimJF,H_Mai[[#This Row],[Fin corrigée si nuit]])-MAX(deb_dimJF,H_Mai[[#This Row],[début]])),0)+IF(WEEKDAY(H_Mai[[#This Row],[Date]],2)=6,MAX(0,H_Mai[[#This Row],[Fin corrigée si nuit]]-(1+deb_dimJF)),0))*24</f>
        <v>0</v>
      </c>
      <c r="R47"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7" s="51">
        <f>(IF(COUNTIF(JF,H_Mai[[#This Row],[Date]]),MAX(0,MIN(fin_dimJF,H_Mai[[#This Row],[Fin corrigée si nuit]])-MAX(deb_dimJF,H_Mai[[#This Row],[début]])),0)+IF(COUNTIF(JF,H_Mai[[#This Row],[Date]]+1),MAX(0,H_Mai[[#This Row],[Fin corrigée si nuit]]-(1+deb_dimJF)),0))*24</f>
        <v>0</v>
      </c>
      <c r="T47"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8" spans="1:20" x14ac:dyDescent="0.3">
      <c r="A48" s="4"/>
      <c r="B48" s="1"/>
      <c r="C48" s="2"/>
      <c r="D48" s="2"/>
      <c r="E48" s="3"/>
      <c r="F48" s="3"/>
      <c r="G48" s="3"/>
      <c r="H48" s="3"/>
      <c r="I48" s="47">
        <f>0.1*(H_Mai[[#This Row],[Heures de nuit]]+IF(H_Mai[[#This Row],[majoration dim &amp; JF]]="non",0,H_Mai[[#This Row],[heures jour dimanche]]+H_Mai[[#This Row],[heures jour fériés]]))</f>
        <v>0</v>
      </c>
      <c r="J48" s="48">
        <f>(MOD(H_Mai[[#This Row],[Fin]]-H_Mai[[#This Row],[début]],1)-MOD(H_Mai[[#This Row],[PNP Fin]]-H_Mai[[#This Row],[PNP Début]],1))*24</f>
        <v>0</v>
      </c>
      <c r="K48" s="119" t="str">
        <f>IFERROR(VLOOKUP(H_Mai[[#This Row],[Service]],Codes[],4,0),"")</f>
        <v/>
      </c>
      <c r="L48" s="49">
        <f>IF(H_Mai[[#This Row],[PNP Début]]=0,0,IF(H_Mai[[#This Row],[PNP Début]]&lt;H_Mai[[#This Row],[début]],1,0)+H_Mai[[#This Row],[PNP Début]])</f>
        <v>0</v>
      </c>
      <c r="M48" s="50">
        <f>IF(H_Mai[[#This Row],[PNP Fin]]=0,0,IF(H_Mai[[#This Row],[PNP Fin]]&lt;H_Mai[[#This Row],[début]],1,0)+H_Mai[[#This Row],[PNP Fin]])</f>
        <v>0</v>
      </c>
      <c r="N48" s="50">
        <f>IF(H_Mai[[#This Row],[Fin]]&lt;H_Mai[[#This Row],[début]],1,0)+H_Mai[[#This Row],[Fin]]</f>
        <v>0</v>
      </c>
      <c r="O48" s="31">
        <f>IF(H_Mai[[#This Row],[Fin]]&lt;H_Mai[[#This Row],[début]],MAX(0,MIN(H_Mai[[#This Row],[Fin corrigée si nuit]],fin_nuit)-MAX(H_Mai[[#This Row],[début]],deb_nuit))*24,(MAX(deb_nuit,H_Mai[[#This Row],[Fin]])-MAX(deb_nuit,H_Mai[[#This Row],[début]])+MAX(MIN(fin_nuit-1,H_Mai[[#This Row],[Fin]])-MIN(fin_nuit-1,H_Mai[[#This Row],[début]]),0))*24)</f>
        <v>0</v>
      </c>
      <c r="P48" s="51">
        <f>(MAX(0,MIN(H_Mai[[#This Row],[Fin corrigée si nuit]],fin_nuit)-MAX(H_Mai[[#This Row],[début]],deb_nuit))-IF(H_Mai[[#This Row],[PNP Début]]=0,0,MIN(H_Mai[[#This Row],[PNP Fin corrigée]],fin_nuit)-MAX(H_Mai[[#This Row],[PNP Début corrigé]],deb_nuit)))*24</f>
        <v>0</v>
      </c>
      <c r="Q48" s="51">
        <f>(IF(WEEKDAY(H_Mai[[#This Row],[Date]],2)=7,MAX(0,MIN(fin_dimJF,H_Mai[[#This Row],[Fin corrigée si nuit]])-MAX(deb_dimJF,H_Mai[[#This Row],[début]])),0)+IF(WEEKDAY(H_Mai[[#This Row],[Date]],2)=6,MAX(0,H_Mai[[#This Row],[Fin corrigée si nuit]]-(1+deb_dimJF)),0))*24</f>
        <v>0</v>
      </c>
      <c r="R48"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8" s="51">
        <f>(IF(COUNTIF(JF,H_Mai[[#This Row],[Date]]),MAX(0,MIN(fin_dimJF,H_Mai[[#This Row],[Fin corrigée si nuit]])-MAX(deb_dimJF,H_Mai[[#This Row],[début]])),0)+IF(COUNTIF(JF,H_Mai[[#This Row],[Date]]+1),MAX(0,H_Mai[[#This Row],[Fin corrigée si nuit]]-(1+deb_dimJF)),0))*24</f>
        <v>0</v>
      </c>
      <c r="T48"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49" spans="1:20" ht="15" thickBot="1" x14ac:dyDescent="0.35">
      <c r="A49" s="4"/>
      <c r="B49" s="1"/>
      <c r="C49" s="2"/>
      <c r="D49" s="2"/>
      <c r="E49" s="3"/>
      <c r="F49" s="3"/>
      <c r="G49" s="3"/>
      <c r="H49" s="3"/>
      <c r="I49" s="47">
        <f>0.1*(H_Mai[[#This Row],[Heures de nuit]]+IF(H_Mai[[#This Row],[majoration dim &amp; JF]]="non",0,H_Mai[[#This Row],[heures jour dimanche]]+H_Mai[[#This Row],[heures jour fériés]]))</f>
        <v>0</v>
      </c>
      <c r="J49" s="48">
        <f>(MOD(H_Mai[[#This Row],[Fin]]-H_Mai[[#This Row],[début]],1)-MOD(H_Mai[[#This Row],[PNP Fin]]-H_Mai[[#This Row],[PNP Début]],1))*24</f>
        <v>0</v>
      </c>
      <c r="K49" s="119" t="str">
        <f>IFERROR(VLOOKUP(H_Mai[[#This Row],[Service]],Codes[],4,0),"")</f>
        <v/>
      </c>
      <c r="L49" s="49">
        <f>IF(H_Mai[[#This Row],[PNP Début]]=0,0,IF(H_Mai[[#This Row],[PNP Début]]&lt;H_Mai[[#This Row],[début]],1,0)+H_Mai[[#This Row],[PNP Début]])</f>
        <v>0</v>
      </c>
      <c r="M49" s="50">
        <f>IF(H_Mai[[#This Row],[PNP Fin]]=0,0,IF(H_Mai[[#This Row],[PNP Fin]]&lt;H_Mai[[#This Row],[début]],1,0)+H_Mai[[#This Row],[PNP Fin]])</f>
        <v>0</v>
      </c>
      <c r="N49" s="50">
        <f>IF(H_Mai[[#This Row],[Fin]]&lt;H_Mai[[#This Row],[début]],1,0)+H_Mai[[#This Row],[Fin]]</f>
        <v>0</v>
      </c>
      <c r="O49" s="31">
        <f>IF(H_Mai[[#This Row],[Fin]]&lt;H_Mai[[#This Row],[début]],MAX(0,MIN(H_Mai[[#This Row],[Fin corrigée si nuit]],fin_nuit)-MAX(H_Mai[[#This Row],[début]],deb_nuit))*24,(MAX(deb_nuit,H_Mai[[#This Row],[Fin]])-MAX(deb_nuit,H_Mai[[#This Row],[début]])+MAX(MIN(fin_nuit-1,H_Mai[[#This Row],[Fin]])-MIN(fin_nuit-1,H_Mai[[#This Row],[début]]),0))*24)</f>
        <v>0</v>
      </c>
      <c r="P49" s="51">
        <f>(MAX(0,MIN(H_Mai[[#This Row],[Fin corrigée si nuit]],fin_nuit)-MAX(H_Mai[[#This Row],[début]],deb_nuit))-IF(H_Mai[[#This Row],[PNP Début]]=0,0,MIN(H_Mai[[#This Row],[PNP Fin corrigée]],fin_nuit)-MAX(H_Mai[[#This Row],[PNP Début corrigé]],deb_nuit)))*24</f>
        <v>0</v>
      </c>
      <c r="Q49" s="51">
        <f>(IF(WEEKDAY(H_Mai[[#This Row],[Date]],2)=7,MAX(0,MIN(fin_dimJF,H_Mai[[#This Row],[Fin corrigée si nuit]])-MAX(deb_dimJF,H_Mai[[#This Row],[début]])),0)+IF(WEEKDAY(H_Mai[[#This Row],[Date]],2)=6,MAX(0,H_Mai[[#This Row],[Fin corrigée si nuit]]-(1+deb_dimJF)),0))*24</f>
        <v>0</v>
      </c>
      <c r="R49" s="51">
        <f>(IF(WEEKDAY(H_Mai[[#This Row],[Date]],2)=7,MAX(0,MIN(fin_dimJF,H_Mai[[#This Row],[Fin corrigée si nuit]])-MAX(deb_dimJF,H_Mai[[#This Row],[début]])),0)+IF(WEEKDAY(H_Mai[[#This Row],[Date]],2)=6,MAX(0,H_Mai[[#This Row],[Fin corrigée si nuit]]-(1+deb_dimJF)),0))*24-
(IF(WEEKDAY(H_Mai[[#This Row],[Date]],2)=7,MAX(0,MIN(fin_dimJF,H_Mai[[#This Row],[PNP Fin corrigée]])-MAX(deb_dimJF,H_Mai[[#This Row],[PNP Début corrigé]])),0)+IF(WEEKDAY(H_Mai[[#This Row],[Date]],2)=6,MAX(0,H_Mai[[#This Row],[PNP Fin corrigée]]-(1+deb_dimJF)),0))*24</f>
        <v>0</v>
      </c>
      <c r="S49" s="51">
        <f>(IF(COUNTIF(JF,H_Mai[[#This Row],[Date]]),MAX(0,MIN(fin_dimJF,H_Mai[[#This Row],[Fin corrigée si nuit]])-MAX(deb_dimJF,H_Mai[[#This Row],[début]])),0)+IF(COUNTIF(JF,H_Mai[[#This Row],[Date]]+1),MAX(0,H_Mai[[#This Row],[Fin corrigée si nuit]]-(1+deb_dimJF)),0))*24</f>
        <v>0</v>
      </c>
      <c r="T49" s="51">
        <f>(IF(COUNTIF(JF,H_Mai[[#This Row],[Date]]),MAX(0,MIN(fin_dimJF,H_Mai[[#This Row],[Fin corrigée si nuit]])-MAX(deb_dimJF,H_Mai[[#This Row],[début]])),0)+IF(COUNTIF(JF,H_Mai[[#This Row],[Date]]+1),MAX(0,H_Mai[[#This Row],[Fin corrigée si nuit]]-(1+deb_dimJF)),0))*24-
(IF(COUNTIF(JF,H_Mai[[#This Row],[Date]]),MAX(0,MIN(fin_dimJF,H_Mai[[#This Row],[PNP Fin corrigée]])-MAX(deb_dimJF,H_Mai[[#This Row],[PNP Début corrigé]])),0)+IF(COUNTIF(JF,H_Mai[[#This Row],[Date]]+1),MAX(0,H_Mai[[#This Row],[PNP Fin corrigée]]-(1+deb_dimJF)),0))*24</f>
        <v>0</v>
      </c>
    </row>
    <row r="50" spans="1:20" ht="16.2" thickBot="1" x14ac:dyDescent="0.35">
      <c r="A50" s="52"/>
      <c r="B50" s="15"/>
      <c r="C50" s="15"/>
      <c r="D50" s="15"/>
      <c r="E50" s="144" t="s">
        <v>29</v>
      </c>
      <c r="F50" s="145"/>
      <c r="G50" s="145"/>
      <c r="H50" s="146"/>
      <c r="I50" s="53">
        <f>SUM(H_Mai[Majoration])</f>
        <v>0</v>
      </c>
      <c r="J50" s="54">
        <f>SUM(H_Mai[Heures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207" priority="1">
      <formula>$K13="non"</formula>
    </cfRule>
  </conditionalFormatting>
  <dataValidations count="3">
    <dataValidation allowBlank="1" showInputMessage="1" showErrorMessage="1" error="Tapez les heures sous le format_x000a_00:00" sqref="L12:O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K5">
      <formula1>42736</formula1>
    </dataValidation>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8193" r:id="rId4" name="CommandButton1">
          <controlPr defaultSize="0" print="0" autoLine="0" r:id="rId5">
            <anchor moveWithCells="1">
              <from>
                <xdr:col>9</xdr:col>
                <xdr:colOff>472440</xdr:colOff>
                <xdr:row>0</xdr:row>
                <xdr:rowOff>83820</xdr:rowOff>
              </from>
              <to>
                <xdr:col>9</xdr:col>
                <xdr:colOff>1264920</xdr:colOff>
                <xdr:row>3</xdr:row>
                <xdr:rowOff>198120</xdr:rowOff>
              </to>
            </anchor>
          </controlPr>
        </control>
      </mc:Choice>
      <mc:Fallback>
        <control shapeId="8193"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Z60"/>
  <sheetViews>
    <sheetView topLeftCell="A8" zoomScale="80" zoomScaleNormal="80" zoomScalePageLayoutView="40" workbookViewId="0">
      <selection activeCell="X17" sqref="X17"/>
    </sheetView>
  </sheetViews>
  <sheetFormatPr baseColWidth="10" defaultRowHeight="14.4" x14ac:dyDescent="0.3"/>
  <cols>
    <col min="1" max="1" width="20.4414062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5.4414062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Juin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0.1*(H_Juin[[#This Row],[Heures de nuit]]+IF(H_Juin[[#This Row],[majoration dim &amp; JF]]="non",0,H_Juin[[#This Row],[heures jour dimanche]]+H_Juin[[#This Row],[heures jour fériés]]))</f>
        <v>0</v>
      </c>
      <c r="J13" s="29">
        <f>(MOD(H_Juin[[#This Row],[Fin]]-H_Juin[[#This Row],[début]],1)-MOD(H_Juin[[#This Row],[PNP Fin]]-H_Juin[[#This Row],[PNP Début]],1))*24</f>
        <v>0</v>
      </c>
      <c r="K13" s="29" t="str">
        <f>IFERROR(VLOOKUP(H_Juin[[#This Row],[Service]],Codes[],4,0),"")</f>
        <v/>
      </c>
      <c r="L13" s="30">
        <f>IF(H_Juin[[#This Row],[PNP Début]]=0,0,IF(H_Juin[[#This Row],[PNP Début]]&lt;H_Juin[[#This Row],[début]],1,0)+H_Juin[[#This Row],[PNP Début]])</f>
        <v>0</v>
      </c>
      <c r="M13" s="30">
        <f>IF(H_Juin[[#This Row],[PNP Fin]]=0,0,IF(H_Juin[[#This Row],[PNP Fin]]&lt;H_Juin[[#This Row],[début]],1,0)+H_Juin[[#This Row],[PNP Fin]])</f>
        <v>0</v>
      </c>
      <c r="N13" s="30">
        <f>IF(H_Juin[[#This Row],[Fin]]&lt;H_Juin[[#This Row],[début]],1,0)+H_Juin[[#This Row],[Fin]]</f>
        <v>0</v>
      </c>
      <c r="O13" s="31">
        <f>IF(H_Juin[[#This Row],[Fin]]&lt;H_Juin[[#This Row],[début]],MAX(0,MIN(H_Juin[[#This Row],[Fin corrigée si nuit]],fin_nuit)-MAX(H_Juin[[#This Row],[début]],deb_nuit))*24,(MAX(deb_nuit,H_Juin[[#This Row],[Fin]])-MAX(deb_nuit,H_Juin[[#This Row],[début]])+MAX(MIN(fin_nuit-1,H_Juin[[#This Row],[Fin]])-MIN(fin_nuit-1,H_Juin[[#This Row],[début]]),0))*24)</f>
        <v>0</v>
      </c>
      <c r="P13" s="31">
        <f>(MAX(0,MIN(H_Juin[[#This Row],[Fin corrigée si nuit]],fin_nuit)-MAX(H_Juin[[#This Row],[début]],deb_nuit))-IF(H_Juin[[#This Row],[PNP Début]]=0,0,MIN(H_Juin[[#This Row],[PNP Fin corrigée]],fin_nuit)-MAX(H_Juin[[#This Row],[PNP Début corrigé]],deb_nuit)))*24</f>
        <v>0</v>
      </c>
      <c r="Q13" s="31">
        <f>(IF(WEEKDAY(H_Juin[[#This Row],[Date]],2)=7,MAX(0,MIN(fin_dimJF,H_Juin[[#This Row],[Fin corrigée si nuit]])-MAX(deb_dimJF,H_Juin[[#This Row],[début]])),0)+IF(WEEKDAY(H_Juin[[#This Row],[Date]],2)=6,MAX(0,H_Juin[[#This Row],[Fin corrigée si nuit]]-(1+deb_dimJF)),0))*24</f>
        <v>0</v>
      </c>
      <c r="R13" s="3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13" s="32">
        <f>(IF(COUNTIF(JF,H_Juin[[#This Row],[Date]]),MAX(0,MIN(fin_dimJF,H_Juin[[#This Row],[Fin corrigée si nuit]])-MAX(deb_dimJF,H_Juin[[#This Row],[début]])),0)+IF(COUNTIF(JF,H_Juin[[#This Row],[Date]]+1),MAX(0,H_Juin[[#This Row],[Fin corrigée si nuit]]-(1+deb_dimJF)),0))*24</f>
        <v>0</v>
      </c>
      <c r="T13" s="32">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c r="V13" s="124"/>
      <c r="W13" s="124"/>
      <c r="X13" s="124"/>
      <c r="Y13" s="124"/>
      <c r="Z13" s="124"/>
    </row>
    <row r="14" spans="1:26" x14ac:dyDescent="0.3">
      <c r="A14" s="4"/>
      <c r="B14" s="1"/>
      <c r="C14" s="113"/>
      <c r="D14" s="113"/>
      <c r="E14" s="3"/>
      <c r="F14" s="3"/>
      <c r="G14" s="3"/>
      <c r="H14" s="3"/>
      <c r="I14" s="28">
        <f>0.1*(H_Juin[[#This Row],[Heures de nuit]]+IF(H_Juin[[#This Row],[majoration dim &amp; JF]]="non",0,H_Juin[[#This Row],[heures jour dimanche]]+H_Juin[[#This Row],[heures jour fériés]]))</f>
        <v>0</v>
      </c>
      <c r="J14" s="29">
        <f>(MOD(H_Juin[[#This Row],[Fin]]-H_Juin[[#This Row],[début]],1)-MOD(H_Juin[[#This Row],[PNP Fin]]-H_Juin[[#This Row],[PNP Début]],1))*24</f>
        <v>0</v>
      </c>
      <c r="K14" s="29" t="str">
        <f>IFERROR(VLOOKUP(H_Juin[[#This Row],[Service]],Codes[],4,0),"")</f>
        <v/>
      </c>
      <c r="L14" s="30">
        <f>IF(H_Juin[[#This Row],[PNP Début]]=0,0,IF(H_Juin[[#This Row],[PNP Début]]&lt;H_Juin[[#This Row],[début]],1,0)+H_Juin[[#This Row],[PNP Début]])</f>
        <v>0</v>
      </c>
      <c r="M14" s="30">
        <f>IF(H_Juin[[#This Row],[PNP Fin]]=0,0,IF(H_Juin[[#This Row],[PNP Fin]]&lt;H_Juin[[#This Row],[début]],1,0)+H_Juin[[#This Row],[PNP Fin]])</f>
        <v>0</v>
      </c>
      <c r="N14" s="30">
        <f>IF(H_Juin[[#This Row],[Fin]]&lt;H_Juin[[#This Row],[début]],1,0)+H_Juin[[#This Row],[Fin]]</f>
        <v>0</v>
      </c>
      <c r="O14" s="31">
        <f>IF(H_Juin[[#This Row],[Fin]]&lt;H_Juin[[#This Row],[début]],MAX(0,MIN(H_Juin[[#This Row],[Fin corrigée si nuit]],fin_nuit)-MAX(H_Juin[[#This Row],[début]],deb_nuit))*24,(MAX(deb_nuit,H_Juin[[#This Row],[Fin]])-MAX(deb_nuit,H_Juin[[#This Row],[début]])+MAX(MIN(fin_nuit-1,H_Juin[[#This Row],[Fin]])-MIN(fin_nuit-1,H_Juin[[#This Row],[début]]),0))*24)</f>
        <v>0</v>
      </c>
      <c r="P14" s="31">
        <f>(MAX(0,MIN(H_Juin[[#This Row],[Fin corrigée si nuit]],fin_nuit)-MAX(H_Juin[[#This Row],[début]],deb_nuit))-IF(H_Juin[[#This Row],[PNP Début]]=0,0,MIN(H_Juin[[#This Row],[PNP Fin corrigée]],fin_nuit)-MAX(H_Juin[[#This Row],[PNP Début corrigé]],deb_nuit)))*24</f>
        <v>0</v>
      </c>
      <c r="Q14" s="31">
        <f>(IF(WEEKDAY(H_Juin[[#This Row],[Date]],2)=7,MAX(0,MIN(fin_dimJF,H_Juin[[#This Row],[Fin corrigée si nuit]])-MAX(deb_dimJF,H_Juin[[#This Row],[début]])),0)+IF(WEEKDAY(H_Juin[[#This Row],[Date]],2)=6,MAX(0,H_Juin[[#This Row],[Fin corrigée si nuit]]-(1+deb_dimJF)),0))*24</f>
        <v>0</v>
      </c>
      <c r="R14" s="3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14" s="32">
        <f>(IF(COUNTIF(JF,H_Juin[[#This Row],[Date]]),MAX(0,MIN(fin_dimJF,H_Juin[[#This Row],[Fin corrigée si nuit]])-MAX(deb_dimJF,H_Juin[[#This Row],[début]])),0)+IF(COUNTIF(JF,H_Juin[[#This Row],[Date]]+1),MAX(0,H_Juin[[#This Row],[Fin corrigée si nuit]]-(1+deb_dimJF)),0))*24</f>
        <v>0</v>
      </c>
      <c r="T14" s="32">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c r="V14" s="124"/>
      <c r="W14" s="124"/>
      <c r="X14" s="124"/>
      <c r="Y14" s="124"/>
      <c r="Z14" s="124"/>
    </row>
    <row r="15" spans="1:26" x14ac:dyDescent="0.3">
      <c r="A15" s="4"/>
      <c r="B15" s="1"/>
      <c r="C15" s="2"/>
      <c r="D15" s="2"/>
      <c r="E15" s="3"/>
      <c r="F15" s="3"/>
      <c r="G15" s="3"/>
      <c r="H15" s="3"/>
      <c r="I15" s="28">
        <f>0.1*(H_Juin[[#This Row],[Heures de nuit]]+IF(H_Juin[[#This Row],[majoration dim &amp; JF]]="non",0,H_Juin[[#This Row],[heures jour dimanche]]+H_Juin[[#This Row],[heures jour fériés]]))</f>
        <v>0</v>
      </c>
      <c r="J15" s="29">
        <f>(MOD(H_Juin[[#This Row],[Fin]]-H_Juin[[#This Row],[début]],1)-MOD(H_Juin[[#This Row],[PNP Fin]]-H_Juin[[#This Row],[PNP Début]],1))*24</f>
        <v>0</v>
      </c>
      <c r="K15" s="29" t="str">
        <f>IFERROR(VLOOKUP(H_Juin[[#This Row],[Service]],Codes[],4,0),"")</f>
        <v/>
      </c>
      <c r="L15" s="30">
        <f>IF(H_Juin[[#This Row],[PNP Début]]=0,0,IF(H_Juin[[#This Row],[PNP Début]]&lt;H_Juin[[#This Row],[début]],1,0)+H_Juin[[#This Row],[PNP Début]])</f>
        <v>0</v>
      </c>
      <c r="M15" s="30">
        <f>IF(H_Juin[[#This Row],[PNP Fin]]=0,0,IF(H_Juin[[#This Row],[PNP Fin]]&lt;H_Juin[[#This Row],[début]],1,0)+H_Juin[[#This Row],[PNP Fin]])</f>
        <v>0</v>
      </c>
      <c r="N15" s="30">
        <f>IF(H_Juin[[#This Row],[Fin]]&lt;H_Juin[[#This Row],[début]],1,0)+H_Juin[[#This Row],[Fin]]</f>
        <v>0</v>
      </c>
      <c r="O15" s="31">
        <f>IF(H_Juin[[#This Row],[Fin]]&lt;H_Juin[[#This Row],[début]],MAX(0,MIN(H_Juin[[#This Row],[Fin corrigée si nuit]],fin_nuit)-MAX(H_Juin[[#This Row],[début]],deb_nuit))*24,(MAX(deb_nuit,H_Juin[[#This Row],[Fin]])-MAX(deb_nuit,H_Juin[[#This Row],[début]])+MAX(MIN(fin_nuit-1,H_Juin[[#This Row],[Fin]])-MIN(fin_nuit-1,H_Juin[[#This Row],[début]]),0))*24)</f>
        <v>0</v>
      </c>
      <c r="P15" s="31">
        <f>(MAX(0,MIN(H_Juin[[#This Row],[Fin corrigée si nuit]],fin_nuit)-MAX(H_Juin[[#This Row],[début]],deb_nuit))-IF(H_Juin[[#This Row],[PNP Début]]=0,0,MIN(H_Juin[[#This Row],[PNP Fin corrigée]],fin_nuit)-MAX(H_Juin[[#This Row],[PNP Début corrigé]],deb_nuit)))*24</f>
        <v>0</v>
      </c>
      <c r="Q15" s="31">
        <f>(IF(WEEKDAY(H_Juin[[#This Row],[Date]],2)=7,MAX(0,MIN(fin_dimJF,H_Juin[[#This Row],[Fin corrigée si nuit]])-MAX(deb_dimJF,H_Juin[[#This Row],[début]])),0)+IF(WEEKDAY(H_Juin[[#This Row],[Date]],2)=6,MAX(0,H_Juin[[#This Row],[Fin corrigée si nuit]]-(1+deb_dimJF)),0))*24</f>
        <v>0</v>
      </c>
      <c r="R15" s="3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15" s="32">
        <f>(IF(COUNTIF(JF,H_Juin[[#This Row],[Date]]),MAX(0,MIN(fin_dimJF,H_Juin[[#This Row],[Fin corrigée si nuit]])-MAX(deb_dimJF,H_Juin[[#This Row],[début]])),0)+IF(COUNTIF(JF,H_Juin[[#This Row],[Date]]+1),MAX(0,H_Juin[[#This Row],[Fin corrigée si nuit]]-(1+deb_dimJF)),0))*24</f>
        <v>0</v>
      </c>
      <c r="T15" s="32">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0.1*(H_Juin[[#This Row],[Heures de nuit]]+IF(H_Juin[[#This Row],[majoration dim &amp; JF]]="non",0,H_Juin[[#This Row],[heures jour dimanche]]+H_Juin[[#This Row],[heures jour fériés]]))</f>
        <v>0</v>
      </c>
      <c r="J16" s="33">
        <f>(MOD(H_Juin[[#This Row],[Fin]]-H_Juin[[#This Row],[début]],1)-MOD(H_Juin[[#This Row],[PNP Fin]]-H_Juin[[#This Row],[PNP Début]],1))*24</f>
        <v>0</v>
      </c>
      <c r="K16" s="33" t="str">
        <f>IFERROR(VLOOKUP(H_Juin[[#This Row],[Service]],Codes[],4,0),"")</f>
        <v/>
      </c>
      <c r="L16" s="30">
        <f>IF(H_Juin[[#This Row],[PNP Début]]=0,0,IF(H_Juin[[#This Row],[PNP Début]]&lt;H_Juin[[#This Row],[début]],1,0)+H_Juin[[#This Row],[PNP Début]])</f>
        <v>0</v>
      </c>
      <c r="M16" s="30">
        <f>IF(H_Juin[[#This Row],[PNP Fin]]=0,0,IF(H_Juin[[#This Row],[PNP Fin]]&lt;H_Juin[[#This Row],[début]],1,0)+H_Juin[[#This Row],[PNP Fin]])</f>
        <v>0</v>
      </c>
      <c r="N16" s="34">
        <f>IF(H_Juin[[#This Row],[Fin]]&lt;H_Juin[[#This Row],[début]],1,0)+H_Juin[[#This Row],[Fin]]</f>
        <v>0</v>
      </c>
      <c r="O16" s="31">
        <f>IF(H_Juin[[#This Row],[Fin]]&lt;H_Juin[[#This Row],[début]],MAX(0,MIN(H_Juin[[#This Row],[Fin corrigée si nuit]],fin_nuit)-MAX(H_Juin[[#This Row],[début]],deb_nuit))*24,(MAX(deb_nuit,H_Juin[[#This Row],[Fin]])-MAX(deb_nuit,H_Juin[[#This Row],[début]])+MAX(MIN(fin_nuit-1,H_Juin[[#This Row],[Fin]])-MIN(fin_nuit-1,H_Juin[[#This Row],[début]]),0))*24)</f>
        <v>0</v>
      </c>
      <c r="P16" s="35">
        <f>(MAX(0,MIN(H_Juin[[#This Row],[Fin corrigée si nuit]],fin_nuit)-MAX(H_Juin[[#This Row],[début]],deb_nuit))-IF(H_Juin[[#This Row],[PNP Début]]=0,0,MIN(H_Juin[[#This Row],[PNP Fin corrigée]],fin_nuit)-MAX(H_Juin[[#This Row],[PNP Début corrigé]],deb_nuit)))*24</f>
        <v>0</v>
      </c>
      <c r="Q16" s="35">
        <f>(IF(WEEKDAY(H_Juin[[#This Row],[Date]],2)=7,MAX(0,MIN(fin_dimJF,H_Juin[[#This Row],[Fin corrigée si nuit]])-MAX(deb_dimJF,H_Juin[[#This Row],[début]])),0)+IF(WEEKDAY(H_Juin[[#This Row],[Date]],2)=6,MAX(0,H_Juin[[#This Row],[Fin corrigée si nuit]]-(1+deb_dimJF)),0))*24</f>
        <v>0</v>
      </c>
      <c r="R16" s="3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16" s="36">
        <f>(IF(COUNTIF(JF,H_Juin[[#This Row],[Date]]),MAX(0,MIN(fin_dimJF,H_Juin[[#This Row],[Fin corrigée si nuit]])-MAX(deb_dimJF,H_Juin[[#This Row],[début]])),0)+IF(COUNTIF(JF,H_Juin[[#This Row],[Date]]+1),MAX(0,H_Juin[[#This Row],[Fin corrigée si nuit]]-(1+deb_dimJF)),0))*24</f>
        <v>0</v>
      </c>
      <c r="T16" s="36">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c r="V16" s="127" t="s">
        <v>135</v>
      </c>
      <c r="W16" s="128">
        <f>'Mai 18'!Z16</f>
        <v>20.100000000000001</v>
      </c>
      <c r="X16" s="128">
        <f>I50</f>
        <v>0</v>
      </c>
      <c r="Y16" s="128"/>
      <c r="Z16" s="128">
        <f>W16+X16-Y16</f>
        <v>20.100000000000001</v>
      </c>
    </row>
    <row r="17" spans="1:20" x14ac:dyDescent="0.3">
      <c r="A17" s="4"/>
      <c r="B17" s="1"/>
      <c r="C17" s="2"/>
      <c r="D17" s="2"/>
      <c r="E17" s="3"/>
      <c r="F17" s="3"/>
      <c r="G17" s="9"/>
      <c r="H17" s="9"/>
      <c r="I17" s="37">
        <f>0.1*(H_Juin[[#This Row],[Heures de nuit]]+IF(H_Juin[[#This Row],[majoration dim &amp; JF]]="non",0,H_Juin[[#This Row],[heures jour dimanche]]+H_Juin[[#This Row],[heures jour fériés]]))</f>
        <v>0</v>
      </c>
      <c r="J17" s="38">
        <f>(MOD(H_Juin[[#This Row],[Fin]]-H_Juin[[#This Row],[début]],1)-MOD(H_Juin[[#This Row],[PNP Fin]]-H_Juin[[#This Row],[PNP Début]],1))*24</f>
        <v>0</v>
      </c>
      <c r="K17" s="122" t="str">
        <f>IFERROR(VLOOKUP(H_Juin[[#This Row],[Service]],Codes[],4,0),"")</f>
        <v/>
      </c>
      <c r="L17" s="39">
        <f>IF(H_Juin[[#This Row],[PNP Début]]=0,0,IF(H_Juin[[#This Row],[PNP Début]]&lt;H_Juin[[#This Row],[début]],1,0)+H_Juin[[#This Row],[PNP Début]])</f>
        <v>0</v>
      </c>
      <c r="M17" s="40">
        <f>IF(H_Juin[[#This Row],[PNP Fin]]=0,0,IF(H_Juin[[#This Row],[PNP Fin]]&lt;H_Juin[[#This Row],[début]],1,0)+H_Juin[[#This Row],[PNP Fin]])</f>
        <v>0</v>
      </c>
      <c r="N17" s="40">
        <f>IF(H_Juin[[#This Row],[Fin]]&lt;H_Juin[[#This Row],[début]],1,0)+H_Juin[[#This Row],[Fin]]</f>
        <v>0</v>
      </c>
      <c r="O17" s="31">
        <f>IF(H_Juin[[#This Row],[Fin]]&lt;H_Juin[[#This Row],[début]],MAX(0,MIN(H_Juin[[#This Row],[Fin corrigée si nuit]],fin_nuit)-MAX(H_Juin[[#This Row],[début]],deb_nuit))*24,(MAX(deb_nuit,H_Juin[[#This Row],[Fin]])-MAX(deb_nuit,H_Juin[[#This Row],[début]])+MAX(MIN(fin_nuit-1,H_Juin[[#This Row],[Fin]])-MIN(fin_nuit-1,H_Juin[[#This Row],[début]]),0))*24)</f>
        <v>0</v>
      </c>
      <c r="P17" s="41">
        <f>(MAX(0,MIN(H_Juin[[#This Row],[Fin corrigée si nuit]],fin_nuit)-MAX(H_Juin[[#This Row],[début]],deb_nuit))-IF(H_Juin[[#This Row],[PNP Début]]=0,0,MIN(H_Juin[[#This Row],[PNP Fin corrigée]],fin_nuit)-MAX(H_Juin[[#This Row],[PNP Début corrigé]],deb_nuit)))*24</f>
        <v>0</v>
      </c>
      <c r="Q17" s="41">
        <f>(IF(WEEKDAY(H_Juin[[#This Row],[Date]],2)=7,MAX(0,MIN(fin_dimJF,H_Juin[[#This Row],[Fin corrigée si nuit]])-MAX(deb_dimJF,H_Juin[[#This Row],[début]])),0)+IF(WEEKDAY(H_Juin[[#This Row],[Date]],2)=6,MAX(0,H_Juin[[#This Row],[Fin corrigée si nuit]]-(1+deb_dimJF)),0))*24</f>
        <v>0</v>
      </c>
      <c r="R17" s="4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17" s="41">
        <f>(IF(COUNTIF(JF,H_Juin[[#This Row],[Date]]),MAX(0,MIN(fin_dimJF,H_Juin[[#This Row],[Fin corrigée si nuit]])-MAX(deb_dimJF,H_Juin[[#This Row],[début]])),0)+IF(COUNTIF(JF,H_Juin[[#This Row],[Date]]+1),MAX(0,H_Juin[[#This Row],[Fin corrigée si nuit]]-(1+deb_dimJF)),0))*24</f>
        <v>0</v>
      </c>
      <c r="T17" s="4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18" spans="1:20" x14ac:dyDescent="0.3">
      <c r="A18" s="4"/>
      <c r="B18" s="1"/>
      <c r="C18" s="2"/>
      <c r="D18" s="2"/>
      <c r="E18" s="9"/>
      <c r="F18" s="9"/>
      <c r="G18" s="9"/>
      <c r="H18" s="9"/>
      <c r="I18" s="37">
        <f>0.1*(H_Juin[[#This Row],[Heures de nuit]]+IF(H_Juin[[#This Row],[majoration dim &amp; JF]]="non",0,H_Juin[[#This Row],[heures jour dimanche]]+H_Juin[[#This Row],[heures jour fériés]]))</f>
        <v>0</v>
      </c>
      <c r="J18" s="38">
        <f>(MOD(H_Juin[[#This Row],[Fin]]-H_Juin[[#This Row],[début]],1)-MOD(H_Juin[[#This Row],[PNP Fin]]-H_Juin[[#This Row],[PNP Début]],1))*24</f>
        <v>0</v>
      </c>
      <c r="K18" s="122" t="str">
        <f>IFERROR(VLOOKUP(H_Juin[[#This Row],[Service]],Codes[],4,0),"")</f>
        <v/>
      </c>
      <c r="L18" s="39">
        <f>IF(H_Juin[[#This Row],[PNP Début]]=0,0,IF(H_Juin[[#This Row],[PNP Début]]&lt;H_Juin[[#This Row],[début]],1,0)+H_Juin[[#This Row],[PNP Début]])</f>
        <v>0</v>
      </c>
      <c r="M18" s="40">
        <f>IF(H_Juin[[#This Row],[PNP Fin]]=0,0,IF(H_Juin[[#This Row],[PNP Fin]]&lt;H_Juin[[#This Row],[début]],1,0)+H_Juin[[#This Row],[PNP Fin]])</f>
        <v>0</v>
      </c>
      <c r="N18" s="40">
        <f>IF(H_Juin[[#This Row],[Fin]]&lt;H_Juin[[#This Row],[début]],1,0)+H_Juin[[#This Row],[Fin]]</f>
        <v>0</v>
      </c>
      <c r="O18" s="31">
        <f>IF(H_Juin[[#This Row],[Fin]]&lt;H_Juin[[#This Row],[début]],MAX(0,MIN(H_Juin[[#This Row],[Fin corrigée si nuit]],fin_nuit)-MAX(H_Juin[[#This Row],[début]],deb_nuit))*24,(MAX(deb_nuit,H_Juin[[#This Row],[Fin]])-MAX(deb_nuit,H_Juin[[#This Row],[début]])+MAX(MIN(fin_nuit-1,H_Juin[[#This Row],[Fin]])-MIN(fin_nuit-1,H_Juin[[#This Row],[début]]),0))*24)</f>
        <v>0</v>
      </c>
      <c r="P18" s="41">
        <f>(MAX(0,MIN(H_Juin[[#This Row],[Fin corrigée si nuit]],fin_nuit)-MAX(H_Juin[[#This Row],[début]],deb_nuit))-IF(H_Juin[[#This Row],[PNP Début]]=0,0,MIN(H_Juin[[#This Row],[PNP Fin corrigée]],fin_nuit)-MAX(H_Juin[[#This Row],[PNP Début corrigé]],deb_nuit)))*24</f>
        <v>0</v>
      </c>
      <c r="Q18" s="41">
        <f>(IF(WEEKDAY(H_Juin[[#This Row],[Date]],2)=7,MAX(0,MIN(fin_dimJF,H_Juin[[#This Row],[Fin corrigée si nuit]])-MAX(deb_dimJF,H_Juin[[#This Row],[début]])),0)+IF(WEEKDAY(H_Juin[[#This Row],[Date]],2)=6,MAX(0,H_Juin[[#This Row],[Fin corrigée si nuit]]-(1+deb_dimJF)),0))*24</f>
        <v>0</v>
      </c>
      <c r="R18" s="4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18" s="41">
        <f>(IF(COUNTIF(JF,H_Juin[[#This Row],[Date]]),MAX(0,MIN(fin_dimJF,H_Juin[[#This Row],[Fin corrigée si nuit]])-MAX(deb_dimJF,H_Juin[[#This Row],[début]])),0)+IF(COUNTIF(JF,H_Juin[[#This Row],[Date]]+1),MAX(0,H_Juin[[#This Row],[Fin corrigée si nuit]]-(1+deb_dimJF)),0))*24</f>
        <v>0</v>
      </c>
      <c r="T18" s="4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19" spans="1:20" x14ac:dyDescent="0.3">
      <c r="A19" s="4"/>
      <c r="B19" s="1"/>
      <c r="C19" s="2"/>
      <c r="D19" s="2"/>
      <c r="E19" s="3"/>
      <c r="F19" s="3"/>
      <c r="G19" s="9"/>
      <c r="H19" s="9"/>
      <c r="I19" s="37">
        <f>0.1*(H_Juin[[#This Row],[Heures de nuit]]+IF(H_Juin[[#This Row],[majoration dim &amp; JF]]="non",0,H_Juin[[#This Row],[heures jour dimanche]]+H_Juin[[#This Row],[heures jour fériés]]))</f>
        <v>0</v>
      </c>
      <c r="J19" s="38">
        <f>(MOD(H_Juin[[#This Row],[Fin]]-H_Juin[[#This Row],[début]],1)-MOD(H_Juin[[#This Row],[PNP Fin]]-H_Juin[[#This Row],[PNP Début]],1))*24</f>
        <v>0</v>
      </c>
      <c r="K19" s="122" t="str">
        <f>IFERROR(VLOOKUP(H_Juin[[#This Row],[Service]],Codes[],4,0),"")</f>
        <v/>
      </c>
      <c r="L19" s="39">
        <f>IF(H_Juin[[#This Row],[PNP Début]]=0,0,IF(H_Juin[[#This Row],[PNP Début]]&lt;H_Juin[[#This Row],[début]],1,0)+H_Juin[[#This Row],[PNP Début]])</f>
        <v>0</v>
      </c>
      <c r="M19" s="40">
        <f>IF(H_Juin[[#This Row],[PNP Fin]]=0,0,IF(H_Juin[[#This Row],[PNP Fin]]&lt;H_Juin[[#This Row],[début]],1,0)+H_Juin[[#This Row],[PNP Fin]])</f>
        <v>0</v>
      </c>
      <c r="N19" s="40">
        <f>IF(H_Juin[[#This Row],[Fin]]&lt;H_Juin[[#This Row],[début]],1,0)+H_Juin[[#This Row],[Fin]]</f>
        <v>0</v>
      </c>
      <c r="O19" s="31">
        <f>IF(H_Juin[[#This Row],[Fin]]&lt;H_Juin[[#This Row],[début]],MAX(0,MIN(H_Juin[[#This Row],[Fin corrigée si nuit]],fin_nuit)-MAX(H_Juin[[#This Row],[début]],deb_nuit))*24,(MAX(deb_nuit,H_Juin[[#This Row],[Fin]])-MAX(deb_nuit,H_Juin[[#This Row],[début]])+MAX(MIN(fin_nuit-1,H_Juin[[#This Row],[Fin]])-MIN(fin_nuit-1,H_Juin[[#This Row],[début]]),0))*24)</f>
        <v>0</v>
      </c>
      <c r="P19" s="41">
        <f>(MAX(0,MIN(H_Juin[[#This Row],[Fin corrigée si nuit]],fin_nuit)-MAX(H_Juin[[#This Row],[début]],deb_nuit))-IF(H_Juin[[#This Row],[PNP Début]]=0,0,MIN(H_Juin[[#This Row],[PNP Fin corrigée]],fin_nuit)-MAX(H_Juin[[#This Row],[PNP Début corrigé]],deb_nuit)))*24</f>
        <v>0</v>
      </c>
      <c r="Q19" s="41">
        <f>(IF(WEEKDAY(H_Juin[[#This Row],[Date]],2)=7,MAX(0,MIN(fin_dimJF,H_Juin[[#This Row],[Fin corrigée si nuit]])-MAX(deb_dimJF,H_Juin[[#This Row],[début]])),0)+IF(WEEKDAY(H_Juin[[#This Row],[Date]],2)=6,MAX(0,H_Juin[[#This Row],[Fin corrigée si nuit]]-(1+deb_dimJF)),0))*24</f>
        <v>0</v>
      </c>
      <c r="R19" s="4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19" s="41">
        <f>(IF(COUNTIF(JF,H_Juin[[#This Row],[Date]]),MAX(0,MIN(fin_dimJF,H_Juin[[#This Row],[Fin corrigée si nuit]])-MAX(deb_dimJF,H_Juin[[#This Row],[début]])),0)+IF(COUNTIF(JF,H_Juin[[#This Row],[Date]]+1),MAX(0,H_Juin[[#This Row],[Fin corrigée si nuit]]-(1+deb_dimJF)),0))*24</f>
        <v>0</v>
      </c>
      <c r="T19" s="4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0" spans="1:20" x14ac:dyDescent="0.3">
      <c r="A20" s="4"/>
      <c r="B20" s="1"/>
      <c r="C20" s="2"/>
      <c r="D20" s="2"/>
      <c r="E20" s="9"/>
      <c r="F20" s="9"/>
      <c r="G20" s="9"/>
      <c r="H20" s="9"/>
      <c r="I20" s="37">
        <f>0.1*(H_Juin[[#This Row],[Heures de nuit]]+IF(H_Juin[[#This Row],[majoration dim &amp; JF]]="non",0,H_Juin[[#This Row],[heures jour dimanche]]+H_Juin[[#This Row],[heures jour fériés]]))</f>
        <v>0</v>
      </c>
      <c r="J20" s="38">
        <f>(MOD(H_Juin[[#This Row],[Fin]]-H_Juin[[#This Row],[début]],1)-MOD(H_Juin[[#This Row],[PNP Fin]]-H_Juin[[#This Row],[PNP Début]],1))*24</f>
        <v>0</v>
      </c>
      <c r="K20" s="122" t="str">
        <f>IFERROR(VLOOKUP(H_Juin[[#This Row],[Service]],Codes[],4,0),"")</f>
        <v/>
      </c>
      <c r="L20" s="39">
        <f>IF(H_Juin[[#This Row],[PNP Début]]=0,0,IF(H_Juin[[#This Row],[PNP Début]]&lt;H_Juin[[#This Row],[début]],1,0)+H_Juin[[#This Row],[PNP Début]])</f>
        <v>0</v>
      </c>
      <c r="M20" s="40">
        <f>IF(H_Juin[[#This Row],[PNP Fin]]=0,0,IF(H_Juin[[#This Row],[PNP Fin]]&lt;H_Juin[[#This Row],[début]],1,0)+H_Juin[[#This Row],[PNP Fin]])</f>
        <v>0</v>
      </c>
      <c r="N20" s="40">
        <f>IF(H_Juin[[#This Row],[Fin]]&lt;H_Juin[[#This Row],[début]],1,0)+H_Juin[[#This Row],[Fin]]</f>
        <v>0</v>
      </c>
      <c r="O20" s="31">
        <f>IF(H_Juin[[#This Row],[Fin]]&lt;H_Juin[[#This Row],[début]],MAX(0,MIN(H_Juin[[#This Row],[Fin corrigée si nuit]],fin_nuit)-MAX(H_Juin[[#This Row],[début]],deb_nuit))*24,(MAX(deb_nuit,H_Juin[[#This Row],[Fin]])-MAX(deb_nuit,H_Juin[[#This Row],[début]])+MAX(MIN(fin_nuit-1,H_Juin[[#This Row],[Fin]])-MIN(fin_nuit-1,H_Juin[[#This Row],[début]]),0))*24)</f>
        <v>0</v>
      </c>
      <c r="P20" s="41">
        <f>(MAX(0,MIN(H_Juin[[#This Row],[Fin corrigée si nuit]],fin_nuit)-MAX(H_Juin[[#This Row],[début]],deb_nuit))-IF(H_Juin[[#This Row],[PNP Début]]=0,0,MIN(H_Juin[[#This Row],[PNP Fin corrigée]],fin_nuit)-MAX(H_Juin[[#This Row],[PNP Début corrigé]],deb_nuit)))*24</f>
        <v>0</v>
      </c>
      <c r="Q20" s="41">
        <f>(IF(WEEKDAY(H_Juin[[#This Row],[Date]],2)=7,MAX(0,MIN(fin_dimJF,H_Juin[[#This Row],[Fin corrigée si nuit]])-MAX(deb_dimJF,H_Juin[[#This Row],[début]])),0)+IF(WEEKDAY(H_Juin[[#This Row],[Date]],2)=6,MAX(0,H_Juin[[#This Row],[Fin corrigée si nuit]]-(1+deb_dimJF)),0))*24</f>
        <v>0</v>
      </c>
      <c r="R20" s="4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0" s="41">
        <f>(IF(COUNTIF(JF,H_Juin[[#This Row],[Date]]),MAX(0,MIN(fin_dimJF,H_Juin[[#This Row],[Fin corrigée si nuit]])-MAX(deb_dimJF,H_Juin[[#This Row],[début]])),0)+IF(COUNTIF(JF,H_Juin[[#This Row],[Date]]+1),MAX(0,H_Juin[[#This Row],[Fin corrigée si nuit]]-(1+deb_dimJF)),0))*24</f>
        <v>0</v>
      </c>
      <c r="T20" s="4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1" spans="1:20" x14ac:dyDescent="0.3">
      <c r="A21" s="4"/>
      <c r="B21" s="1"/>
      <c r="C21" s="2"/>
      <c r="D21" s="2"/>
      <c r="E21" s="3"/>
      <c r="F21" s="3"/>
      <c r="G21" s="10"/>
      <c r="H21" s="10"/>
      <c r="I21" s="42">
        <f>0.1*(H_Juin[[#This Row],[Heures de nuit]]+IF(H_Juin[[#This Row],[majoration dim &amp; JF]]="non",0,H_Juin[[#This Row],[heures jour dimanche]]+H_Juin[[#This Row],[heures jour fériés]]))</f>
        <v>0</v>
      </c>
      <c r="J21" s="43">
        <f>(MOD(H_Juin[[#This Row],[Fin]]-H_Juin[[#This Row],[début]],1)-MOD(H_Juin[[#This Row],[PNP Fin]]-H_Juin[[#This Row],[PNP Début]],1))*24</f>
        <v>0</v>
      </c>
      <c r="K21" s="123" t="str">
        <f>IFERROR(VLOOKUP(H_Juin[[#This Row],[Service]],Codes[],4,0),"")</f>
        <v/>
      </c>
      <c r="L21" s="44">
        <f>IF(H_Juin[[#This Row],[PNP Début]]=0,0,IF(H_Juin[[#This Row],[PNP Début]]&lt;H_Juin[[#This Row],[début]],1,0)+H_Juin[[#This Row],[PNP Début]])</f>
        <v>0</v>
      </c>
      <c r="M21" s="45">
        <f>IF(H_Juin[[#This Row],[PNP Fin]]=0,0,IF(H_Juin[[#This Row],[PNP Fin]]&lt;H_Juin[[#This Row],[début]],1,0)+H_Juin[[#This Row],[PNP Fin]])</f>
        <v>0</v>
      </c>
      <c r="N21" s="45">
        <f>IF(H_Juin[[#This Row],[Fin]]&lt;H_Juin[[#This Row],[début]],1,0)+H_Juin[[#This Row],[Fin]]</f>
        <v>0</v>
      </c>
      <c r="O21" s="31">
        <f>IF(H_Juin[[#This Row],[Fin]]&lt;H_Juin[[#This Row],[début]],MAX(0,MIN(H_Juin[[#This Row],[Fin corrigée si nuit]],fin_nuit)-MAX(H_Juin[[#This Row],[début]],deb_nuit))*24,(MAX(deb_nuit,H_Juin[[#This Row],[Fin]])-MAX(deb_nuit,H_Juin[[#This Row],[début]])+MAX(MIN(fin_nuit-1,H_Juin[[#This Row],[Fin]])-MIN(fin_nuit-1,H_Juin[[#This Row],[début]]),0))*24)</f>
        <v>0</v>
      </c>
      <c r="P21" s="46">
        <f>(MAX(0,MIN(H_Juin[[#This Row],[Fin corrigée si nuit]],fin_nuit)-MAX(H_Juin[[#This Row],[début]],deb_nuit))-IF(H_Juin[[#This Row],[PNP Début]]=0,0,MIN(H_Juin[[#This Row],[PNP Fin corrigée]],fin_nuit)-MAX(H_Juin[[#This Row],[PNP Début corrigé]],deb_nuit)))*24</f>
        <v>0</v>
      </c>
      <c r="Q21" s="46">
        <f>(IF(WEEKDAY(H_Juin[[#This Row],[Date]],2)=7,MAX(0,MIN(fin_dimJF,H_Juin[[#This Row],[Fin corrigée si nuit]])-MAX(deb_dimJF,H_Juin[[#This Row],[début]])),0)+IF(WEEKDAY(H_Juin[[#This Row],[Date]],2)=6,MAX(0,H_Juin[[#This Row],[Fin corrigée si nuit]]-(1+deb_dimJF)),0))*24</f>
        <v>0</v>
      </c>
      <c r="R21" s="46">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1" s="46">
        <f>(IF(COUNTIF(JF,H_Juin[[#This Row],[Date]]),MAX(0,MIN(fin_dimJF,H_Juin[[#This Row],[Fin corrigée si nuit]])-MAX(deb_dimJF,H_Juin[[#This Row],[début]])),0)+IF(COUNTIF(JF,H_Juin[[#This Row],[Date]]+1),MAX(0,H_Juin[[#This Row],[Fin corrigée si nuit]]-(1+deb_dimJF)),0))*24</f>
        <v>0</v>
      </c>
      <c r="T21" s="46">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2" spans="1:20" x14ac:dyDescent="0.3">
      <c r="A22" s="4"/>
      <c r="B22" s="1"/>
      <c r="C22" s="2"/>
      <c r="D22" s="2"/>
      <c r="E22" s="3"/>
      <c r="F22" s="3"/>
      <c r="G22" s="3"/>
      <c r="H22" s="3"/>
      <c r="I22" s="47">
        <f>0.1*(H_Juin[[#This Row],[Heures de nuit]]+IF(H_Juin[[#This Row],[majoration dim &amp; JF]]="non",0,H_Juin[[#This Row],[heures jour dimanche]]+H_Juin[[#This Row],[heures jour fériés]]))</f>
        <v>0</v>
      </c>
      <c r="J22" s="48">
        <f>(MOD(H_Juin[[#This Row],[Fin]]-H_Juin[[#This Row],[début]],1)-MOD(H_Juin[[#This Row],[PNP Fin]]-H_Juin[[#This Row],[PNP Début]],1))*24</f>
        <v>0</v>
      </c>
      <c r="K22" s="119" t="str">
        <f>IFERROR(VLOOKUP(H_Juin[[#This Row],[Service]],Codes[],4,0),"")</f>
        <v/>
      </c>
      <c r="L22" s="49">
        <f>IF(H_Juin[[#This Row],[PNP Début]]=0,0,IF(H_Juin[[#This Row],[PNP Début]]&lt;H_Juin[[#This Row],[début]],1,0)+H_Juin[[#This Row],[PNP Début]])</f>
        <v>0</v>
      </c>
      <c r="M22" s="50">
        <f>IF(H_Juin[[#This Row],[PNP Fin]]=0,0,IF(H_Juin[[#This Row],[PNP Fin]]&lt;H_Juin[[#This Row],[début]],1,0)+H_Juin[[#This Row],[PNP Fin]])</f>
        <v>0</v>
      </c>
      <c r="N22" s="50">
        <f>IF(H_Juin[[#This Row],[Fin]]&lt;H_Juin[[#This Row],[début]],1,0)+H_Juin[[#This Row],[Fin]]</f>
        <v>0</v>
      </c>
      <c r="O22" s="31">
        <f>IF(H_Juin[[#This Row],[Fin]]&lt;H_Juin[[#This Row],[début]],MAX(0,MIN(H_Juin[[#This Row],[Fin corrigée si nuit]],fin_nuit)-MAX(H_Juin[[#This Row],[début]],deb_nuit))*24,(MAX(deb_nuit,H_Juin[[#This Row],[Fin]])-MAX(deb_nuit,H_Juin[[#This Row],[début]])+MAX(MIN(fin_nuit-1,H_Juin[[#This Row],[Fin]])-MIN(fin_nuit-1,H_Juin[[#This Row],[début]]),0))*24)</f>
        <v>0</v>
      </c>
      <c r="P22" s="51">
        <f>(MAX(0,MIN(H_Juin[[#This Row],[Fin corrigée si nuit]],fin_nuit)-MAX(H_Juin[[#This Row],[début]],deb_nuit))-IF(H_Juin[[#This Row],[PNP Début]]=0,0,MIN(H_Juin[[#This Row],[PNP Fin corrigée]],fin_nuit)-MAX(H_Juin[[#This Row],[PNP Début corrigé]],deb_nuit)))*24</f>
        <v>0</v>
      </c>
      <c r="Q22" s="51">
        <f>(IF(WEEKDAY(H_Juin[[#This Row],[Date]],2)=7,MAX(0,MIN(fin_dimJF,H_Juin[[#This Row],[Fin corrigée si nuit]])-MAX(deb_dimJF,H_Juin[[#This Row],[début]])),0)+IF(WEEKDAY(H_Juin[[#This Row],[Date]],2)=6,MAX(0,H_Juin[[#This Row],[Fin corrigée si nuit]]-(1+deb_dimJF)),0))*24</f>
        <v>0</v>
      </c>
      <c r="R22"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2" s="51">
        <f>(IF(COUNTIF(JF,H_Juin[[#This Row],[Date]]),MAX(0,MIN(fin_dimJF,H_Juin[[#This Row],[Fin corrigée si nuit]])-MAX(deb_dimJF,H_Juin[[#This Row],[début]])),0)+IF(COUNTIF(JF,H_Juin[[#This Row],[Date]]+1),MAX(0,H_Juin[[#This Row],[Fin corrigée si nuit]]-(1+deb_dimJF)),0))*24</f>
        <v>0</v>
      </c>
      <c r="T22"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3" spans="1:20" x14ac:dyDescent="0.3">
      <c r="A23" s="4"/>
      <c r="B23" s="1"/>
      <c r="C23" s="2"/>
      <c r="D23" s="2"/>
      <c r="E23" s="3"/>
      <c r="F23" s="3"/>
      <c r="G23" s="3"/>
      <c r="H23" s="3"/>
      <c r="I23" s="47">
        <f>0.1*(H_Juin[[#This Row],[Heures de nuit]]+IF(H_Juin[[#This Row],[majoration dim &amp; JF]]="non",0,H_Juin[[#This Row],[heures jour dimanche]]+H_Juin[[#This Row],[heures jour fériés]]))</f>
        <v>0</v>
      </c>
      <c r="J23" s="48">
        <f>(MOD(H_Juin[[#This Row],[Fin]]-H_Juin[[#This Row],[début]],1)-MOD(H_Juin[[#This Row],[PNP Fin]]-H_Juin[[#This Row],[PNP Début]],1))*24</f>
        <v>0</v>
      </c>
      <c r="K23" s="119" t="str">
        <f>IFERROR(VLOOKUP(H_Juin[[#This Row],[Service]],Codes[],4,0),"")</f>
        <v/>
      </c>
      <c r="L23" s="49">
        <f>IF(H_Juin[[#This Row],[PNP Début]]=0,0,IF(H_Juin[[#This Row],[PNP Début]]&lt;H_Juin[[#This Row],[début]],1,0)+H_Juin[[#This Row],[PNP Début]])</f>
        <v>0</v>
      </c>
      <c r="M23" s="50">
        <f>IF(H_Juin[[#This Row],[PNP Fin]]=0,0,IF(H_Juin[[#This Row],[PNP Fin]]&lt;H_Juin[[#This Row],[début]],1,0)+H_Juin[[#This Row],[PNP Fin]])</f>
        <v>0</v>
      </c>
      <c r="N23" s="50">
        <f>IF(H_Juin[[#This Row],[Fin]]&lt;H_Juin[[#This Row],[début]],1,0)+H_Juin[[#This Row],[Fin]]</f>
        <v>0</v>
      </c>
      <c r="O23" s="31">
        <f>IF(H_Juin[[#This Row],[Fin]]&lt;H_Juin[[#This Row],[début]],MAX(0,MIN(H_Juin[[#This Row],[Fin corrigée si nuit]],fin_nuit)-MAX(H_Juin[[#This Row],[début]],deb_nuit))*24,(MAX(deb_nuit,H_Juin[[#This Row],[Fin]])-MAX(deb_nuit,H_Juin[[#This Row],[début]])+MAX(MIN(fin_nuit-1,H_Juin[[#This Row],[Fin]])-MIN(fin_nuit-1,H_Juin[[#This Row],[début]]),0))*24)</f>
        <v>0</v>
      </c>
      <c r="P23" s="51">
        <f>(MAX(0,MIN(H_Juin[[#This Row],[Fin corrigée si nuit]],fin_nuit)-MAX(H_Juin[[#This Row],[début]],deb_nuit))-IF(H_Juin[[#This Row],[PNP Début]]=0,0,MIN(H_Juin[[#This Row],[PNP Fin corrigée]],fin_nuit)-MAX(H_Juin[[#This Row],[PNP Début corrigé]],deb_nuit)))*24</f>
        <v>0</v>
      </c>
      <c r="Q23" s="51">
        <f>(IF(WEEKDAY(H_Juin[[#This Row],[Date]],2)=7,MAX(0,MIN(fin_dimJF,H_Juin[[#This Row],[Fin corrigée si nuit]])-MAX(deb_dimJF,H_Juin[[#This Row],[début]])),0)+IF(WEEKDAY(H_Juin[[#This Row],[Date]],2)=6,MAX(0,H_Juin[[#This Row],[Fin corrigée si nuit]]-(1+deb_dimJF)),0))*24</f>
        <v>0</v>
      </c>
      <c r="R23"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3" s="51">
        <f>(IF(COUNTIF(JF,H_Juin[[#This Row],[Date]]),MAX(0,MIN(fin_dimJF,H_Juin[[#This Row],[Fin corrigée si nuit]])-MAX(deb_dimJF,H_Juin[[#This Row],[début]])),0)+IF(COUNTIF(JF,H_Juin[[#This Row],[Date]]+1),MAX(0,H_Juin[[#This Row],[Fin corrigée si nuit]]-(1+deb_dimJF)),0))*24</f>
        <v>0</v>
      </c>
      <c r="T23"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4" spans="1:20" x14ac:dyDescent="0.3">
      <c r="A24" s="4"/>
      <c r="B24" s="1"/>
      <c r="C24" s="2"/>
      <c r="D24" s="2"/>
      <c r="E24" s="3"/>
      <c r="F24" s="3"/>
      <c r="G24" s="3"/>
      <c r="H24" s="3"/>
      <c r="I24" s="47">
        <f>0.1*(H_Juin[[#This Row],[Heures de nuit]]+IF(H_Juin[[#This Row],[majoration dim &amp; JF]]="non",0,H_Juin[[#This Row],[heures jour dimanche]]+H_Juin[[#This Row],[heures jour fériés]]))</f>
        <v>0</v>
      </c>
      <c r="J24" s="48">
        <f>(MOD(H_Juin[[#This Row],[Fin]]-H_Juin[[#This Row],[début]],1)-MOD(H_Juin[[#This Row],[PNP Fin]]-H_Juin[[#This Row],[PNP Début]],1))*24</f>
        <v>0</v>
      </c>
      <c r="K24" s="119" t="str">
        <f>IFERROR(VLOOKUP(H_Juin[[#This Row],[Service]],Codes[],4,0),"")</f>
        <v/>
      </c>
      <c r="L24" s="49">
        <f>IF(H_Juin[[#This Row],[PNP Début]]=0,0,IF(H_Juin[[#This Row],[PNP Début]]&lt;H_Juin[[#This Row],[début]],1,0)+H_Juin[[#This Row],[PNP Début]])</f>
        <v>0</v>
      </c>
      <c r="M24" s="50">
        <f>IF(H_Juin[[#This Row],[PNP Fin]]=0,0,IF(H_Juin[[#This Row],[PNP Fin]]&lt;H_Juin[[#This Row],[début]],1,0)+H_Juin[[#This Row],[PNP Fin]])</f>
        <v>0</v>
      </c>
      <c r="N24" s="50">
        <f>IF(H_Juin[[#This Row],[Fin]]&lt;H_Juin[[#This Row],[début]],1,0)+H_Juin[[#This Row],[Fin]]</f>
        <v>0</v>
      </c>
      <c r="O24" s="31">
        <f>IF(H_Juin[[#This Row],[Fin]]&lt;H_Juin[[#This Row],[début]],MAX(0,MIN(H_Juin[[#This Row],[Fin corrigée si nuit]],fin_nuit)-MAX(H_Juin[[#This Row],[début]],deb_nuit))*24,(MAX(deb_nuit,H_Juin[[#This Row],[Fin]])-MAX(deb_nuit,H_Juin[[#This Row],[début]])+MAX(MIN(fin_nuit-1,H_Juin[[#This Row],[Fin]])-MIN(fin_nuit-1,H_Juin[[#This Row],[début]]),0))*24)</f>
        <v>0</v>
      </c>
      <c r="P24" s="51">
        <f>(MAX(0,MIN(H_Juin[[#This Row],[Fin corrigée si nuit]],fin_nuit)-MAX(H_Juin[[#This Row],[début]],deb_nuit))-IF(H_Juin[[#This Row],[PNP Début]]=0,0,MIN(H_Juin[[#This Row],[PNP Fin corrigée]],fin_nuit)-MAX(H_Juin[[#This Row],[PNP Début corrigé]],deb_nuit)))*24</f>
        <v>0</v>
      </c>
      <c r="Q24" s="51">
        <f>(IF(WEEKDAY(H_Juin[[#This Row],[Date]],2)=7,MAX(0,MIN(fin_dimJF,H_Juin[[#This Row],[Fin corrigée si nuit]])-MAX(deb_dimJF,H_Juin[[#This Row],[début]])),0)+IF(WEEKDAY(H_Juin[[#This Row],[Date]],2)=6,MAX(0,H_Juin[[#This Row],[Fin corrigée si nuit]]-(1+deb_dimJF)),0))*24</f>
        <v>0</v>
      </c>
      <c r="R24"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4" s="51">
        <f>(IF(COUNTIF(JF,H_Juin[[#This Row],[Date]]),MAX(0,MIN(fin_dimJF,H_Juin[[#This Row],[Fin corrigée si nuit]])-MAX(deb_dimJF,H_Juin[[#This Row],[début]])),0)+IF(COUNTIF(JF,H_Juin[[#This Row],[Date]]+1),MAX(0,H_Juin[[#This Row],[Fin corrigée si nuit]]-(1+deb_dimJF)),0))*24</f>
        <v>0</v>
      </c>
      <c r="T24"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5" spans="1:20" x14ac:dyDescent="0.3">
      <c r="A25" s="4"/>
      <c r="B25" s="1"/>
      <c r="C25" s="2"/>
      <c r="D25" s="2"/>
      <c r="E25" s="3"/>
      <c r="F25" s="3"/>
      <c r="G25" s="3"/>
      <c r="H25" s="3"/>
      <c r="I25" s="47">
        <f>0.1*(H_Juin[[#This Row],[Heures de nuit]]+IF(H_Juin[[#This Row],[majoration dim &amp; JF]]="non",0,H_Juin[[#This Row],[heures jour dimanche]]+H_Juin[[#This Row],[heures jour fériés]]))</f>
        <v>0</v>
      </c>
      <c r="J25" s="48">
        <f>(MOD(H_Juin[[#This Row],[Fin]]-H_Juin[[#This Row],[début]],1)-MOD(H_Juin[[#This Row],[PNP Fin]]-H_Juin[[#This Row],[PNP Début]],1))*24</f>
        <v>0</v>
      </c>
      <c r="K25" s="119" t="str">
        <f>IFERROR(VLOOKUP(H_Juin[[#This Row],[Service]],Codes[],4,0),"")</f>
        <v/>
      </c>
      <c r="L25" s="49">
        <f>IF(H_Juin[[#This Row],[PNP Début]]=0,0,IF(H_Juin[[#This Row],[PNP Début]]&lt;H_Juin[[#This Row],[début]],1,0)+H_Juin[[#This Row],[PNP Début]])</f>
        <v>0</v>
      </c>
      <c r="M25" s="50">
        <f>IF(H_Juin[[#This Row],[PNP Fin]]=0,0,IF(H_Juin[[#This Row],[PNP Fin]]&lt;H_Juin[[#This Row],[début]],1,0)+H_Juin[[#This Row],[PNP Fin]])</f>
        <v>0</v>
      </c>
      <c r="N25" s="50">
        <f>IF(H_Juin[[#This Row],[Fin]]&lt;H_Juin[[#This Row],[début]],1,0)+H_Juin[[#This Row],[Fin]]</f>
        <v>0</v>
      </c>
      <c r="O25" s="31">
        <f>IF(H_Juin[[#This Row],[Fin]]&lt;H_Juin[[#This Row],[début]],MAX(0,MIN(H_Juin[[#This Row],[Fin corrigée si nuit]],fin_nuit)-MAX(H_Juin[[#This Row],[début]],deb_nuit))*24,(MAX(deb_nuit,H_Juin[[#This Row],[Fin]])-MAX(deb_nuit,H_Juin[[#This Row],[début]])+MAX(MIN(fin_nuit-1,H_Juin[[#This Row],[Fin]])-MIN(fin_nuit-1,H_Juin[[#This Row],[début]]),0))*24)</f>
        <v>0</v>
      </c>
      <c r="P25" s="51">
        <f>(MAX(0,MIN(H_Juin[[#This Row],[Fin corrigée si nuit]],fin_nuit)-MAX(H_Juin[[#This Row],[début]],deb_nuit))-IF(H_Juin[[#This Row],[PNP Début]]=0,0,MIN(H_Juin[[#This Row],[PNP Fin corrigée]],fin_nuit)-MAX(H_Juin[[#This Row],[PNP Début corrigé]],deb_nuit)))*24</f>
        <v>0</v>
      </c>
      <c r="Q25" s="51">
        <f>(IF(WEEKDAY(H_Juin[[#This Row],[Date]],2)=7,MAX(0,MIN(fin_dimJF,H_Juin[[#This Row],[Fin corrigée si nuit]])-MAX(deb_dimJF,H_Juin[[#This Row],[début]])),0)+IF(WEEKDAY(H_Juin[[#This Row],[Date]],2)=6,MAX(0,H_Juin[[#This Row],[Fin corrigée si nuit]]-(1+deb_dimJF)),0))*24</f>
        <v>0</v>
      </c>
      <c r="R25"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5" s="51">
        <f>(IF(COUNTIF(JF,H_Juin[[#This Row],[Date]]),MAX(0,MIN(fin_dimJF,H_Juin[[#This Row],[Fin corrigée si nuit]])-MAX(deb_dimJF,H_Juin[[#This Row],[début]])),0)+IF(COUNTIF(JF,H_Juin[[#This Row],[Date]]+1),MAX(0,H_Juin[[#This Row],[Fin corrigée si nuit]]-(1+deb_dimJF)),0))*24</f>
        <v>0</v>
      </c>
      <c r="T25"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6" spans="1:20" ht="14.4" customHeight="1" x14ac:dyDescent="0.3">
      <c r="A26" s="4"/>
      <c r="B26" s="1"/>
      <c r="C26" s="2"/>
      <c r="D26" s="2"/>
      <c r="E26" s="3"/>
      <c r="F26" s="3"/>
      <c r="G26" s="3"/>
      <c r="H26" s="3"/>
      <c r="I26" s="47">
        <f>0.1*(H_Juin[[#This Row],[Heures de nuit]]+IF(H_Juin[[#This Row],[majoration dim &amp; JF]]="non",0,H_Juin[[#This Row],[heures jour dimanche]]+H_Juin[[#This Row],[heures jour fériés]]))</f>
        <v>0</v>
      </c>
      <c r="J26" s="48">
        <f>(MOD(H_Juin[[#This Row],[Fin]]-H_Juin[[#This Row],[début]],1)-MOD(H_Juin[[#This Row],[PNP Fin]]-H_Juin[[#This Row],[PNP Début]],1))*24</f>
        <v>0</v>
      </c>
      <c r="K26" s="119" t="str">
        <f>IFERROR(VLOOKUP(H_Juin[[#This Row],[Service]],Codes[],4,0),"")</f>
        <v/>
      </c>
      <c r="L26" s="49">
        <f>IF(H_Juin[[#This Row],[PNP Début]]=0,0,IF(H_Juin[[#This Row],[PNP Début]]&lt;H_Juin[[#This Row],[début]],1,0)+H_Juin[[#This Row],[PNP Début]])</f>
        <v>0</v>
      </c>
      <c r="M26" s="50">
        <f>IF(H_Juin[[#This Row],[PNP Fin]]=0,0,IF(H_Juin[[#This Row],[PNP Fin]]&lt;H_Juin[[#This Row],[début]],1,0)+H_Juin[[#This Row],[PNP Fin]])</f>
        <v>0</v>
      </c>
      <c r="N26" s="50">
        <f>IF(H_Juin[[#This Row],[Fin]]&lt;H_Juin[[#This Row],[début]],1,0)+H_Juin[[#This Row],[Fin]]</f>
        <v>0</v>
      </c>
      <c r="O26" s="31">
        <f>IF(H_Juin[[#This Row],[Fin]]&lt;H_Juin[[#This Row],[début]],MAX(0,MIN(H_Juin[[#This Row],[Fin corrigée si nuit]],fin_nuit)-MAX(H_Juin[[#This Row],[début]],deb_nuit))*24,(MAX(deb_nuit,H_Juin[[#This Row],[Fin]])-MAX(deb_nuit,H_Juin[[#This Row],[début]])+MAX(MIN(fin_nuit-1,H_Juin[[#This Row],[Fin]])-MIN(fin_nuit-1,H_Juin[[#This Row],[début]]),0))*24)</f>
        <v>0</v>
      </c>
      <c r="P26" s="51">
        <f>(MAX(0,MIN(H_Juin[[#This Row],[Fin corrigée si nuit]],fin_nuit)-MAX(H_Juin[[#This Row],[début]],deb_nuit))-IF(H_Juin[[#This Row],[PNP Début]]=0,0,MIN(H_Juin[[#This Row],[PNP Fin corrigée]],fin_nuit)-MAX(H_Juin[[#This Row],[PNP Début corrigé]],deb_nuit)))*24</f>
        <v>0</v>
      </c>
      <c r="Q26" s="51">
        <f>(IF(WEEKDAY(H_Juin[[#This Row],[Date]],2)=7,MAX(0,MIN(fin_dimJF,H_Juin[[#This Row],[Fin corrigée si nuit]])-MAX(deb_dimJF,H_Juin[[#This Row],[début]])),0)+IF(WEEKDAY(H_Juin[[#This Row],[Date]],2)=6,MAX(0,H_Juin[[#This Row],[Fin corrigée si nuit]]-(1+deb_dimJF)),0))*24</f>
        <v>0</v>
      </c>
      <c r="R26"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6" s="51">
        <f>(IF(COUNTIF(JF,H_Juin[[#This Row],[Date]]),MAX(0,MIN(fin_dimJF,H_Juin[[#This Row],[Fin corrigée si nuit]])-MAX(deb_dimJF,H_Juin[[#This Row],[début]])),0)+IF(COUNTIF(JF,H_Juin[[#This Row],[Date]]+1),MAX(0,H_Juin[[#This Row],[Fin corrigée si nuit]]-(1+deb_dimJF)),0))*24</f>
        <v>0</v>
      </c>
      <c r="T26"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7" spans="1:20" x14ac:dyDescent="0.3">
      <c r="A27" s="4"/>
      <c r="B27" s="1"/>
      <c r="C27" s="2"/>
      <c r="D27" s="2"/>
      <c r="E27" s="3"/>
      <c r="F27" s="3"/>
      <c r="G27" s="3"/>
      <c r="H27" s="3"/>
      <c r="I27" s="47">
        <f>0.1*(H_Juin[[#This Row],[Heures de nuit]]+IF(H_Juin[[#This Row],[majoration dim &amp; JF]]="non",0,H_Juin[[#This Row],[heures jour dimanche]]+H_Juin[[#This Row],[heures jour fériés]]))</f>
        <v>0</v>
      </c>
      <c r="J27" s="48">
        <f>(MOD(H_Juin[[#This Row],[Fin]]-H_Juin[[#This Row],[début]],1)-MOD(H_Juin[[#This Row],[PNP Fin]]-H_Juin[[#This Row],[PNP Début]],1))*24</f>
        <v>0</v>
      </c>
      <c r="K27" s="119" t="str">
        <f>IFERROR(VLOOKUP(H_Juin[[#This Row],[Service]],Codes[],4,0),"")</f>
        <v/>
      </c>
      <c r="L27" s="49">
        <f>IF(H_Juin[[#This Row],[PNP Début]]=0,0,IF(H_Juin[[#This Row],[PNP Début]]&lt;H_Juin[[#This Row],[début]],1,0)+H_Juin[[#This Row],[PNP Début]])</f>
        <v>0</v>
      </c>
      <c r="M27" s="50">
        <f>IF(H_Juin[[#This Row],[PNP Fin]]=0,0,IF(H_Juin[[#This Row],[PNP Fin]]&lt;H_Juin[[#This Row],[début]],1,0)+H_Juin[[#This Row],[PNP Fin]])</f>
        <v>0</v>
      </c>
      <c r="N27" s="50">
        <f>IF(H_Juin[[#This Row],[Fin]]&lt;H_Juin[[#This Row],[début]],1,0)+H_Juin[[#This Row],[Fin]]</f>
        <v>0</v>
      </c>
      <c r="O27" s="31">
        <f>IF(H_Juin[[#This Row],[Fin]]&lt;H_Juin[[#This Row],[début]],MAX(0,MIN(H_Juin[[#This Row],[Fin corrigée si nuit]],fin_nuit)-MAX(H_Juin[[#This Row],[début]],deb_nuit))*24,(MAX(deb_nuit,H_Juin[[#This Row],[Fin]])-MAX(deb_nuit,H_Juin[[#This Row],[début]])+MAX(MIN(fin_nuit-1,H_Juin[[#This Row],[Fin]])-MIN(fin_nuit-1,H_Juin[[#This Row],[début]]),0))*24)</f>
        <v>0</v>
      </c>
      <c r="P27" s="51">
        <f>(MAX(0,MIN(H_Juin[[#This Row],[Fin corrigée si nuit]],fin_nuit)-MAX(H_Juin[[#This Row],[début]],deb_nuit))-IF(H_Juin[[#This Row],[PNP Début]]=0,0,MIN(H_Juin[[#This Row],[PNP Fin corrigée]],fin_nuit)-MAX(H_Juin[[#This Row],[PNP Début corrigé]],deb_nuit)))*24</f>
        <v>0</v>
      </c>
      <c r="Q27" s="51">
        <f>(IF(WEEKDAY(H_Juin[[#This Row],[Date]],2)=7,MAX(0,MIN(fin_dimJF,H_Juin[[#This Row],[Fin corrigée si nuit]])-MAX(deb_dimJF,H_Juin[[#This Row],[début]])),0)+IF(WEEKDAY(H_Juin[[#This Row],[Date]],2)=6,MAX(0,H_Juin[[#This Row],[Fin corrigée si nuit]]-(1+deb_dimJF)),0))*24</f>
        <v>0</v>
      </c>
      <c r="R27"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7" s="51">
        <f>(IF(COUNTIF(JF,H_Juin[[#This Row],[Date]]),MAX(0,MIN(fin_dimJF,H_Juin[[#This Row],[Fin corrigée si nuit]])-MAX(deb_dimJF,H_Juin[[#This Row],[début]])),0)+IF(COUNTIF(JF,H_Juin[[#This Row],[Date]]+1),MAX(0,H_Juin[[#This Row],[Fin corrigée si nuit]]-(1+deb_dimJF)),0))*24</f>
        <v>0</v>
      </c>
      <c r="T27"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8" spans="1:20" x14ac:dyDescent="0.3">
      <c r="A28" s="4"/>
      <c r="B28" s="1"/>
      <c r="C28" s="2"/>
      <c r="D28" s="2"/>
      <c r="E28" s="3"/>
      <c r="F28" s="3"/>
      <c r="G28" s="3"/>
      <c r="H28" s="3"/>
      <c r="I28" s="47">
        <f>0.1*(H_Juin[[#This Row],[Heures de nuit]]+IF(H_Juin[[#This Row],[majoration dim &amp; JF]]="non",0,H_Juin[[#This Row],[heures jour dimanche]]+H_Juin[[#This Row],[heures jour fériés]]))</f>
        <v>0</v>
      </c>
      <c r="J28" s="48">
        <f>(MOD(H_Juin[[#This Row],[Fin]]-H_Juin[[#This Row],[début]],1)-MOD(H_Juin[[#This Row],[PNP Fin]]-H_Juin[[#This Row],[PNP Début]],1))*24</f>
        <v>0</v>
      </c>
      <c r="K28" s="119" t="str">
        <f>IFERROR(VLOOKUP(H_Juin[[#This Row],[Service]],Codes[],4,0),"")</f>
        <v/>
      </c>
      <c r="L28" s="49">
        <f>IF(H_Juin[[#This Row],[PNP Début]]=0,0,IF(H_Juin[[#This Row],[PNP Début]]&lt;H_Juin[[#This Row],[début]],1,0)+H_Juin[[#This Row],[PNP Début]])</f>
        <v>0</v>
      </c>
      <c r="M28" s="50">
        <f>IF(H_Juin[[#This Row],[PNP Fin]]=0,0,IF(H_Juin[[#This Row],[PNP Fin]]&lt;H_Juin[[#This Row],[début]],1,0)+H_Juin[[#This Row],[PNP Fin]])</f>
        <v>0</v>
      </c>
      <c r="N28" s="50">
        <f>IF(H_Juin[[#This Row],[Fin]]&lt;H_Juin[[#This Row],[début]],1,0)+H_Juin[[#This Row],[Fin]]</f>
        <v>0</v>
      </c>
      <c r="O28" s="31">
        <f>IF(H_Juin[[#This Row],[Fin]]&lt;H_Juin[[#This Row],[début]],MAX(0,MIN(H_Juin[[#This Row],[Fin corrigée si nuit]],fin_nuit)-MAX(H_Juin[[#This Row],[début]],deb_nuit))*24,(MAX(deb_nuit,H_Juin[[#This Row],[Fin]])-MAX(deb_nuit,H_Juin[[#This Row],[début]])+MAX(MIN(fin_nuit-1,H_Juin[[#This Row],[Fin]])-MIN(fin_nuit-1,H_Juin[[#This Row],[début]]),0))*24)</f>
        <v>0</v>
      </c>
      <c r="P28" s="51">
        <f>(MAX(0,MIN(H_Juin[[#This Row],[Fin corrigée si nuit]],fin_nuit)-MAX(H_Juin[[#This Row],[début]],deb_nuit))-IF(H_Juin[[#This Row],[PNP Début]]=0,0,MIN(H_Juin[[#This Row],[PNP Fin corrigée]],fin_nuit)-MAX(H_Juin[[#This Row],[PNP Début corrigé]],deb_nuit)))*24</f>
        <v>0</v>
      </c>
      <c r="Q28" s="51">
        <f>(IF(WEEKDAY(H_Juin[[#This Row],[Date]],2)=7,MAX(0,MIN(fin_dimJF,H_Juin[[#This Row],[Fin corrigée si nuit]])-MAX(deb_dimJF,H_Juin[[#This Row],[début]])),0)+IF(WEEKDAY(H_Juin[[#This Row],[Date]],2)=6,MAX(0,H_Juin[[#This Row],[Fin corrigée si nuit]]-(1+deb_dimJF)),0))*24</f>
        <v>0</v>
      </c>
      <c r="R28"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8" s="51">
        <f>(IF(COUNTIF(JF,H_Juin[[#This Row],[Date]]),MAX(0,MIN(fin_dimJF,H_Juin[[#This Row],[Fin corrigée si nuit]])-MAX(deb_dimJF,H_Juin[[#This Row],[début]])),0)+IF(COUNTIF(JF,H_Juin[[#This Row],[Date]]+1),MAX(0,H_Juin[[#This Row],[Fin corrigée si nuit]]-(1+deb_dimJF)),0))*24</f>
        <v>0</v>
      </c>
      <c r="T28"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29" spans="1:20" x14ac:dyDescent="0.3">
      <c r="A29" s="4"/>
      <c r="B29" s="1"/>
      <c r="C29" s="2"/>
      <c r="D29" s="2"/>
      <c r="E29" s="3"/>
      <c r="F29" s="3"/>
      <c r="G29" s="3"/>
      <c r="H29" s="3"/>
      <c r="I29" s="47">
        <f>0.1*(H_Juin[[#This Row],[Heures de nuit]]+IF(H_Juin[[#This Row],[majoration dim &amp; JF]]="non",0,H_Juin[[#This Row],[heures jour dimanche]]+H_Juin[[#This Row],[heures jour fériés]]))</f>
        <v>0</v>
      </c>
      <c r="J29" s="48">
        <f>(MOD(H_Juin[[#This Row],[Fin]]-H_Juin[[#This Row],[début]],1)-MOD(H_Juin[[#This Row],[PNP Fin]]-H_Juin[[#This Row],[PNP Début]],1))*24</f>
        <v>0</v>
      </c>
      <c r="K29" s="119" t="str">
        <f>IFERROR(VLOOKUP(H_Juin[[#This Row],[Service]],Codes[],4,0),"")</f>
        <v/>
      </c>
      <c r="L29" s="49">
        <f>IF(H_Juin[[#This Row],[PNP Début]]=0,0,IF(H_Juin[[#This Row],[PNP Début]]&lt;H_Juin[[#This Row],[début]],1,0)+H_Juin[[#This Row],[PNP Début]])</f>
        <v>0</v>
      </c>
      <c r="M29" s="50">
        <f>IF(H_Juin[[#This Row],[PNP Fin]]=0,0,IF(H_Juin[[#This Row],[PNP Fin]]&lt;H_Juin[[#This Row],[début]],1,0)+H_Juin[[#This Row],[PNP Fin]])</f>
        <v>0</v>
      </c>
      <c r="N29" s="50">
        <f>IF(H_Juin[[#This Row],[Fin]]&lt;H_Juin[[#This Row],[début]],1,0)+H_Juin[[#This Row],[Fin]]</f>
        <v>0</v>
      </c>
      <c r="O29" s="31">
        <f>IF(H_Juin[[#This Row],[Fin]]&lt;H_Juin[[#This Row],[début]],MAX(0,MIN(H_Juin[[#This Row],[Fin corrigée si nuit]],fin_nuit)-MAX(H_Juin[[#This Row],[début]],deb_nuit))*24,(MAX(deb_nuit,H_Juin[[#This Row],[Fin]])-MAX(deb_nuit,H_Juin[[#This Row],[début]])+MAX(MIN(fin_nuit-1,H_Juin[[#This Row],[Fin]])-MIN(fin_nuit-1,H_Juin[[#This Row],[début]]),0))*24)</f>
        <v>0</v>
      </c>
      <c r="P29" s="51">
        <f>(MAX(0,MIN(H_Juin[[#This Row],[Fin corrigée si nuit]],fin_nuit)-MAX(H_Juin[[#This Row],[début]],deb_nuit))-IF(H_Juin[[#This Row],[PNP Début]]=0,0,MIN(H_Juin[[#This Row],[PNP Fin corrigée]],fin_nuit)-MAX(H_Juin[[#This Row],[PNP Début corrigé]],deb_nuit)))*24</f>
        <v>0</v>
      </c>
      <c r="Q29" s="51">
        <f>(IF(WEEKDAY(H_Juin[[#This Row],[Date]],2)=7,MAX(0,MIN(fin_dimJF,H_Juin[[#This Row],[Fin corrigée si nuit]])-MAX(deb_dimJF,H_Juin[[#This Row],[début]])),0)+IF(WEEKDAY(H_Juin[[#This Row],[Date]],2)=6,MAX(0,H_Juin[[#This Row],[Fin corrigée si nuit]]-(1+deb_dimJF)),0))*24</f>
        <v>0</v>
      </c>
      <c r="R29"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29" s="51">
        <f>(IF(COUNTIF(JF,H_Juin[[#This Row],[Date]]),MAX(0,MIN(fin_dimJF,H_Juin[[#This Row],[Fin corrigée si nuit]])-MAX(deb_dimJF,H_Juin[[#This Row],[début]])),0)+IF(COUNTIF(JF,H_Juin[[#This Row],[Date]]+1),MAX(0,H_Juin[[#This Row],[Fin corrigée si nuit]]-(1+deb_dimJF)),0))*24</f>
        <v>0</v>
      </c>
      <c r="T29"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0" spans="1:20" x14ac:dyDescent="0.3">
      <c r="A30" s="4"/>
      <c r="B30" s="1"/>
      <c r="C30" s="2"/>
      <c r="D30" s="2"/>
      <c r="E30" s="3"/>
      <c r="F30" s="3"/>
      <c r="G30" s="3"/>
      <c r="H30" s="3"/>
      <c r="I30" s="47">
        <f>0.1*(H_Juin[[#This Row],[Heures de nuit]]+IF(H_Juin[[#This Row],[majoration dim &amp; JF]]="non",0,H_Juin[[#This Row],[heures jour dimanche]]+H_Juin[[#This Row],[heures jour fériés]]))</f>
        <v>0</v>
      </c>
      <c r="J30" s="48">
        <f>(MOD(H_Juin[[#This Row],[Fin]]-H_Juin[[#This Row],[début]],1)-MOD(H_Juin[[#This Row],[PNP Fin]]-H_Juin[[#This Row],[PNP Début]],1))*24</f>
        <v>0</v>
      </c>
      <c r="K30" s="119" t="str">
        <f>IFERROR(VLOOKUP(H_Juin[[#This Row],[Service]],Codes[],4,0),"")</f>
        <v/>
      </c>
      <c r="L30" s="49">
        <f>IF(H_Juin[[#This Row],[PNP Début]]=0,0,IF(H_Juin[[#This Row],[PNP Début]]&lt;H_Juin[[#This Row],[début]],1,0)+H_Juin[[#This Row],[PNP Début]])</f>
        <v>0</v>
      </c>
      <c r="M30" s="50">
        <f>IF(H_Juin[[#This Row],[PNP Fin]]=0,0,IF(H_Juin[[#This Row],[PNP Fin]]&lt;H_Juin[[#This Row],[début]],1,0)+H_Juin[[#This Row],[PNP Fin]])</f>
        <v>0</v>
      </c>
      <c r="N30" s="50">
        <f>IF(H_Juin[[#This Row],[Fin]]&lt;H_Juin[[#This Row],[début]],1,0)+H_Juin[[#This Row],[Fin]]</f>
        <v>0</v>
      </c>
      <c r="O30" s="31">
        <f>IF(H_Juin[[#This Row],[Fin]]&lt;H_Juin[[#This Row],[début]],MAX(0,MIN(H_Juin[[#This Row],[Fin corrigée si nuit]],fin_nuit)-MAX(H_Juin[[#This Row],[début]],deb_nuit))*24,(MAX(deb_nuit,H_Juin[[#This Row],[Fin]])-MAX(deb_nuit,H_Juin[[#This Row],[début]])+MAX(MIN(fin_nuit-1,H_Juin[[#This Row],[Fin]])-MIN(fin_nuit-1,H_Juin[[#This Row],[début]]),0))*24)</f>
        <v>0</v>
      </c>
      <c r="P30" s="51">
        <f>(MAX(0,MIN(H_Juin[[#This Row],[Fin corrigée si nuit]],fin_nuit)-MAX(H_Juin[[#This Row],[début]],deb_nuit))-IF(H_Juin[[#This Row],[PNP Début]]=0,0,MIN(H_Juin[[#This Row],[PNP Fin corrigée]],fin_nuit)-MAX(H_Juin[[#This Row],[PNP Début corrigé]],deb_nuit)))*24</f>
        <v>0</v>
      </c>
      <c r="Q30" s="51">
        <f>(IF(WEEKDAY(H_Juin[[#This Row],[Date]],2)=7,MAX(0,MIN(fin_dimJF,H_Juin[[#This Row],[Fin corrigée si nuit]])-MAX(deb_dimJF,H_Juin[[#This Row],[début]])),0)+IF(WEEKDAY(H_Juin[[#This Row],[Date]],2)=6,MAX(0,H_Juin[[#This Row],[Fin corrigée si nuit]]-(1+deb_dimJF)),0))*24</f>
        <v>0</v>
      </c>
      <c r="R30"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0" s="51">
        <f>(IF(COUNTIF(JF,H_Juin[[#This Row],[Date]]),MAX(0,MIN(fin_dimJF,H_Juin[[#This Row],[Fin corrigée si nuit]])-MAX(deb_dimJF,H_Juin[[#This Row],[début]])),0)+IF(COUNTIF(JF,H_Juin[[#This Row],[Date]]+1),MAX(0,H_Juin[[#This Row],[Fin corrigée si nuit]]-(1+deb_dimJF)),0))*24</f>
        <v>0</v>
      </c>
      <c r="T30"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1" spans="1:20" x14ac:dyDescent="0.3">
      <c r="A31" s="4"/>
      <c r="B31" s="1"/>
      <c r="C31" s="2"/>
      <c r="D31" s="2"/>
      <c r="E31" s="3"/>
      <c r="F31" s="3"/>
      <c r="G31" s="3"/>
      <c r="H31" s="3"/>
      <c r="I31" s="47">
        <f>0.1*(H_Juin[[#This Row],[Heures de nuit]]+IF(H_Juin[[#This Row],[majoration dim &amp; JF]]="non",0,H_Juin[[#This Row],[heures jour dimanche]]+H_Juin[[#This Row],[heures jour fériés]]))</f>
        <v>0</v>
      </c>
      <c r="J31" s="48">
        <f>(MOD(H_Juin[[#This Row],[Fin]]-H_Juin[[#This Row],[début]],1)-MOD(H_Juin[[#This Row],[PNP Fin]]-H_Juin[[#This Row],[PNP Début]],1))*24</f>
        <v>0</v>
      </c>
      <c r="K31" s="119" t="str">
        <f>IFERROR(VLOOKUP(H_Juin[[#This Row],[Service]],Codes[],4,0),"")</f>
        <v/>
      </c>
      <c r="L31" s="49">
        <f>IF(H_Juin[[#This Row],[PNP Début]]=0,0,IF(H_Juin[[#This Row],[PNP Début]]&lt;H_Juin[[#This Row],[début]],1,0)+H_Juin[[#This Row],[PNP Début]])</f>
        <v>0</v>
      </c>
      <c r="M31" s="50">
        <f>IF(H_Juin[[#This Row],[PNP Fin]]=0,0,IF(H_Juin[[#This Row],[PNP Fin]]&lt;H_Juin[[#This Row],[début]],1,0)+H_Juin[[#This Row],[PNP Fin]])</f>
        <v>0</v>
      </c>
      <c r="N31" s="50">
        <f>IF(H_Juin[[#This Row],[Fin]]&lt;H_Juin[[#This Row],[début]],1,0)+H_Juin[[#This Row],[Fin]]</f>
        <v>0</v>
      </c>
      <c r="O31" s="31">
        <f>IF(H_Juin[[#This Row],[Fin]]&lt;H_Juin[[#This Row],[début]],MAX(0,MIN(H_Juin[[#This Row],[Fin corrigée si nuit]],fin_nuit)-MAX(H_Juin[[#This Row],[début]],deb_nuit))*24,(MAX(deb_nuit,H_Juin[[#This Row],[Fin]])-MAX(deb_nuit,H_Juin[[#This Row],[début]])+MAX(MIN(fin_nuit-1,H_Juin[[#This Row],[Fin]])-MIN(fin_nuit-1,H_Juin[[#This Row],[début]]),0))*24)</f>
        <v>0</v>
      </c>
      <c r="P31" s="51">
        <f>(MAX(0,MIN(H_Juin[[#This Row],[Fin corrigée si nuit]],fin_nuit)-MAX(H_Juin[[#This Row],[début]],deb_nuit))-IF(H_Juin[[#This Row],[PNP Début]]=0,0,MIN(H_Juin[[#This Row],[PNP Fin corrigée]],fin_nuit)-MAX(H_Juin[[#This Row],[PNP Début corrigé]],deb_nuit)))*24</f>
        <v>0</v>
      </c>
      <c r="Q31" s="51">
        <f>(IF(WEEKDAY(H_Juin[[#This Row],[Date]],2)=7,MAX(0,MIN(fin_dimJF,H_Juin[[#This Row],[Fin corrigée si nuit]])-MAX(deb_dimJF,H_Juin[[#This Row],[début]])),0)+IF(WEEKDAY(H_Juin[[#This Row],[Date]],2)=6,MAX(0,H_Juin[[#This Row],[Fin corrigée si nuit]]-(1+deb_dimJF)),0))*24</f>
        <v>0</v>
      </c>
      <c r="R31"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1" s="51">
        <f>(IF(COUNTIF(JF,H_Juin[[#This Row],[Date]]),MAX(0,MIN(fin_dimJF,H_Juin[[#This Row],[Fin corrigée si nuit]])-MAX(deb_dimJF,H_Juin[[#This Row],[début]])),0)+IF(COUNTIF(JF,H_Juin[[#This Row],[Date]]+1),MAX(0,H_Juin[[#This Row],[Fin corrigée si nuit]]-(1+deb_dimJF)),0))*24</f>
        <v>0</v>
      </c>
      <c r="T31"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2" spans="1:20" ht="14.55" customHeight="1" x14ac:dyDescent="0.3">
      <c r="A32" s="4"/>
      <c r="B32" s="1"/>
      <c r="C32" s="2"/>
      <c r="D32" s="2"/>
      <c r="E32" s="3"/>
      <c r="F32" s="3"/>
      <c r="G32" s="3"/>
      <c r="H32" s="3"/>
      <c r="I32" s="47">
        <f>0.1*(H_Juin[[#This Row],[Heures de nuit]]+IF(H_Juin[[#This Row],[majoration dim &amp; JF]]="non",0,H_Juin[[#This Row],[heures jour dimanche]]+H_Juin[[#This Row],[heures jour fériés]]))</f>
        <v>0</v>
      </c>
      <c r="J32" s="48">
        <f>(MOD(H_Juin[[#This Row],[Fin]]-H_Juin[[#This Row],[début]],1)-MOD(H_Juin[[#This Row],[PNP Fin]]-H_Juin[[#This Row],[PNP Début]],1))*24</f>
        <v>0</v>
      </c>
      <c r="K32" s="119" t="str">
        <f>IFERROR(VLOOKUP(H_Juin[[#This Row],[Service]],Codes[],4,0),"")</f>
        <v/>
      </c>
      <c r="L32" s="49">
        <f>IF(H_Juin[[#This Row],[PNP Début]]=0,0,IF(H_Juin[[#This Row],[PNP Début]]&lt;H_Juin[[#This Row],[début]],1,0)+H_Juin[[#This Row],[PNP Début]])</f>
        <v>0</v>
      </c>
      <c r="M32" s="50">
        <f>IF(H_Juin[[#This Row],[PNP Fin]]=0,0,IF(H_Juin[[#This Row],[PNP Fin]]&lt;H_Juin[[#This Row],[début]],1,0)+H_Juin[[#This Row],[PNP Fin]])</f>
        <v>0</v>
      </c>
      <c r="N32" s="50">
        <f>IF(H_Juin[[#This Row],[Fin]]&lt;H_Juin[[#This Row],[début]],1,0)+H_Juin[[#This Row],[Fin]]</f>
        <v>0</v>
      </c>
      <c r="O32" s="31">
        <f>IF(H_Juin[[#This Row],[Fin]]&lt;H_Juin[[#This Row],[début]],MAX(0,MIN(H_Juin[[#This Row],[Fin corrigée si nuit]],fin_nuit)-MAX(H_Juin[[#This Row],[début]],deb_nuit))*24,(MAX(deb_nuit,H_Juin[[#This Row],[Fin]])-MAX(deb_nuit,H_Juin[[#This Row],[début]])+MAX(MIN(fin_nuit-1,H_Juin[[#This Row],[Fin]])-MIN(fin_nuit-1,H_Juin[[#This Row],[début]]),0))*24)</f>
        <v>0</v>
      </c>
      <c r="P32" s="51">
        <f>(MAX(0,MIN(H_Juin[[#This Row],[Fin corrigée si nuit]],fin_nuit)-MAX(H_Juin[[#This Row],[début]],deb_nuit))-IF(H_Juin[[#This Row],[PNP Début]]=0,0,MIN(H_Juin[[#This Row],[PNP Fin corrigée]],fin_nuit)-MAX(H_Juin[[#This Row],[PNP Début corrigé]],deb_nuit)))*24</f>
        <v>0</v>
      </c>
      <c r="Q32" s="51">
        <f>(IF(WEEKDAY(H_Juin[[#This Row],[Date]],2)=7,MAX(0,MIN(fin_dimJF,H_Juin[[#This Row],[Fin corrigée si nuit]])-MAX(deb_dimJF,H_Juin[[#This Row],[début]])),0)+IF(WEEKDAY(H_Juin[[#This Row],[Date]],2)=6,MAX(0,H_Juin[[#This Row],[Fin corrigée si nuit]]-(1+deb_dimJF)),0))*24</f>
        <v>0</v>
      </c>
      <c r="R32"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2" s="51">
        <f>(IF(COUNTIF(JF,H_Juin[[#This Row],[Date]]),MAX(0,MIN(fin_dimJF,H_Juin[[#This Row],[Fin corrigée si nuit]])-MAX(deb_dimJF,H_Juin[[#This Row],[début]])),0)+IF(COUNTIF(JF,H_Juin[[#This Row],[Date]]+1),MAX(0,H_Juin[[#This Row],[Fin corrigée si nuit]]-(1+deb_dimJF)),0))*24</f>
        <v>0</v>
      </c>
      <c r="T32"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3" spans="1:20" x14ac:dyDescent="0.3">
      <c r="A33" s="4"/>
      <c r="B33" s="1"/>
      <c r="C33" s="2"/>
      <c r="D33" s="2"/>
      <c r="E33" s="3"/>
      <c r="F33" s="3"/>
      <c r="G33" s="3"/>
      <c r="H33" s="3"/>
      <c r="I33" s="47">
        <f>0.1*(H_Juin[[#This Row],[Heures de nuit]]+IF(H_Juin[[#This Row],[majoration dim &amp; JF]]="non",0,H_Juin[[#This Row],[heures jour dimanche]]+H_Juin[[#This Row],[heures jour fériés]]))</f>
        <v>0</v>
      </c>
      <c r="J33" s="48">
        <f>(MOD(H_Juin[[#This Row],[Fin]]-H_Juin[[#This Row],[début]],1)-MOD(H_Juin[[#This Row],[PNP Fin]]-H_Juin[[#This Row],[PNP Début]],1))*24</f>
        <v>0</v>
      </c>
      <c r="K33" s="119" t="str">
        <f>IFERROR(VLOOKUP(H_Juin[[#This Row],[Service]],Codes[],4,0),"")</f>
        <v/>
      </c>
      <c r="L33" s="49">
        <f>IF(H_Juin[[#This Row],[PNP Début]]=0,0,IF(H_Juin[[#This Row],[PNP Début]]&lt;H_Juin[[#This Row],[début]],1,0)+H_Juin[[#This Row],[PNP Début]])</f>
        <v>0</v>
      </c>
      <c r="M33" s="50">
        <f>IF(H_Juin[[#This Row],[PNP Fin]]=0,0,IF(H_Juin[[#This Row],[PNP Fin]]&lt;H_Juin[[#This Row],[début]],1,0)+H_Juin[[#This Row],[PNP Fin]])</f>
        <v>0</v>
      </c>
      <c r="N33" s="50">
        <f>IF(H_Juin[[#This Row],[Fin]]&lt;H_Juin[[#This Row],[début]],1,0)+H_Juin[[#This Row],[Fin]]</f>
        <v>0</v>
      </c>
      <c r="O33" s="31">
        <f>IF(H_Juin[[#This Row],[Fin]]&lt;H_Juin[[#This Row],[début]],MAX(0,MIN(H_Juin[[#This Row],[Fin corrigée si nuit]],fin_nuit)-MAX(H_Juin[[#This Row],[début]],deb_nuit))*24,(MAX(deb_nuit,H_Juin[[#This Row],[Fin]])-MAX(deb_nuit,H_Juin[[#This Row],[début]])+MAX(MIN(fin_nuit-1,H_Juin[[#This Row],[Fin]])-MIN(fin_nuit-1,H_Juin[[#This Row],[début]]),0))*24)</f>
        <v>0</v>
      </c>
      <c r="P33" s="51">
        <f>(MAX(0,MIN(H_Juin[[#This Row],[Fin corrigée si nuit]],fin_nuit)-MAX(H_Juin[[#This Row],[début]],deb_nuit))-IF(H_Juin[[#This Row],[PNP Début]]=0,0,MIN(H_Juin[[#This Row],[PNP Fin corrigée]],fin_nuit)-MAX(H_Juin[[#This Row],[PNP Début corrigé]],deb_nuit)))*24</f>
        <v>0</v>
      </c>
      <c r="Q33" s="51">
        <f>(IF(WEEKDAY(H_Juin[[#This Row],[Date]],2)=7,MAX(0,MIN(fin_dimJF,H_Juin[[#This Row],[Fin corrigée si nuit]])-MAX(deb_dimJF,H_Juin[[#This Row],[début]])),0)+IF(WEEKDAY(H_Juin[[#This Row],[Date]],2)=6,MAX(0,H_Juin[[#This Row],[Fin corrigée si nuit]]-(1+deb_dimJF)),0))*24</f>
        <v>0</v>
      </c>
      <c r="R33"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3" s="51">
        <f>(IF(COUNTIF(JF,H_Juin[[#This Row],[Date]]),MAX(0,MIN(fin_dimJF,H_Juin[[#This Row],[Fin corrigée si nuit]])-MAX(deb_dimJF,H_Juin[[#This Row],[début]])),0)+IF(COUNTIF(JF,H_Juin[[#This Row],[Date]]+1),MAX(0,H_Juin[[#This Row],[Fin corrigée si nuit]]-(1+deb_dimJF)),0))*24</f>
        <v>0</v>
      </c>
      <c r="T33"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4" spans="1:20" x14ac:dyDescent="0.3">
      <c r="A34" s="4"/>
      <c r="B34" s="1"/>
      <c r="C34" s="2"/>
      <c r="D34" s="2"/>
      <c r="E34" s="3"/>
      <c r="F34" s="3"/>
      <c r="G34" s="3"/>
      <c r="H34" s="3"/>
      <c r="I34" s="47">
        <f>0.1*(H_Juin[[#This Row],[Heures de nuit]]+IF(H_Juin[[#This Row],[majoration dim &amp; JF]]="non",0,H_Juin[[#This Row],[heures jour dimanche]]+H_Juin[[#This Row],[heures jour fériés]]))</f>
        <v>0</v>
      </c>
      <c r="J34" s="48">
        <f>(MOD(H_Juin[[#This Row],[Fin]]-H_Juin[[#This Row],[début]],1)-MOD(H_Juin[[#This Row],[PNP Fin]]-H_Juin[[#This Row],[PNP Début]],1))*24</f>
        <v>0</v>
      </c>
      <c r="K34" s="119" t="str">
        <f>IFERROR(VLOOKUP(H_Juin[[#This Row],[Service]],Codes[],4,0),"")</f>
        <v/>
      </c>
      <c r="L34" s="49">
        <f>IF(H_Juin[[#This Row],[PNP Début]]=0,0,IF(H_Juin[[#This Row],[PNP Début]]&lt;H_Juin[[#This Row],[début]],1,0)+H_Juin[[#This Row],[PNP Début]])</f>
        <v>0</v>
      </c>
      <c r="M34" s="50">
        <f>IF(H_Juin[[#This Row],[PNP Fin]]=0,0,IF(H_Juin[[#This Row],[PNP Fin]]&lt;H_Juin[[#This Row],[début]],1,0)+H_Juin[[#This Row],[PNP Fin]])</f>
        <v>0</v>
      </c>
      <c r="N34" s="50">
        <f>IF(H_Juin[[#This Row],[Fin]]&lt;H_Juin[[#This Row],[début]],1,0)+H_Juin[[#This Row],[Fin]]</f>
        <v>0</v>
      </c>
      <c r="O34" s="31">
        <f>IF(H_Juin[[#This Row],[Fin]]&lt;H_Juin[[#This Row],[début]],MAX(0,MIN(H_Juin[[#This Row],[Fin corrigée si nuit]],fin_nuit)-MAX(H_Juin[[#This Row],[début]],deb_nuit))*24,(MAX(deb_nuit,H_Juin[[#This Row],[Fin]])-MAX(deb_nuit,H_Juin[[#This Row],[début]])+MAX(MIN(fin_nuit-1,H_Juin[[#This Row],[Fin]])-MIN(fin_nuit-1,H_Juin[[#This Row],[début]]),0))*24)</f>
        <v>0</v>
      </c>
      <c r="P34" s="51">
        <f>(MAX(0,MIN(H_Juin[[#This Row],[Fin corrigée si nuit]],fin_nuit)-MAX(H_Juin[[#This Row],[début]],deb_nuit))-IF(H_Juin[[#This Row],[PNP Début]]=0,0,MIN(H_Juin[[#This Row],[PNP Fin corrigée]],fin_nuit)-MAX(H_Juin[[#This Row],[PNP Début corrigé]],deb_nuit)))*24</f>
        <v>0</v>
      </c>
      <c r="Q34" s="51">
        <f>(IF(WEEKDAY(H_Juin[[#This Row],[Date]],2)=7,MAX(0,MIN(fin_dimJF,H_Juin[[#This Row],[Fin corrigée si nuit]])-MAX(deb_dimJF,H_Juin[[#This Row],[début]])),0)+IF(WEEKDAY(H_Juin[[#This Row],[Date]],2)=6,MAX(0,H_Juin[[#This Row],[Fin corrigée si nuit]]-(1+deb_dimJF)),0))*24</f>
        <v>0</v>
      </c>
      <c r="R34"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4" s="51">
        <f>(IF(COUNTIF(JF,H_Juin[[#This Row],[Date]]),MAX(0,MIN(fin_dimJF,H_Juin[[#This Row],[Fin corrigée si nuit]])-MAX(deb_dimJF,H_Juin[[#This Row],[début]])),0)+IF(COUNTIF(JF,H_Juin[[#This Row],[Date]]+1),MAX(0,H_Juin[[#This Row],[Fin corrigée si nuit]]-(1+deb_dimJF)),0))*24</f>
        <v>0</v>
      </c>
      <c r="T34"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5" spans="1:20" x14ac:dyDescent="0.3">
      <c r="A35" s="4"/>
      <c r="B35" s="1"/>
      <c r="C35" s="2"/>
      <c r="D35" s="2"/>
      <c r="E35" s="3"/>
      <c r="F35" s="3"/>
      <c r="G35" s="3"/>
      <c r="H35" s="3"/>
      <c r="I35" s="47">
        <f>0.1*(H_Juin[[#This Row],[Heures de nuit]]+IF(H_Juin[[#This Row],[majoration dim &amp; JF]]="non",0,H_Juin[[#This Row],[heures jour dimanche]]+H_Juin[[#This Row],[heures jour fériés]]))</f>
        <v>0</v>
      </c>
      <c r="J35" s="48">
        <f>(MOD(H_Juin[[#This Row],[Fin]]-H_Juin[[#This Row],[début]],1)-MOD(H_Juin[[#This Row],[PNP Fin]]-H_Juin[[#This Row],[PNP Début]],1))*24</f>
        <v>0</v>
      </c>
      <c r="K35" s="119" t="str">
        <f>IFERROR(VLOOKUP(H_Juin[[#This Row],[Service]],Codes[],4,0),"")</f>
        <v/>
      </c>
      <c r="L35" s="49">
        <f>IF(H_Juin[[#This Row],[PNP Début]]=0,0,IF(H_Juin[[#This Row],[PNP Début]]&lt;H_Juin[[#This Row],[début]],1,0)+H_Juin[[#This Row],[PNP Début]])</f>
        <v>0</v>
      </c>
      <c r="M35" s="50">
        <f>IF(H_Juin[[#This Row],[PNP Fin]]=0,0,IF(H_Juin[[#This Row],[PNP Fin]]&lt;H_Juin[[#This Row],[début]],1,0)+H_Juin[[#This Row],[PNP Fin]])</f>
        <v>0</v>
      </c>
      <c r="N35" s="50">
        <f>IF(H_Juin[[#This Row],[Fin]]&lt;H_Juin[[#This Row],[début]],1,0)+H_Juin[[#This Row],[Fin]]</f>
        <v>0</v>
      </c>
      <c r="O35" s="31">
        <f>IF(H_Juin[[#This Row],[Fin]]&lt;H_Juin[[#This Row],[début]],MAX(0,MIN(H_Juin[[#This Row],[Fin corrigée si nuit]],fin_nuit)-MAX(H_Juin[[#This Row],[début]],deb_nuit))*24,(MAX(deb_nuit,H_Juin[[#This Row],[Fin]])-MAX(deb_nuit,H_Juin[[#This Row],[début]])+MAX(MIN(fin_nuit-1,H_Juin[[#This Row],[Fin]])-MIN(fin_nuit-1,H_Juin[[#This Row],[début]]),0))*24)</f>
        <v>0</v>
      </c>
      <c r="P35" s="51">
        <f>(MAX(0,MIN(H_Juin[[#This Row],[Fin corrigée si nuit]],fin_nuit)-MAX(H_Juin[[#This Row],[début]],deb_nuit))-IF(H_Juin[[#This Row],[PNP Début]]=0,0,MIN(H_Juin[[#This Row],[PNP Fin corrigée]],fin_nuit)-MAX(H_Juin[[#This Row],[PNP Début corrigé]],deb_nuit)))*24</f>
        <v>0</v>
      </c>
      <c r="Q35" s="51">
        <f>(IF(WEEKDAY(H_Juin[[#This Row],[Date]],2)=7,MAX(0,MIN(fin_dimJF,H_Juin[[#This Row],[Fin corrigée si nuit]])-MAX(deb_dimJF,H_Juin[[#This Row],[début]])),0)+IF(WEEKDAY(H_Juin[[#This Row],[Date]],2)=6,MAX(0,H_Juin[[#This Row],[Fin corrigée si nuit]]-(1+deb_dimJF)),0))*24</f>
        <v>0</v>
      </c>
      <c r="R35"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5" s="51">
        <f>(IF(COUNTIF(JF,H_Juin[[#This Row],[Date]]),MAX(0,MIN(fin_dimJF,H_Juin[[#This Row],[Fin corrigée si nuit]])-MAX(deb_dimJF,H_Juin[[#This Row],[début]])),0)+IF(COUNTIF(JF,H_Juin[[#This Row],[Date]]+1),MAX(0,H_Juin[[#This Row],[Fin corrigée si nuit]]-(1+deb_dimJF)),0))*24</f>
        <v>0</v>
      </c>
      <c r="T35"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6" spans="1:20" x14ac:dyDescent="0.3">
      <c r="A36" s="4"/>
      <c r="B36" s="1"/>
      <c r="C36" s="2"/>
      <c r="D36" s="2"/>
      <c r="E36" s="3"/>
      <c r="F36" s="3"/>
      <c r="G36" s="3"/>
      <c r="H36" s="3"/>
      <c r="I36" s="47">
        <f>0.1*(H_Juin[[#This Row],[Heures de nuit]]+IF(H_Juin[[#This Row],[majoration dim &amp; JF]]="non",0,H_Juin[[#This Row],[heures jour dimanche]]+H_Juin[[#This Row],[heures jour fériés]]))</f>
        <v>0</v>
      </c>
      <c r="J36" s="48">
        <f>(MOD(H_Juin[[#This Row],[Fin]]-H_Juin[[#This Row],[début]],1)-MOD(H_Juin[[#This Row],[PNP Fin]]-H_Juin[[#This Row],[PNP Début]],1))*24</f>
        <v>0</v>
      </c>
      <c r="K36" s="119" t="str">
        <f>IFERROR(VLOOKUP(H_Juin[[#This Row],[Service]],Codes[],4,0),"")</f>
        <v/>
      </c>
      <c r="L36" s="49">
        <f>IF(H_Juin[[#This Row],[PNP Début]]=0,0,IF(H_Juin[[#This Row],[PNP Début]]&lt;H_Juin[[#This Row],[début]],1,0)+H_Juin[[#This Row],[PNP Début]])</f>
        <v>0</v>
      </c>
      <c r="M36" s="50">
        <f>IF(H_Juin[[#This Row],[PNP Fin]]=0,0,IF(H_Juin[[#This Row],[PNP Fin]]&lt;H_Juin[[#This Row],[début]],1,0)+H_Juin[[#This Row],[PNP Fin]])</f>
        <v>0</v>
      </c>
      <c r="N36" s="50">
        <f>IF(H_Juin[[#This Row],[Fin]]&lt;H_Juin[[#This Row],[début]],1,0)+H_Juin[[#This Row],[Fin]]</f>
        <v>0</v>
      </c>
      <c r="O36" s="31">
        <f>IF(H_Juin[[#This Row],[Fin]]&lt;H_Juin[[#This Row],[début]],MAX(0,MIN(H_Juin[[#This Row],[Fin corrigée si nuit]],fin_nuit)-MAX(H_Juin[[#This Row],[début]],deb_nuit))*24,(MAX(deb_nuit,H_Juin[[#This Row],[Fin]])-MAX(deb_nuit,H_Juin[[#This Row],[début]])+MAX(MIN(fin_nuit-1,H_Juin[[#This Row],[Fin]])-MIN(fin_nuit-1,H_Juin[[#This Row],[début]]),0))*24)</f>
        <v>0</v>
      </c>
      <c r="P36" s="51">
        <f>(MAX(0,MIN(H_Juin[[#This Row],[Fin corrigée si nuit]],fin_nuit)-MAX(H_Juin[[#This Row],[début]],deb_nuit))-IF(H_Juin[[#This Row],[PNP Début]]=0,0,MIN(H_Juin[[#This Row],[PNP Fin corrigée]],fin_nuit)-MAX(H_Juin[[#This Row],[PNP Début corrigé]],deb_nuit)))*24</f>
        <v>0</v>
      </c>
      <c r="Q36" s="51">
        <f>(IF(WEEKDAY(H_Juin[[#This Row],[Date]],2)=7,MAX(0,MIN(fin_dimJF,H_Juin[[#This Row],[Fin corrigée si nuit]])-MAX(deb_dimJF,H_Juin[[#This Row],[début]])),0)+IF(WEEKDAY(H_Juin[[#This Row],[Date]],2)=6,MAX(0,H_Juin[[#This Row],[Fin corrigée si nuit]]-(1+deb_dimJF)),0))*24</f>
        <v>0</v>
      </c>
      <c r="R36"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6" s="51">
        <f>(IF(COUNTIF(JF,H_Juin[[#This Row],[Date]]),MAX(0,MIN(fin_dimJF,H_Juin[[#This Row],[Fin corrigée si nuit]])-MAX(deb_dimJF,H_Juin[[#This Row],[début]])),0)+IF(COUNTIF(JF,H_Juin[[#This Row],[Date]]+1),MAX(0,H_Juin[[#This Row],[Fin corrigée si nuit]]-(1+deb_dimJF)),0))*24</f>
        <v>0</v>
      </c>
      <c r="T36"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7" spans="1:20" x14ac:dyDescent="0.3">
      <c r="A37" s="4"/>
      <c r="B37" s="1"/>
      <c r="C37" s="2"/>
      <c r="D37" s="2"/>
      <c r="E37" s="3"/>
      <c r="F37" s="3"/>
      <c r="G37" s="3"/>
      <c r="H37" s="3"/>
      <c r="I37" s="47">
        <f>0.1*(H_Juin[[#This Row],[Heures de nuit]]+IF(H_Juin[[#This Row],[majoration dim &amp; JF]]="non",0,H_Juin[[#This Row],[heures jour dimanche]]+H_Juin[[#This Row],[heures jour fériés]]))</f>
        <v>0</v>
      </c>
      <c r="J37" s="48">
        <f>(MOD(H_Juin[[#This Row],[Fin]]-H_Juin[[#This Row],[début]],1)-MOD(H_Juin[[#This Row],[PNP Fin]]-H_Juin[[#This Row],[PNP Début]],1))*24</f>
        <v>0</v>
      </c>
      <c r="K37" s="119" t="str">
        <f>IFERROR(VLOOKUP(H_Juin[[#This Row],[Service]],Codes[],4,0),"")</f>
        <v/>
      </c>
      <c r="L37" s="49">
        <f>IF(H_Juin[[#This Row],[PNP Début]]=0,0,IF(H_Juin[[#This Row],[PNP Début]]&lt;H_Juin[[#This Row],[début]],1,0)+H_Juin[[#This Row],[PNP Début]])</f>
        <v>0</v>
      </c>
      <c r="M37" s="50">
        <f>IF(H_Juin[[#This Row],[PNP Fin]]=0,0,IF(H_Juin[[#This Row],[PNP Fin]]&lt;H_Juin[[#This Row],[début]],1,0)+H_Juin[[#This Row],[PNP Fin]])</f>
        <v>0</v>
      </c>
      <c r="N37" s="50">
        <f>IF(H_Juin[[#This Row],[Fin]]&lt;H_Juin[[#This Row],[début]],1,0)+H_Juin[[#This Row],[Fin]]</f>
        <v>0</v>
      </c>
      <c r="O37" s="31">
        <f>IF(H_Juin[[#This Row],[Fin]]&lt;H_Juin[[#This Row],[début]],MAX(0,MIN(H_Juin[[#This Row],[Fin corrigée si nuit]],fin_nuit)-MAX(H_Juin[[#This Row],[début]],deb_nuit))*24,(MAX(deb_nuit,H_Juin[[#This Row],[Fin]])-MAX(deb_nuit,H_Juin[[#This Row],[début]])+MAX(MIN(fin_nuit-1,H_Juin[[#This Row],[Fin]])-MIN(fin_nuit-1,H_Juin[[#This Row],[début]]),0))*24)</f>
        <v>0</v>
      </c>
      <c r="P37" s="51">
        <f>(MAX(0,MIN(H_Juin[[#This Row],[Fin corrigée si nuit]],fin_nuit)-MAX(H_Juin[[#This Row],[début]],deb_nuit))-IF(H_Juin[[#This Row],[PNP Début]]=0,0,MIN(H_Juin[[#This Row],[PNP Fin corrigée]],fin_nuit)-MAX(H_Juin[[#This Row],[PNP Début corrigé]],deb_nuit)))*24</f>
        <v>0</v>
      </c>
      <c r="Q37" s="51">
        <f>(IF(WEEKDAY(H_Juin[[#This Row],[Date]],2)=7,MAX(0,MIN(fin_dimJF,H_Juin[[#This Row],[Fin corrigée si nuit]])-MAX(deb_dimJF,H_Juin[[#This Row],[début]])),0)+IF(WEEKDAY(H_Juin[[#This Row],[Date]],2)=6,MAX(0,H_Juin[[#This Row],[Fin corrigée si nuit]]-(1+deb_dimJF)),0))*24</f>
        <v>0</v>
      </c>
      <c r="R37"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7" s="51">
        <f>(IF(COUNTIF(JF,H_Juin[[#This Row],[Date]]),MAX(0,MIN(fin_dimJF,H_Juin[[#This Row],[Fin corrigée si nuit]])-MAX(deb_dimJF,H_Juin[[#This Row],[début]])),0)+IF(COUNTIF(JF,H_Juin[[#This Row],[Date]]+1),MAX(0,H_Juin[[#This Row],[Fin corrigée si nuit]]-(1+deb_dimJF)),0))*24</f>
        <v>0</v>
      </c>
      <c r="T37"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8" spans="1:20" x14ac:dyDescent="0.3">
      <c r="A38" s="4"/>
      <c r="B38" s="1"/>
      <c r="C38" s="2"/>
      <c r="D38" s="2"/>
      <c r="E38" s="3"/>
      <c r="F38" s="3"/>
      <c r="G38" s="3"/>
      <c r="H38" s="3"/>
      <c r="I38" s="47">
        <f>0.1*(H_Juin[[#This Row],[Heures de nuit]]+IF(H_Juin[[#This Row],[majoration dim &amp; JF]]="non",0,H_Juin[[#This Row],[heures jour dimanche]]+H_Juin[[#This Row],[heures jour fériés]]))</f>
        <v>0</v>
      </c>
      <c r="J38" s="48">
        <f>(MOD(H_Juin[[#This Row],[Fin]]-H_Juin[[#This Row],[début]],1)-MOD(H_Juin[[#This Row],[PNP Fin]]-H_Juin[[#This Row],[PNP Début]],1))*24</f>
        <v>0</v>
      </c>
      <c r="K38" s="119" t="str">
        <f>IFERROR(VLOOKUP(H_Juin[[#This Row],[Service]],Codes[],4,0),"")</f>
        <v/>
      </c>
      <c r="L38" s="49">
        <f>IF(H_Juin[[#This Row],[PNP Début]]=0,0,IF(H_Juin[[#This Row],[PNP Début]]&lt;H_Juin[[#This Row],[début]],1,0)+H_Juin[[#This Row],[PNP Début]])</f>
        <v>0</v>
      </c>
      <c r="M38" s="50">
        <f>IF(H_Juin[[#This Row],[PNP Fin]]=0,0,IF(H_Juin[[#This Row],[PNP Fin]]&lt;H_Juin[[#This Row],[début]],1,0)+H_Juin[[#This Row],[PNP Fin]])</f>
        <v>0</v>
      </c>
      <c r="N38" s="50">
        <f>IF(H_Juin[[#This Row],[Fin]]&lt;H_Juin[[#This Row],[début]],1,0)+H_Juin[[#This Row],[Fin]]</f>
        <v>0</v>
      </c>
      <c r="O38" s="31">
        <f>IF(H_Juin[[#This Row],[Fin]]&lt;H_Juin[[#This Row],[début]],MAX(0,MIN(H_Juin[[#This Row],[Fin corrigée si nuit]],fin_nuit)-MAX(H_Juin[[#This Row],[début]],deb_nuit))*24,(MAX(deb_nuit,H_Juin[[#This Row],[Fin]])-MAX(deb_nuit,H_Juin[[#This Row],[début]])+MAX(MIN(fin_nuit-1,H_Juin[[#This Row],[Fin]])-MIN(fin_nuit-1,H_Juin[[#This Row],[début]]),0))*24)</f>
        <v>0</v>
      </c>
      <c r="P38" s="51">
        <f>(MAX(0,MIN(H_Juin[[#This Row],[Fin corrigée si nuit]],fin_nuit)-MAX(H_Juin[[#This Row],[début]],deb_nuit))-IF(H_Juin[[#This Row],[PNP Début]]=0,0,MIN(H_Juin[[#This Row],[PNP Fin corrigée]],fin_nuit)-MAX(H_Juin[[#This Row],[PNP Début corrigé]],deb_nuit)))*24</f>
        <v>0</v>
      </c>
      <c r="Q38" s="51">
        <f>(IF(WEEKDAY(H_Juin[[#This Row],[Date]],2)=7,MAX(0,MIN(fin_dimJF,H_Juin[[#This Row],[Fin corrigée si nuit]])-MAX(deb_dimJF,H_Juin[[#This Row],[début]])),0)+IF(WEEKDAY(H_Juin[[#This Row],[Date]],2)=6,MAX(0,H_Juin[[#This Row],[Fin corrigée si nuit]]-(1+deb_dimJF)),0))*24</f>
        <v>0</v>
      </c>
      <c r="R38"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8" s="51">
        <f>(IF(COUNTIF(JF,H_Juin[[#This Row],[Date]]),MAX(0,MIN(fin_dimJF,H_Juin[[#This Row],[Fin corrigée si nuit]])-MAX(deb_dimJF,H_Juin[[#This Row],[début]])),0)+IF(COUNTIF(JF,H_Juin[[#This Row],[Date]]+1),MAX(0,H_Juin[[#This Row],[Fin corrigée si nuit]]-(1+deb_dimJF)),0))*24</f>
        <v>0</v>
      </c>
      <c r="T38"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39" spans="1:20" x14ac:dyDescent="0.3">
      <c r="A39" s="4"/>
      <c r="B39" s="1"/>
      <c r="C39" s="2"/>
      <c r="D39" s="2"/>
      <c r="E39" s="3"/>
      <c r="F39" s="3"/>
      <c r="G39" s="3"/>
      <c r="H39" s="3"/>
      <c r="I39" s="47">
        <f>0.1*(H_Juin[[#This Row],[Heures de nuit]]+IF(H_Juin[[#This Row],[majoration dim &amp; JF]]="non",0,H_Juin[[#This Row],[heures jour dimanche]]+H_Juin[[#This Row],[heures jour fériés]]))</f>
        <v>0</v>
      </c>
      <c r="J39" s="48">
        <f>(MOD(H_Juin[[#This Row],[Fin]]-H_Juin[[#This Row],[début]],1)-MOD(H_Juin[[#This Row],[PNP Fin]]-H_Juin[[#This Row],[PNP Début]],1))*24</f>
        <v>0</v>
      </c>
      <c r="K39" s="119" t="str">
        <f>IFERROR(VLOOKUP(H_Juin[[#This Row],[Service]],Codes[],4,0),"")</f>
        <v/>
      </c>
      <c r="L39" s="49">
        <f>IF(H_Juin[[#This Row],[PNP Début]]=0,0,IF(H_Juin[[#This Row],[PNP Début]]&lt;H_Juin[[#This Row],[début]],1,0)+H_Juin[[#This Row],[PNP Début]])</f>
        <v>0</v>
      </c>
      <c r="M39" s="50">
        <f>IF(H_Juin[[#This Row],[PNP Fin]]=0,0,IF(H_Juin[[#This Row],[PNP Fin]]&lt;H_Juin[[#This Row],[début]],1,0)+H_Juin[[#This Row],[PNP Fin]])</f>
        <v>0</v>
      </c>
      <c r="N39" s="50">
        <f>IF(H_Juin[[#This Row],[Fin]]&lt;H_Juin[[#This Row],[début]],1,0)+H_Juin[[#This Row],[Fin]]</f>
        <v>0</v>
      </c>
      <c r="O39" s="31">
        <f>IF(H_Juin[[#This Row],[Fin]]&lt;H_Juin[[#This Row],[début]],MAX(0,MIN(H_Juin[[#This Row],[Fin corrigée si nuit]],fin_nuit)-MAX(H_Juin[[#This Row],[début]],deb_nuit))*24,(MAX(deb_nuit,H_Juin[[#This Row],[Fin]])-MAX(deb_nuit,H_Juin[[#This Row],[début]])+MAX(MIN(fin_nuit-1,H_Juin[[#This Row],[Fin]])-MIN(fin_nuit-1,H_Juin[[#This Row],[début]]),0))*24)</f>
        <v>0</v>
      </c>
      <c r="P39" s="51">
        <f>(MAX(0,MIN(H_Juin[[#This Row],[Fin corrigée si nuit]],fin_nuit)-MAX(H_Juin[[#This Row],[début]],deb_nuit))-IF(H_Juin[[#This Row],[PNP Début]]=0,0,MIN(H_Juin[[#This Row],[PNP Fin corrigée]],fin_nuit)-MAX(H_Juin[[#This Row],[PNP Début corrigé]],deb_nuit)))*24</f>
        <v>0</v>
      </c>
      <c r="Q39" s="51">
        <f>(IF(WEEKDAY(H_Juin[[#This Row],[Date]],2)=7,MAX(0,MIN(fin_dimJF,H_Juin[[#This Row],[Fin corrigée si nuit]])-MAX(deb_dimJF,H_Juin[[#This Row],[début]])),0)+IF(WEEKDAY(H_Juin[[#This Row],[Date]],2)=6,MAX(0,H_Juin[[#This Row],[Fin corrigée si nuit]]-(1+deb_dimJF)),0))*24</f>
        <v>0</v>
      </c>
      <c r="R39"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39" s="51">
        <f>(IF(COUNTIF(JF,H_Juin[[#This Row],[Date]]),MAX(0,MIN(fin_dimJF,H_Juin[[#This Row],[Fin corrigée si nuit]])-MAX(deb_dimJF,H_Juin[[#This Row],[début]])),0)+IF(COUNTIF(JF,H_Juin[[#This Row],[Date]]+1),MAX(0,H_Juin[[#This Row],[Fin corrigée si nuit]]-(1+deb_dimJF)),0))*24</f>
        <v>0</v>
      </c>
      <c r="T39"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0" spans="1:20" x14ac:dyDescent="0.3">
      <c r="A40" s="4"/>
      <c r="B40" s="1"/>
      <c r="C40" s="2"/>
      <c r="D40" s="2"/>
      <c r="E40" s="3"/>
      <c r="F40" s="3"/>
      <c r="G40" s="3"/>
      <c r="H40" s="3"/>
      <c r="I40" s="47">
        <f>0.1*(H_Juin[[#This Row],[Heures de nuit]]+IF(H_Juin[[#This Row],[majoration dim &amp; JF]]="non",0,H_Juin[[#This Row],[heures jour dimanche]]+H_Juin[[#This Row],[heures jour fériés]]))</f>
        <v>0</v>
      </c>
      <c r="J40" s="48">
        <f>(MOD(H_Juin[[#This Row],[Fin]]-H_Juin[[#This Row],[début]],1)-MOD(H_Juin[[#This Row],[PNP Fin]]-H_Juin[[#This Row],[PNP Début]],1))*24</f>
        <v>0</v>
      </c>
      <c r="K40" s="119" t="str">
        <f>IFERROR(VLOOKUP(H_Juin[[#This Row],[Service]],Codes[],4,0),"")</f>
        <v/>
      </c>
      <c r="L40" s="49">
        <f>IF(H_Juin[[#This Row],[PNP Début]]=0,0,IF(H_Juin[[#This Row],[PNP Début]]&lt;H_Juin[[#This Row],[début]],1,0)+H_Juin[[#This Row],[PNP Début]])</f>
        <v>0</v>
      </c>
      <c r="M40" s="50">
        <f>IF(H_Juin[[#This Row],[PNP Fin]]=0,0,IF(H_Juin[[#This Row],[PNP Fin]]&lt;H_Juin[[#This Row],[début]],1,0)+H_Juin[[#This Row],[PNP Fin]])</f>
        <v>0</v>
      </c>
      <c r="N40" s="50">
        <f>IF(H_Juin[[#This Row],[Fin]]&lt;H_Juin[[#This Row],[début]],1,0)+H_Juin[[#This Row],[Fin]]</f>
        <v>0</v>
      </c>
      <c r="O40" s="31">
        <f>IF(H_Juin[[#This Row],[Fin]]&lt;H_Juin[[#This Row],[début]],MAX(0,MIN(H_Juin[[#This Row],[Fin corrigée si nuit]],fin_nuit)-MAX(H_Juin[[#This Row],[début]],deb_nuit))*24,(MAX(deb_nuit,H_Juin[[#This Row],[Fin]])-MAX(deb_nuit,H_Juin[[#This Row],[début]])+MAX(MIN(fin_nuit-1,H_Juin[[#This Row],[Fin]])-MIN(fin_nuit-1,H_Juin[[#This Row],[début]]),0))*24)</f>
        <v>0</v>
      </c>
      <c r="P40" s="51">
        <f>(MAX(0,MIN(H_Juin[[#This Row],[Fin corrigée si nuit]],fin_nuit)-MAX(H_Juin[[#This Row],[début]],deb_nuit))-IF(H_Juin[[#This Row],[PNP Début]]=0,0,MIN(H_Juin[[#This Row],[PNP Fin corrigée]],fin_nuit)-MAX(H_Juin[[#This Row],[PNP Début corrigé]],deb_nuit)))*24</f>
        <v>0</v>
      </c>
      <c r="Q40" s="51">
        <f>(IF(WEEKDAY(H_Juin[[#This Row],[Date]],2)=7,MAX(0,MIN(fin_dimJF,H_Juin[[#This Row],[Fin corrigée si nuit]])-MAX(deb_dimJF,H_Juin[[#This Row],[début]])),0)+IF(WEEKDAY(H_Juin[[#This Row],[Date]],2)=6,MAX(0,H_Juin[[#This Row],[Fin corrigée si nuit]]-(1+deb_dimJF)),0))*24</f>
        <v>0</v>
      </c>
      <c r="R40"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0" s="51">
        <f>(IF(COUNTIF(JF,H_Juin[[#This Row],[Date]]),MAX(0,MIN(fin_dimJF,H_Juin[[#This Row],[Fin corrigée si nuit]])-MAX(deb_dimJF,H_Juin[[#This Row],[début]])),0)+IF(COUNTIF(JF,H_Juin[[#This Row],[Date]]+1),MAX(0,H_Juin[[#This Row],[Fin corrigée si nuit]]-(1+deb_dimJF)),0))*24</f>
        <v>0</v>
      </c>
      <c r="T40"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1" spans="1:20" x14ac:dyDescent="0.3">
      <c r="A41" s="4"/>
      <c r="B41" s="1"/>
      <c r="C41" s="2"/>
      <c r="D41" s="2"/>
      <c r="E41" s="3"/>
      <c r="F41" s="3"/>
      <c r="G41" s="3"/>
      <c r="H41" s="3"/>
      <c r="I41" s="47">
        <f>0.1*(H_Juin[[#This Row],[Heures de nuit]]+IF(H_Juin[[#This Row],[majoration dim &amp; JF]]="non",0,H_Juin[[#This Row],[heures jour dimanche]]+H_Juin[[#This Row],[heures jour fériés]]))</f>
        <v>0</v>
      </c>
      <c r="J41" s="48">
        <f>(MOD(H_Juin[[#This Row],[Fin]]-H_Juin[[#This Row],[début]],1)-MOD(H_Juin[[#This Row],[PNP Fin]]-H_Juin[[#This Row],[PNP Début]],1))*24</f>
        <v>0</v>
      </c>
      <c r="K41" s="119" t="str">
        <f>IFERROR(VLOOKUP(H_Juin[[#This Row],[Service]],Codes[],4,0),"")</f>
        <v/>
      </c>
      <c r="L41" s="49">
        <f>IF(H_Juin[[#This Row],[PNP Début]]=0,0,IF(H_Juin[[#This Row],[PNP Début]]&lt;H_Juin[[#This Row],[début]],1,0)+H_Juin[[#This Row],[PNP Début]])</f>
        <v>0</v>
      </c>
      <c r="M41" s="50">
        <f>IF(H_Juin[[#This Row],[PNP Fin]]=0,0,IF(H_Juin[[#This Row],[PNP Fin]]&lt;H_Juin[[#This Row],[début]],1,0)+H_Juin[[#This Row],[PNP Fin]])</f>
        <v>0</v>
      </c>
      <c r="N41" s="50">
        <f>IF(H_Juin[[#This Row],[Fin]]&lt;H_Juin[[#This Row],[début]],1,0)+H_Juin[[#This Row],[Fin]]</f>
        <v>0</v>
      </c>
      <c r="O41" s="31">
        <f>IF(H_Juin[[#This Row],[Fin]]&lt;H_Juin[[#This Row],[début]],MAX(0,MIN(H_Juin[[#This Row],[Fin corrigée si nuit]],fin_nuit)-MAX(H_Juin[[#This Row],[début]],deb_nuit))*24,(MAX(deb_nuit,H_Juin[[#This Row],[Fin]])-MAX(deb_nuit,H_Juin[[#This Row],[début]])+MAX(MIN(fin_nuit-1,H_Juin[[#This Row],[Fin]])-MIN(fin_nuit-1,H_Juin[[#This Row],[début]]),0))*24)</f>
        <v>0</v>
      </c>
      <c r="P41" s="51">
        <f>(MAX(0,MIN(H_Juin[[#This Row],[Fin corrigée si nuit]],fin_nuit)-MAX(H_Juin[[#This Row],[début]],deb_nuit))-IF(H_Juin[[#This Row],[PNP Début]]=0,0,MIN(H_Juin[[#This Row],[PNP Fin corrigée]],fin_nuit)-MAX(H_Juin[[#This Row],[PNP Début corrigé]],deb_nuit)))*24</f>
        <v>0</v>
      </c>
      <c r="Q41" s="51">
        <f>(IF(WEEKDAY(H_Juin[[#This Row],[Date]],2)=7,MAX(0,MIN(fin_dimJF,H_Juin[[#This Row],[Fin corrigée si nuit]])-MAX(deb_dimJF,H_Juin[[#This Row],[début]])),0)+IF(WEEKDAY(H_Juin[[#This Row],[Date]],2)=6,MAX(0,H_Juin[[#This Row],[Fin corrigée si nuit]]-(1+deb_dimJF)),0))*24</f>
        <v>0</v>
      </c>
      <c r="R41"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1" s="51">
        <f>(IF(COUNTIF(JF,H_Juin[[#This Row],[Date]]),MAX(0,MIN(fin_dimJF,H_Juin[[#This Row],[Fin corrigée si nuit]])-MAX(deb_dimJF,H_Juin[[#This Row],[début]])),0)+IF(COUNTIF(JF,H_Juin[[#This Row],[Date]]+1),MAX(0,H_Juin[[#This Row],[Fin corrigée si nuit]]-(1+deb_dimJF)),0))*24</f>
        <v>0</v>
      </c>
      <c r="T41"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2" spans="1:20" x14ac:dyDescent="0.3">
      <c r="A42" s="4"/>
      <c r="B42" s="1"/>
      <c r="C42" s="2"/>
      <c r="D42" s="2"/>
      <c r="E42" s="3"/>
      <c r="F42" s="3"/>
      <c r="G42" s="3"/>
      <c r="H42" s="3"/>
      <c r="I42" s="47">
        <f>0.1*(H_Juin[[#This Row],[Heures de nuit]]+IF(H_Juin[[#This Row],[majoration dim &amp; JF]]="non",0,H_Juin[[#This Row],[heures jour dimanche]]+H_Juin[[#This Row],[heures jour fériés]]))</f>
        <v>0</v>
      </c>
      <c r="J42" s="48">
        <f>(MOD(H_Juin[[#This Row],[Fin]]-H_Juin[[#This Row],[début]],1)-MOD(H_Juin[[#This Row],[PNP Fin]]-H_Juin[[#This Row],[PNP Début]],1))*24</f>
        <v>0</v>
      </c>
      <c r="K42" s="119" t="str">
        <f>IFERROR(VLOOKUP(H_Juin[[#This Row],[Service]],Codes[],4,0),"")</f>
        <v/>
      </c>
      <c r="L42" s="49">
        <f>IF(H_Juin[[#This Row],[PNP Début]]=0,0,IF(H_Juin[[#This Row],[PNP Début]]&lt;H_Juin[[#This Row],[début]],1,0)+H_Juin[[#This Row],[PNP Début]])</f>
        <v>0</v>
      </c>
      <c r="M42" s="50">
        <f>IF(H_Juin[[#This Row],[PNP Fin]]=0,0,IF(H_Juin[[#This Row],[PNP Fin]]&lt;H_Juin[[#This Row],[début]],1,0)+H_Juin[[#This Row],[PNP Fin]])</f>
        <v>0</v>
      </c>
      <c r="N42" s="50">
        <f>IF(H_Juin[[#This Row],[Fin]]&lt;H_Juin[[#This Row],[début]],1,0)+H_Juin[[#This Row],[Fin]]</f>
        <v>0</v>
      </c>
      <c r="O42" s="31">
        <f>IF(H_Juin[[#This Row],[Fin]]&lt;H_Juin[[#This Row],[début]],MAX(0,MIN(H_Juin[[#This Row],[Fin corrigée si nuit]],fin_nuit)-MAX(H_Juin[[#This Row],[début]],deb_nuit))*24,(MAX(deb_nuit,H_Juin[[#This Row],[Fin]])-MAX(deb_nuit,H_Juin[[#This Row],[début]])+MAX(MIN(fin_nuit-1,H_Juin[[#This Row],[Fin]])-MIN(fin_nuit-1,H_Juin[[#This Row],[début]]),0))*24)</f>
        <v>0</v>
      </c>
      <c r="P42" s="51">
        <f>(MAX(0,MIN(H_Juin[[#This Row],[Fin corrigée si nuit]],fin_nuit)-MAX(H_Juin[[#This Row],[début]],deb_nuit))-IF(H_Juin[[#This Row],[PNP Début]]=0,0,MIN(H_Juin[[#This Row],[PNP Fin corrigée]],fin_nuit)-MAX(H_Juin[[#This Row],[PNP Début corrigé]],deb_nuit)))*24</f>
        <v>0</v>
      </c>
      <c r="Q42" s="51">
        <f>(IF(WEEKDAY(H_Juin[[#This Row],[Date]],2)=7,MAX(0,MIN(fin_dimJF,H_Juin[[#This Row],[Fin corrigée si nuit]])-MAX(deb_dimJF,H_Juin[[#This Row],[début]])),0)+IF(WEEKDAY(H_Juin[[#This Row],[Date]],2)=6,MAX(0,H_Juin[[#This Row],[Fin corrigée si nuit]]-(1+deb_dimJF)),0))*24</f>
        <v>0</v>
      </c>
      <c r="R42"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2" s="51">
        <f>(IF(COUNTIF(JF,H_Juin[[#This Row],[Date]]),MAX(0,MIN(fin_dimJF,H_Juin[[#This Row],[Fin corrigée si nuit]])-MAX(deb_dimJF,H_Juin[[#This Row],[début]])),0)+IF(COUNTIF(JF,H_Juin[[#This Row],[Date]]+1),MAX(0,H_Juin[[#This Row],[Fin corrigée si nuit]]-(1+deb_dimJF)),0))*24</f>
        <v>0</v>
      </c>
      <c r="T42"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3" spans="1:20" x14ac:dyDescent="0.3">
      <c r="A43" s="4"/>
      <c r="B43" s="1"/>
      <c r="C43" s="2"/>
      <c r="D43" s="2"/>
      <c r="E43" s="3"/>
      <c r="F43" s="3"/>
      <c r="G43" s="3"/>
      <c r="H43" s="3"/>
      <c r="I43" s="47">
        <f>0.1*(H_Juin[[#This Row],[Heures de nuit]]+IF(H_Juin[[#This Row],[majoration dim &amp; JF]]="non",0,H_Juin[[#This Row],[heures jour dimanche]]+H_Juin[[#This Row],[heures jour fériés]]))</f>
        <v>0</v>
      </c>
      <c r="J43" s="48">
        <f>(MOD(H_Juin[[#This Row],[Fin]]-H_Juin[[#This Row],[début]],1)-MOD(H_Juin[[#This Row],[PNP Fin]]-H_Juin[[#This Row],[PNP Début]],1))*24</f>
        <v>0</v>
      </c>
      <c r="K43" s="119" t="str">
        <f>IFERROR(VLOOKUP(H_Juin[[#This Row],[Service]],Codes[],4,0),"")</f>
        <v/>
      </c>
      <c r="L43" s="49">
        <f>IF(H_Juin[[#This Row],[PNP Début]]=0,0,IF(H_Juin[[#This Row],[PNP Début]]&lt;H_Juin[[#This Row],[début]],1,0)+H_Juin[[#This Row],[PNP Début]])</f>
        <v>0</v>
      </c>
      <c r="M43" s="50">
        <f>IF(H_Juin[[#This Row],[PNP Fin]]=0,0,IF(H_Juin[[#This Row],[PNP Fin]]&lt;H_Juin[[#This Row],[début]],1,0)+H_Juin[[#This Row],[PNP Fin]])</f>
        <v>0</v>
      </c>
      <c r="N43" s="50">
        <f>IF(H_Juin[[#This Row],[Fin]]&lt;H_Juin[[#This Row],[début]],1,0)+H_Juin[[#This Row],[Fin]]</f>
        <v>0</v>
      </c>
      <c r="O43" s="31">
        <f>IF(H_Juin[[#This Row],[Fin]]&lt;H_Juin[[#This Row],[début]],MAX(0,MIN(H_Juin[[#This Row],[Fin corrigée si nuit]],fin_nuit)-MAX(H_Juin[[#This Row],[début]],deb_nuit))*24,(MAX(deb_nuit,H_Juin[[#This Row],[Fin]])-MAX(deb_nuit,H_Juin[[#This Row],[début]])+MAX(MIN(fin_nuit-1,H_Juin[[#This Row],[Fin]])-MIN(fin_nuit-1,H_Juin[[#This Row],[début]]),0))*24)</f>
        <v>0</v>
      </c>
      <c r="P43" s="51">
        <f>(MAX(0,MIN(H_Juin[[#This Row],[Fin corrigée si nuit]],fin_nuit)-MAX(H_Juin[[#This Row],[début]],deb_nuit))-IF(H_Juin[[#This Row],[PNP Début]]=0,0,MIN(H_Juin[[#This Row],[PNP Fin corrigée]],fin_nuit)-MAX(H_Juin[[#This Row],[PNP Début corrigé]],deb_nuit)))*24</f>
        <v>0</v>
      </c>
      <c r="Q43" s="51">
        <f>(IF(WEEKDAY(H_Juin[[#This Row],[Date]],2)=7,MAX(0,MIN(fin_dimJF,H_Juin[[#This Row],[Fin corrigée si nuit]])-MAX(deb_dimJF,H_Juin[[#This Row],[début]])),0)+IF(WEEKDAY(H_Juin[[#This Row],[Date]],2)=6,MAX(0,H_Juin[[#This Row],[Fin corrigée si nuit]]-(1+deb_dimJF)),0))*24</f>
        <v>0</v>
      </c>
      <c r="R43"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3" s="51">
        <f>(IF(COUNTIF(JF,H_Juin[[#This Row],[Date]]),MAX(0,MIN(fin_dimJF,H_Juin[[#This Row],[Fin corrigée si nuit]])-MAX(deb_dimJF,H_Juin[[#This Row],[début]])),0)+IF(COUNTIF(JF,H_Juin[[#This Row],[Date]]+1),MAX(0,H_Juin[[#This Row],[Fin corrigée si nuit]]-(1+deb_dimJF)),0))*24</f>
        <v>0</v>
      </c>
      <c r="T43"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4" spans="1:20" x14ac:dyDescent="0.3">
      <c r="A44" s="4"/>
      <c r="B44" s="1"/>
      <c r="C44" s="2"/>
      <c r="D44" s="2"/>
      <c r="E44" s="3"/>
      <c r="F44" s="3"/>
      <c r="G44" s="3"/>
      <c r="H44" s="3"/>
      <c r="I44" s="47">
        <f>0.1*(H_Juin[[#This Row],[Heures de nuit]]+IF(H_Juin[[#This Row],[majoration dim &amp; JF]]="non",0,H_Juin[[#This Row],[heures jour dimanche]]+H_Juin[[#This Row],[heures jour fériés]]))</f>
        <v>0</v>
      </c>
      <c r="J44" s="48">
        <f>(MOD(H_Juin[[#This Row],[Fin]]-H_Juin[[#This Row],[début]],1)-MOD(H_Juin[[#This Row],[PNP Fin]]-H_Juin[[#This Row],[PNP Début]],1))*24</f>
        <v>0</v>
      </c>
      <c r="K44" s="119" t="str">
        <f>IFERROR(VLOOKUP(H_Juin[[#This Row],[Service]],Codes[],4,0),"")</f>
        <v/>
      </c>
      <c r="L44" s="49">
        <f>IF(H_Juin[[#This Row],[PNP Début]]=0,0,IF(H_Juin[[#This Row],[PNP Début]]&lt;H_Juin[[#This Row],[début]],1,0)+H_Juin[[#This Row],[PNP Début]])</f>
        <v>0</v>
      </c>
      <c r="M44" s="50">
        <f>IF(H_Juin[[#This Row],[PNP Fin]]=0,0,IF(H_Juin[[#This Row],[PNP Fin]]&lt;H_Juin[[#This Row],[début]],1,0)+H_Juin[[#This Row],[PNP Fin]])</f>
        <v>0</v>
      </c>
      <c r="N44" s="50">
        <f>IF(H_Juin[[#This Row],[Fin]]&lt;H_Juin[[#This Row],[début]],1,0)+H_Juin[[#This Row],[Fin]]</f>
        <v>0</v>
      </c>
      <c r="O44" s="31">
        <f>IF(H_Juin[[#This Row],[Fin]]&lt;H_Juin[[#This Row],[début]],MAX(0,MIN(H_Juin[[#This Row],[Fin corrigée si nuit]],fin_nuit)-MAX(H_Juin[[#This Row],[début]],deb_nuit))*24,(MAX(deb_nuit,H_Juin[[#This Row],[Fin]])-MAX(deb_nuit,H_Juin[[#This Row],[début]])+MAX(MIN(fin_nuit-1,H_Juin[[#This Row],[Fin]])-MIN(fin_nuit-1,H_Juin[[#This Row],[début]]),0))*24)</f>
        <v>0</v>
      </c>
      <c r="P44" s="51">
        <f>(MAX(0,MIN(H_Juin[[#This Row],[Fin corrigée si nuit]],fin_nuit)-MAX(H_Juin[[#This Row],[début]],deb_nuit))-IF(H_Juin[[#This Row],[PNP Début]]=0,0,MIN(H_Juin[[#This Row],[PNP Fin corrigée]],fin_nuit)-MAX(H_Juin[[#This Row],[PNP Début corrigé]],deb_nuit)))*24</f>
        <v>0</v>
      </c>
      <c r="Q44" s="51">
        <f>(IF(WEEKDAY(H_Juin[[#This Row],[Date]],2)=7,MAX(0,MIN(fin_dimJF,H_Juin[[#This Row],[Fin corrigée si nuit]])-MAX(deb_dimJF,H_Juin[[#This Row],[début]])),0)+IF(WEEKDAY(H_Juin[[#This Row],[Date]],2)=6,MAX(0,H_Juin[[#This Row],[Fin corrigée si nuit]]-(1+deb_dimJF)),0))*24</f>
        <v>0</v>
      </c>
      <c r="R44"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4" s="51">
        <f>(IF(COUNTIF(JF,H_Juin[[#This Row],[Date]]),MAX(0,MIN(fin_dimJF,H_Juin[[#This Row],[Fin corrigée si nuit]])-MAX(deb_dimJF,H_Juin[[#This Row],[début]])),0)+IF(COUNTIF(JF,H_Juin[[#This Row],[Date]]+1),MAX(0,H_Juin[[#This Row],[Fin corrigée si nuit]]-(1+deb_dimJF)),0))*24</f>
        <v>0</v>
      </c>
      <c r="T44"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5" spans="1:20" x14ac:dyDescent="0.3">
      <c r="A45" s="4"/>
      <c r="B45" s="1"/>
      <c r="C45" s="2"/>
      <c r="D45" s="2"/>
      <c r="E45" s="3"/>
      <c r="F45" s="3"/>
      <c r="G45" s="3"/>
      <c r="H45" s="3"/>
      <c r="I45" s="47">
        <f>0.1*(H_Juin[[#This Row],[Heures de nuit]]+IF(H_Juin[[#This Row],[majoration dim &amp; JF]]="non",0,H_Juin[[#This Row],[heures jour dimanche]]+H_Juin[[#This Row],[heures jour fériés]]))</f>
        <v>0</v>
      </c>
      <c r="J45" s="48">
        <f>(MOD(H_Juin[[#This Row],[Fin]]-H_Juin[[#This Row],[début]],1)-MOD(H_Juin[[#This Row],[PNP Fin]]-H_Juin[[#This Row],[PNP Début]],1))*24</f>
        <v>0</v>
      </c>
      <c r="K45" s="119" t="str">
        <f>IFERROR(VLOOKUP(H_Juin[[#This Row],[Service]],Codes[],4,0),"")</f>
        <v/>
      </c>
      <c r="L45" s="49">
        <f>IF(H_Juin[[#This Row],[PNP Début]]=0,0,IF(H_Juin[[#This Row],[PNP Début]]&lt;H_Juin[[#This Row],[début]],1,0)+H_Juin[[#This Row],[PNP Début]])</f>
        <v>0</v>
      </c>
      <c r="M45" s="50">
        <f>IF(H_Juin[[#This Row],[PNP Fin]]=0,0,IF(H_Juin[[#This Row],[PNP Fin]]&lt;H_Juin[[#This Row],[début]],1,0)+H_Juin[[#This Row],[PNP Fin]])</f>
        <v>0</v>
      </c>
      <c r="N45" s="50">
        <f>IF(H_Juin[[#This Row],[Fin]]&lt;H_Juin[[#This Row],[début]],1,0)+H_Juin[[#This Row],[Fin]]</f>
        <v>0</v>
      </c>
      <c r="O45" s="31">
        <f>IF(H_Juin[[#This Row],[Fin]]&lt;H_Juin[[#This Row],[début]],MAX(0,MIN(H_Juin[[#This Row],[Fin corrigée si nuit]],fin_nuit)-MAX(H_Juin[[#This Row],[début]],deb_nuit))*24,(MAX(deb_nuit,H_Juin[[#This Row],[Fin]])-MAX(deb_nuit,H_Juin[[#This Row],[début]])+MAX(MIN(fin_nuit-1,H_Juin[[#This Row],[Fin]])-MIN(fin_nuit-1,H_Juin[[#This Row],[début]]),0))*24)</f>
        <v>0</v>
      </c>
      <c r="P45" s="51">
        <f>(MAX(0,MIN(H_Juin[[#This Row],[Fin corrigée si nuit]],fin_nuit)-MAX(H_Juin[[#This Row],[début]],deb_nuit))-IF(H_Juin[[#This Row],[PNP Début]]=0,0,MIN(H_Juin[[#This Row],[PNP Fin corrigée]],fin_nuit)-MAX(H_Juin[[#This Row],[PNP Début corrigé]],deb_nuit)))*24</f>
        <v>0</v>
      </c>
      <c r="Q45" s="51">
        <f>(IF(WEEKDAY(H_Juin[[#This Row],[Date]],2)=7,MAX(0,MIN(fin_dimJF,H_Juin[[#This Row],[Fin corrigée si nuit]])-MAX(deb_dimJF,H_Juin[[#This Row],[début]])),0)+IF(WEEKDAY(H_Juin[[#This Row],[Date]],2)=6,MAX(0,H_Juin[[#This Row],[Fin corrigée si nuit]]-(1+deb_dimJF)),0))*24</f>
        <v>0</v>
      </c>
      <c r="R45"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5" s="51">
        <f>(IF(COUNTIF(JF,H_Juin[[#This Row],[Date]]),MAX(0,MIN(fin_dimJF,H_Juin[[#This Row],[Fin corrigée si nuit]])-MAX(deb_dimJF,H_Juin[[#This Row],[début]])),0)+IF(COUNTIF(JF,H_Juin[[#This Row],[Date]]+1),MAX(0,H_Juin[[#This Row],[Fin corrigée si nuit]]-(1+deb_dimJF)),0))*24</f>
        <v>0</v>
      </c>
      <c r="T45"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6" spans="1:20" x14ac:dyDescent="0.3">
      <c r="A46" s="4"/>
      <c r="B46" s="1"/>
      <c r="C46" s="2"/>
      <c r="D46" s="2"/>
      <c r="E46" s="3"/>
      <c r="F46" s="3"/>
      <c r="G46" s="3"/>
      <c r="H46" s="3"/>
      <c r="I46" s="47">
        <f>0.1*(H_Juin[[#This Row],[Heures de nuit]]+IF(H_Juin[[#This Row],[majoration dim &amp; JF]]="non",0,H_Juin[[#This Row],[heures jour dimanche]]+H_Juin[[#This Row],[heures jour fériés]]))</f>
        <v>0</v>
      </c>
      <c r="J46" s="48">
        <f>(MOD(H_Juin[[#This Row],[Fin]]-H_Juin[[#This Row],[début]],1)-MOD(H_Juin[[#This Row],[PNP Fin]]-H_Juin[[#This Row],[PNP Début]],1))*24</f>
        <v>0</v>
      </c>
      <c r="K46" s="119" t="str">
        <f>IFERROR(VLOOKUP(H_Juin[[#This Row],[Service]],Codes[],4,0),"")</f>
        <v/>
      </c>
      <c r="L46" s="49">
        <f>IF(H_Juin[[#This Row],[PNP Début]]=0,0,IF(H_Juin[[#This Row],[PNP Début]]&lt;H_Juin[[#This Row],[début]],1,0)+H_Juin[[#This Row],[PNP Début]])</f>
        <v>0</v>
      </c>
      <c r="M46" s="50">
        <f>IF(H_Juin[[#This Row],[PNP Fin]]=0,0,IF(H_Juin[[#This Row],[PNP Fin]]&lt;H_Juin[[#This Row],[début]],1,0)+H_Juin[[#This Row],[PNP Fin]])</f>
        <v>0</v>
      </c>
      <c r="N46" s="50">
        <f>IF(H_Juin[[#This Row],[Fin]]&lt;H_Juin[[#This Row],[début]],1,0)+H_Juin[[#This Row],[Fin]]</f>
        <v>0</v>
      </c>
      <c r="O46" s="31">
        <f>IF(H_Juin[[#This Row],[Fin]]&lt;H_Juin[[#This Row],[début]],MAX(0,MIN(H_Juin[[#This Row],[Fin corrigée si nuit]],fin_nuit)-MAX(H_Juin[[#This Row],[début]],deb_nuit))*24,(MAX(deb_nuit,H_Juin[[#This Row],[Fin]])-MAX(deb_nuit,H_Juin[[#This Row],[début]])+MAX(MIN(fin_nuit-1,H_Juin[[#This Row],[Fin]])-MIN(fin_nuit-1,H_Juin[[#This Row],[début]]),0))*24)</f>
        <v>0</v>
      </c>
      <c r="P46" s="51">
        <f>(MAX(0,MIN(H_Juin[[#This Row],[Fin corrigée si nuit]],fin_nuit)-MAX(H_Juin[[#This Row],[début]],deb_nuit))-IF(H_Juin[[#This Row],[PNP Début]]=0,0,MIN(H_Juin[[#This Row],[PNP Fin corrigée]],fin_nuit)-MAX(H_Juin[[#This Row],[PNP Début corrigé]],deb_nuit)))*24</f>
        <v>0</v>
      </c>
      <c r="Q46" s="51">
        <f>(IF(WEEKDAY(H_Juin[[#This Row],[Date]],2)=7,MAX(0,MIN(fin_dimJF,H_Juin[[#This Row],[Fin corrigée si nuit]])-MAX(deb_dimJF,H_Juin[[#This Row],[début]])),0)+IF(WEEKDAY(H_Juin[[#This Row],[Date]],2)=6,MAX(0,H_Juin[[#This Row],[Fin corrigée si nuit]]-(1+deb_dimJF)),0))*24</f>
        <v>0</v>
      </c>
      <c r="R46"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6" s="51">
        <f>(IF(COUNTIF(JF,H_Juin[[#This Row],[Date]]),MAX(0,MIN(fin_dimJF,H_Juin[[#This Row],[Fin corrigée si nuit]])-MAX(deb_dimJF,H_Juin[[#This Row],[début]])),0)+IF(COUNTIF(JF,H_Juin[[#This Row],[Date]]+1),MAX(0,H_Juin[[#This Row],[Fin corrigée si nuit]]-(1+deb_dimJF)),0))*24</f>
        <v>0</v>
      </c>
      <c r="T46"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7" spans="1:20" x14ac:dyDescent="0.3">
      <c r="A47" s="4"/>
      <c r="B47" s="1"/>
      <c r="C47" s="2"/>
      <c r="D47" s="2"/>
      <c r="E47" s="3"/>
      <c r="F47" s="3"/>
      <c r="G47" s="3"/>
      <c r="H47" s="3"/>
      <c r="I47" s="47">
        <f>0.1*(H_Juin[[#This Row],[Heures de nuit]]+IF(H_Juin[[#This Row],[majoration dim &amp; JF]]="non",0,H_Juin[[#This Row],[heures jour dimanche]]+H_Juin[[#This Row],[heures jour fériés]]))</f>
        <v>0</v>
      </c>
      <c r="J47" s="48">
        <f>(MOD(H_Juin[[#This Row],[Fin]]-H_Juin[[#This Row],[début]],1)-MOD(H_Juin[[#This Row],[PNP Fin]]-H_Juin[[#This Row],[PNP Début]],1))*24</f>
        <v>0</v>
      </c>
      <c r="K47" s="119" t="str">
        <f>IFERROR(VLOOKUP(H_Juin[[#This Row],[Service]],Codes[],4,0),"")</f>
        <v/>
      </c>
      <c r="L47" s="49">
        <f>IF(H_Juin[[#This Row],[PNP Début]]=0,0,IF(H_Juin[[#This Row],[PNP Début]]&lt;H_Juin[[#This Row],[début]],1,0)+H_Juin[[#This Row],[PNP Début]])</f>
        <v>0</v>
      </c>
      <c r="M47" s="50">
        <f>IF(H_Juin[[#This Row],[PNP Fin]]=0,0,IF(H_Juin[[#This Row],[PNP Fin]]&lt;H_Juin[[#This Row],[début]],1,0)+H_Juin[[#This Row],[PNP Fin]])</f>
        <v>0</v>
      </c>
      <c r="N47" s="50">
        <f>IF(H_Juin[[#This Row],[Fin]]&lt;H_Juin[[#This Row],[début]],1,0)+H_Juin[[#This Row],[Fin]]</f>
        <v>0</v>
      </c>
      <c r="O47" s="31">
        <f>IF(H_Juin[[#This Row],[Fin]]&lt;H_Juin[[#This Row],[début]],MAX(0,MIN(H_Juin[[#This Row],[Fin corrigée si nuit]],fin_nuit)-MAX(H_Juin[[#This Row],[début]],deb_nuit))*24,(MAX(deb_nuit,H_Juin[[#This Row],[Fin]])-MAX(deb_nuit,H_Juin[[#This Row],[début]])+MAX(MIN(fin_nuit-1,H_Juin[[#This Row],[Fin]])-MIN(fin_nuit-1,H_Juin[[#This Row],[début]]),0))*24)</f>
        <v>0</v>
      </c>
      <c r="P47" s="51">
        <f>(MAX(0,MIN(H_Juin[[#This Row],[Fin corrigée si nuit]],fin_nuit)-MAX(H_Juin[[#This Row],[début]],deb_nuit))-IF(H_Juin[[#This Row],[PNP Début]]=0,0,MIN(H_Juin[[#This Row],[PNP Fin corrigée]],fin_nuit)-MAX(H_Juin[[#This Row],[PNP Début corrigé]],deb_nuit)))*24</f>
        <v>0</v>
      </c>
      <c r="Q47" s="51">
        <f>(IF(WEEKDAY(H_Juin[[#This Row],[Date]],2)=7,MAX(0,MIN(fin_dimJF,H_Juin[[#This Row],[Fin corrigée si nuit]])-MAX(deb_dimJF,H_Juin[[#This Row],[début]])),0)+IF(WEEKDAY(H_Juin[[#This Row],[Date]],2)=6,MAX(0,H_Juin[[#This Row],[Fin corrigée si nuit]]-(1+deb_dimJF)),0))*24</f>
        <v>0</v>
      </c>
      <c r="R47"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7" s="51">
        <f>(IF(COUNTIF(JF,H_Juin[[#This Row],[Date]]),MAX(0,MIN(fin_dimJF,H_Juin[[#This Row],[Fin corrigée si nuit]])-MAX(deb_dimJF,H_Juin[[#This Row],[début]])),0)+IF(COUNTIF(JF,H_Juin[[#This Row],[Date]]+1),MAX(0,H_Juin[[#This Row],[Fin corrigée si nuit]]-(1+deb_dimJF)),0))*24</f>
        <v>0</v>
      </c>
      <c r="T47"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8" spans="1:20" x14ac:dyDescent="0.3">
      <c r="A48" s="4"/>
      <c r="B48" s="1"/>
      <c r="C48" s="2"/>
      <c r="D48" s="2"/>
      <c r="E48" s="3"/>
      <c r="F48" s="3"/>
      <c r="G48" s="3"/>
      <c r="H48" s="3"/>
      <c r="I48" s="47">
        <f>0.1*(H_Juin[[#This Row],[Heures de nuit]]+IF(H_Juin[[#This Row],[majoration dim &amp; JF]]="non",0,H_Juin[[#This Row],[heures jour dimanche]]+H_Juin[[#This Row],[heures jour fériés]]))</f>
        <v>0</v>
      </c>
      <c r="J48" s="48">
        <f>(MOD(H_Juin[[#This Row],[Fin]]-H_Juin[[#This Row],[début]],1)-MOD(H_Juin[[#This Row],[PNP Fin]]-H_Juin[[#This Row],[PNP Début]],1))*24</f>
        <v>0</v>
      </c>
      <c r="K48" s="119" t="str">
        <f>IFERROR(VLOOKUP(H_Juin[[#This Row],[Service]],Codes[],4,0),"")</f>
        <v/>
      </c>
      <c r="L48" s="49">
        <f>IF(H_Juin[[#This Row],[PNP Début]]=0,0,IF(H_Juin[[#This Row],[PNP Début]]&lt;H_Juin[[#This Row],[début]],1,0)+H_Juin[[#This Row],[PNP Début]])</f>
        <v>0</v>
      </c>
      <c r="M48" s="50">
        <f>IF(H_Juin[[#This Row],[PNP Fin]]=0,0,IF(H_Juin[[#This Row],[PNP Fin]]&lt;H_Juin[[#This Row],[début]],1,0)+H_Juin[[#This Row],[PNP Fin]])</f>
        <v>0</v>
      </c>
      <c r="N48" s="50">
        <f>IF(H_Juin[[#This Row],[Fin]]&lt;H_Juin[[#This Row],[début]],1,0)+H_Juin[[#This Row],[Fin]]</f>
        <v>0</v>
      </c>
      <c r="O48" s="31">
        <f>IF(H_Juin[[#This Row],[Fin]]&lt;H_Juin[[#This Row],[début]],MAX(0,MIN(H_Juin[[#This Row],[Fin corrigée si nuit]],fin_nuit)-MAX(H_Juin[[#This Row],[début]],deb_nuit))*24,(MAX(deb_nuit,H_Juin[[#This Row],[Fin]])-MAX(deb_nuit,H_Juin[[#This Row],[début]])+MAX(MIN(fin_nuit-1,H_Juin[[#This Row],[Fin]])-MIN(fin_nuit-1,H_Juin[[#This Row],[début]]),0))*24)</f>
        <v>0</v>
      </c>
      <c r="P48" s="51">
        <f>(MAX(0,MIN(H_Juin[[#This Row],[Fin corrigée si nuit]],fin_nuit)-MAX(H_Juin[[#This Row],[début]],deb_nuit))-IF(H_Juin[[#This Row],[PNP Début]]=0,0,MIN(H_Juin[[#This Row],[PNP Fin corrigée]],fin_nuit)-MAX(H_Juin[[#This Row],[PNP Début corrigé]],deb_nuit)))*24</f>
        <v>0</v>
      </c>
      <c r="Q48" s="51">
        <f>(IF(WEEKDAY(H_Juin[[#This Row],[Date]],2)=7,MAX(0,MIN(fin_dimJF,H_Juin[[#This Row],[Fin corrigée si nuit]])-MAX(deb_dimJF,H_Juin[[#This Row],[début]])),0)+IF(WEEKDAY(H_Juin[[#This Row],[Date]],2)=6,MAX(0,H_Juin[[#This Row],[Fin corrigée si nuit]]-(1+deb_dimJF)),0))*24</f>
        <v>0</v>
      </c>
      <c r="R48"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8" s="51">
        <f>(IF(COUNTIF(JF,H_Juin[[#This Row],[Date]]),MAX(0,MIN(fin_dimJF,H_Juin[[#This Row],[Fin corrigée si nuit]])-MAX(deb_dimJF,H_Juin[[#This Row],[début]])),0)+IF(COUNTIF(JF,H_Juin[[#This Row],[Date]]+1),MAX(0,H_Juin[[#This Row],[Fin corrigée si nuit]]-(1+deb_dimJF)),0))*24</f>
        <v>0</v>
      </c>
      <c r="T48"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49" spans="1:20" ht="15" thickBot="1" x14ac:dyDescent="0.35">
      <c r="A49" s="4"/>
      <c r="B49" s="1"/>
      <c r="C49" s="2"/>
      <c r="D49" s="2"/>
      <c r="E49" s="3"/>
      <c r="F49" s="3"/>
      <c r="G49" s="3"/>
      <c r="H49" s="3"/>
      <c r="I49" s="47">
        <f>0.1*(H_Juin[[#This Row],[Heures de nuit]]+IF(H_Juin[[#This Row],[majoration dim &amp; JF]]="non",0,H_Juin[[#This Row],[heures jour dimanche]]+H_Juin[[#This Row],[heures jour fériés]]))</f>
        <v>0</v>
      </c>
      <c r="J49" s="48">
        <f>(MOD(H_Juin[[#This Row],[Fin]]-H_Juin[[#This Row],[début]],1)-MOD(H_Juin[[#This Row],[PNP Fin]]-H_Juin[[#This Row],[PNP Début]],1))*24</f>
        <v>0</v>
      </c>
      <c r="K49" s="119" t="str">
        <f>IFERROR(VLOOKUP(H_Juin[[#This Row],[Service]],Codes[],4,0),"")</f>
        <v/>
      </c>
      <c r="L49" s="49">
        <f>IF(H_Juin[[#This Row],[PNP Début]]=0,0,IF(H_Juin[[#This Row],[PNP Début]]&lt;H_Juin[[#This Row],[début]],1,0)+H_Juin[[#This Row],[PNP Début]])</f>
        <v>0</v>
      </c>
      <c r="M49" s="50">
        <f>IF(H_Juin[[#This Row],[PNP Fin]]=0,0,IF(H_Juin[[#This Row],[PNP Fin]]&lt;H_Juin[[#This Row],[début]],1,0)+H_Juin[[#This Row],[PNP Fin]])</f>
        <v>0</v>
      </c>
      <c r="N49" s="50">
        <f>IF(H_Juin[[#This Row],[Fin]]&lt;H_Juin[[#This Row],[début]],1,0)+H_Juin[[#This Row],[Fin]]</f>
        <v>0</v>
      </c>
      <c r="O49" s="31">
        <f>IF(H_Juin[[#This Row],[Fin]]&lt;H_Juin[[#This Row],[début]],MAX(0,MIN(H_Juin[[#This Row],[Fin corrigée si nuit]],fin_nuit)-MAX(H_Juin[[#This Row],[début]],deb_nuit))*24,(MAX(deb_nuit,H_Juin[[#This Row],[Fin]])-MAX(deb_nuit,H_Juin[[#This Row],[début]])+MAX(MIN(fin_nuit-1,H_Juin[[#This Row],[Fin]])-MIN(fin_nuit-1,H_Juin[[#This Row],[début]]),0))*24)</f>
        <v>0</v>
      </c>
      <c r="P49" s="51">
        <f>(MAX(0,MIN(H_Juin[[#This Row],[Fin corrigée si nuit]],fin_nuit)-MAX(H_Juin[[#This Row],[début]],deb_nuit))-IF(H_Juin[[#This Row],[PNP Début]]=0,0,MIN(H_Juin[[#This Row],[PNP Fin corrigée]],fin_nuit)-MAX(H_Juin[[#This Row],[PNP Début corrigé]],deb_nuit)))*24</f>
        <v>0</v>
      </c>
      <c r="Q49" s="51">
        <f>(IF(WEEKDAY(H_Juin[[#This Row],[Date]],2)=7,MAX(0,MIN(fin_dimJF,H_Juin[[#This Row],[Fin corrigée si nuit]])-MAX(deb_dimJF,H_Juin[[#This Row],[début]])),0)+IF(WEEKDAY(H_Juin[[#This Row],[Date]],2)=6,MAX(0,H_Juin[[#This Row],[Fin corrigée si nuit]]-(1+deb_dimJF)),0))*24</f>
        <v>0</v>
      </c>
      <c r="R49" s="51">
        <f>(IF(WEEKDAY(H_Juin[[#This Row],[Date]],2)=7,MAX(0,MIN(fin_dimJF,H_Juin[[#This Row],[Fin corrigée si nuit]])-MAX(deb_dimJF,H_Juin[[#This Row],[début]])),0)+IF(WEEKDAY(H_Juin[[#This Row],[Date]],2)=6,MAX(0,H_Juin[[#This Row],[Fin corrigée si nuit]]-(1+deb_dimJF)),0))*24-
(IF(WEEKDAY(H_Juin[[#This Row],[Date]],2)=7,MAX(0,MIN(fin_dimJF,H_Juin[[#This Row],[PNP Fin corrigée]])-MAX(deb_dimJF,H_Juin[[#This Row],[PNP Début corrigé]])),0)+IF(WEEKDAY(H_Juin[[#This Row],[Date]],2)=6,MAX(0,H_Juin[[#This Row],[PNP Fin corrigée]]-(1+deb_dimJF)),0))*24</f>
        <v>0</v>
      </c>
      <c r="S49" s="51">
        <f>(IF(COUNTIF(JF,H_Juin[[#This Row],[Date]]),MAX(0,MIN(fin_dimJF,H_Juin[[#This Row],[Fin corrigée si nuit]])-MAX(deb_dimJF,H_Juin[[#This Row],[début]])),0)+IF(COUNTIF(JF,H_Juin[[#This Row],[Date]]+1),MAX(0,H_Juin[[#This Row],[Fin corrigée si nuit]]-(1+deb_dimJF)),0))*24</f>
        <v>0</v>
      </c>
      <c r="T49" s="51">
        <f>(IF(COUNTIF(JF,H_Juin[[#This Row],[Date]]),MAX(0,MIN(fin_dimJF,H_Juin[[#This Row],[Fin corrigée si nuit]])-MAX(deb_dimJF,H_Juin[[#This Row],[début]])),0)+IF(COUNTIF(JF,H_Juin[[#This Row],[Date]]+1),MAX(0,H_Juin[[#This Row],[Fin corrigée si nuit]]-(1+deb_dimJF)),0))*24-
(IF(COUNTIF(JF,H_Juin[[#This Row],[Date]]),MAX(0,MIN(fin_dimJF,H_Juin[[#This Row],[PNP Fin corrigée]])-MAX(deb_dimJF,H_Juin[[#This Row],[PNP Début corrigé]])),0)+IF(COUNTIF(JF,H_Juin[[#This Row],[Date]]+1),MAX(0,H_Juin[[#This Row],[PNP Fin corrigée]]-(1+deb_dimJF)),0))*24</f>
        <v>0</v>
      </c>
    </row>
    <row r="50" spans="1:20" ht="16.2" thickBot="1" x14ac:dyDescent="0.35">
      <c r="A50" s="52"/>
      <c r="B50" s="15"/>
      <c r="C50" s="15"/>
      <c r="D50" s="15"/>
      <c r="E50" s="144" t="s">
        <v>29</v>
      </c>
      <c r="F50" s="145"/>
      <c r="G50" s="145"/>
      <c r="H50" s="146"/>
      <c r="I50" s="53">
        <f>SUM(H_Juin[Majoration])</f>
        <v>0</v>
      </c>
      <c r="J50" s="54">
        <f>SUM(H_Juin[Heures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181" priority="1">
      <formula>$K13="non"</formula>
    </cfRule>
  </conditionalFormatting>
  <dataValidations count="3">
    <dataValidation type="date" operator="greaterThan" allowBlank="1" showInputMessage="1" showErrorMessage="1" error="Tapez le mois sous le format suivant_x000a_09/17" promptTitle="Mois du relevé" sqref="J5:K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L12:O49"/>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9217" r:id="rId4" name="CommandButton1">
          <controlPr defaultSize="0" print="0" autoLine="0" r:id="rId5">
            <anchor moveWithCells="1">
              <from>
                <xdr:col>9</xdr:col>
                <xdr:colOff>480060</xdr:colOff>
                <xdr:row>0</xdr:row>
                <xdr:rowOff>83820</xdr:rowOff>
              </from>
              <to>
                <xdr:col>9</xdr:col>
                <xdr:colOff>1272540</xdr:colOff>
                <xdr:row>3</xdr:row>
                <xdr:rowOff>198120</xdr:rowOff>
              </to>
            </anchor>
          </controlPr>
        </control>
      </mc:Choice>
      <mc:Fallback>
        <control shapeId="9217"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Z60"/>
  <sheetViews>
    <sheetView topLeftCell="A8" zoomScale="80" zoomScaleNormal="80" zoomScalePageLayoutView="55" workbookViewId="0">
      <selection activeCell="X17" sqref="X17"/>
    </sheetView>
  </sheetViews>
  <sheetFormatPr baseColWidth="10" defaultRowHeight="14.4" x14ac:dyDescent="0.3"/>
  <cols>
    <col min="1" max="1" width="20.10937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8.2187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Juillet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0.1*(H_Juil[[#This Row],[Heures de nuit]]+IF(H_Juil[[#This Row],[majoration dim &amp; JF]]="non",0,H_Juil[[#This Row],[heures jour dimanche]]+H_Juil[[#This Row],[heures jour fériés]]))</f>
        <v>0</v>
      </c>
      <c r="J13" s="29">
        <f>(MOD(H_Juil[[#This Row],[Fin]]-H_Juil[[#This Row],[début]],1)-MOD(H_Juil[[#This Row],[PNP Fin]]-H_Juil[[#This Row],[PNP Début]],1))*24</f>
        <v>0</v>
      </c>
      <c r="K13" s="29" t="str">
        <f>IFERROR(VLOOKUP(H_Juil[[#This Row],[Service]],Codes[],4,0),"")</f>
        <v/>
      </c>
      <c r="L13" s="30">
        <f>IF(H_Juil[[#This Row],[PNP Début]]=0,0,IF(H_Juil[[#This Row],[PNP Début]]&lt;H_Juil[[#This Row],[début]],1,0)+H_Juil[[#This Row],[PNP Début]])</f>
        <v>0</v>
      </c>
      <c r="M13" s="30">
        <f>IF(H_Juil[[#This Row],[PNP Fin]]=0,0,IF(H_Juil[[#This Row],[PNP Fin]]&lt;H_Juil[[#This Row],[début]],1,0)+H_Juil[[#This Row],[PNP Fin]])</f>
        <v>0</v>
      </c>
      <c r="N13" s="30">
        <f>IF(H_Juil[[#This Row],[Fin]]&lt;H_Juil[[#This Row],[début]],1,0)+H_Juil[[#This Row],[Fin]]</f>
        <v>0</v>
      </c>
      <c r="O13" s="31">
        <f>IF(H_Juil[[#This Row],[Fin]]&lt;H_Juil[[#This Row],[début]],MAX(0,MIN(H_Juil[[#This Row],[Fin corrigée si nuit]],fin_nuit)-MAX(H_Juil[[#This Row],[début]],deb_nuit))*24,(MAX(deb_nuit,H_Juil[[#This Row],[Fin]])-MAX(deb_nuit,H_Juil[[#This Row],[début]])+MAX(MIN(fin_nuit-1,H_Juil[[#This Row],[Fin]])-MIN(fin_nuit-1,H_Juil[[#This Row],[début]]),0))*24)</f>
        <v>0</v>
      </c>
      <c r="P13" s="31">
        <f>(MAX(0,MIN(H_Juil[[#This Row],[Fin corrigée si nuit]],fin_nuit)-MAX(H_Juil[[#This Row],[début]],deb_nuit))-IF(H_Juil[[#This Row],[PNP Début]]=0,0,MIN(H_Juil[[#This Row],[PNP Fin corrigée]],fin_nuit)-MAX(H_Juil[[#This Row],[PNP Début corrigé]],deb_nuit)))*24</f>
        <v>0</v>
      </c>
      <c r="Q13" s="31">
        <f>(IF(WEEKDAY(H_Juil[[#This Row],[Date]],2)=7,MAX(0,MIN(fin_dimJF,H_Juil[[#This Row],[Fin corrigée si nuit]])-MAX(deb_dimJF,H_Juil[[#This Row],[début]])),0)+IF(WEEKDAY(H_Juil[[#This Row],[Date]],2)=6,MAX(0,H_Juil[[#This Row],[Fin corrigée si nuit]]-(1+deb_dimJF)),0))*24</f>
        <v>0</v>
      </c>
      <c r="R13" s="3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13" s="32">
        <f>(IF(COUNTIF(JF,H_Juil[[#This Row],[Date]]),MAX(0,MIN(fin_dimJF,H_Juil[[#This Row],[Fin corrigée si nuit]])-MAX(deb_dimJF,H_Juil[[#This Row],[début]])),0)+IF(COUNTIF(JF,H_Juil[[#This Row],[Date]]+1),MAX(0,H_Juil[[#This Row],[Fin corrigée si nuit]]-(1+deb_dimJF)),0))*24</f>
        <v>0</v>
      </c>
      <c r="T13" s="32">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c r="V13" s="124"/>
      <c r="W13" s="124"/>
      <c r="X13" s="124"/>
      <c r="Y13" s="124"/>
      <c r="Z13" s="124"/>
    </row>
    <row r="14" spans="1:26" x14ac:dyDescent="0.3">
      <c r="A14" s="4"/>
      <c r="B14" s="1"/>
      <c r="C14" s="113"/>
      <c r="D14" s="113"/>
      <c r="E14" s="3"/>
      <c r="F14" s="3"/>
      <c r="G14" s="3"/>
      <c r="H14" s="3"/>
      <c r="I14" s="28">
        <f>0.1*(H_Juil[[#This Row],[Heures de nuit]]+IF(H_Juil[[#This Row],[majoration dim &amp; JF]]="non",0,H_Juil[[#This Row],[heures jour dimanche]]+H_Juil[[#This Row],[heures jour fériés]]))</f>
        <v>0</v>
      </c>
      <c r="J14" s="29">
        <f>(MOD(H_Juil[[#This Row],[Fin]]-H_Juil[[#This Row],[début]],1)-MOD(H_Juil[[#This Row],[PNP Fin]]-H_Juil[[#This Row],[PNP Début]],1))*24</f>
        <v>0</v>
      </c>
      <c r="K14" s="29" t="str">
        <f>IFERROR(VLOOKUP(H_Juil[[#This Row],[Service]],Codes[],4,0),"")</f>
        <v/>
      </c>
      <c r="L14" s="30">
        <f>IF(H_Juil[[#This Row],[PNP Début]]=0,0,IF(H_Juil[[#This Row],[PNP Début]]&lt;H_Juil[[#This Row],[début]],1,0)+H_Juil[[#This Row],[PNP Début]])</f>
        <v>0</v>
      </c>
      <c r="M14" s="30">
        <f>IF(H_Juil[[#This Row],[PNP Fin]]=0,0,IF(H_Juil[[#This Row],[PNP Fin]]&lt;H_Juil[[#This Row],[début]],1,0)+H_Juil[[#This Row],[PNP Fin]])</f>
        <v>0</v>
      </c>
      <c r="N14" s="30">
        <f>IF(H_Juil[[#This Row],[Fin]]&lt;H_Juil[[#This Row],[début]],1,0)+H_Juil[[#This Row],[Fin]]</f>
        <v>0</v>
      </c>
      <c r="O14" s="31">
        <f>IF(H_Juil[[#This Row],[Fin]]&lt;H_Juil[[#This Row],[début]],MAX(0,MIN(H_Juil[[#This Row],[Fin corrigée si nuit]],fin_nuit)-MAX(H_Juil[[#This Row],[début]],deb_nuit))*24,(MAX(deb_nuit,H_Juil[[#This Row],[Fin]])-MAX(deb_nuit,H_Juil[[#This Row],[début]])+MAX(MIN(fin_nuit-1,H_Juil[[#This Row],[Fin]])-MIN(fin_nuit-1,H_Juil[[#This Row],[début]]),0))*24)</f>
        <v>0</v>
      </c>
      <c r="P14" s="31">
        <f>(MAX(0,MIN(H_Juil[[#This Row],[Fin corrigée si nuit]],fin_nuit)-MAX(H_Juil[[#This Row],[début]],deb_nuit))-IF(H_Juil[[#This Row],[PNP Début]]=0,0,MIN(H_Juil[[#This Row],[PNP Fin corrigée]],fin_nuit)-MAX(H_Juil[[#This Row],[PNP Début corrigé]],deb_nuit)))*24</f>
        <v>0</v>
      </c>
      <c r="Q14" s="31">
        <f>(IF(WEEKDAY(H_Juil[[#This Row],[Date]],2)=7,MAX(0,MIN(fin_dimJF,H_Juil[[#This Row],[Fin corrigée si nuit]])-MAX(deb_dimJF,H_Juil[[#This Row],[début]])),0)+IF(WEEKDAY(H_Juil[[#This Row],[Date]],2)=6,MAX(0,H_Juil[[#This Row],[Fin corrigée si nuit]]-(1+deb_dimJF)),0))*24</f>
        <v>0</v>
      </c>
      <c r="R14" s="3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14" s="32">
        <f>(IF(COUNTIF(JF,H_Juil[[#This Row],[Date]]),MAX(0,MIN(fin_dimJF,H_Juil[[#This Row],[Fin corrigée si nuit]])-MAX(deb_dimJF,H_Juil[[#This Row],[début]])),0)+IF(COUNTIF(JF,H_Juil[[#This Row],[Date]]+1),MAX(0,H_Juil[[#This Row],[Fin corrigée si nuit]]-(1+deb_dimJF)),0))*24</f>
        <v>0</v>
      </c>
      <c r="T14" s="32">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c r="V14" s="124"/>
      <c r="W14" s="124"/>
      <c r="X14" s="124"/>
      <c r="Y14" s="124"/>
      <c r="Z14" s="124"/>
    </row>
    <row r="15" spans="1:26" x14ac:dyDescent="0.3">
      <c r="A15" s="4"/>
      <c r="B15" s="1"/>
      <c r="C15" s="2"/>
      <c r="D15" s="2"/>
      <c r="E15" s="3"/>
      <c r="F15" s="3"/>
      <c r="G15" s="3"/>
      <c r="H15" s="3"/>
      <c r="I15" s="28">
        <f>0.1*(H_Juil[[#This Row],[Heures de nuit]]+IF(H_Juil[[#This Row],[majoration dim &amp; JF]]="non",0,H_Juil[[#This Row],[heures jour dimanche]]+H_Juil[[#This Row],[heures jour fériés]]))</f>
        <v>0</v>
      </c>
      <c r="J15" s="29">
        <f>(MOD(H_Juil[[#This Row],[Fin]]-H_Juil[[#This Row],[début]],1)-MOD(H_Juil[[#This Row],[PNP Fin]]-H_Juil[[#This Row],[PNP Début]],1))*24</f>
        <v>0</v>
      </c>
      <c r="K15" s="29" t="str">
        <f>IFERROR(VLOOKUP(H_Juil[[#This Row],[Service]],Codes[],4,0),"")</f>
        <v/>
      </c>
      <c r="L15" s="30">
        <f>IF(H_Juil[[#This Row],[PNP Début]]=0,0,IF(H_Juil[[#This Row],[PNP Début]]&lt;H_Juil[[#This Row],[début]],1,0)+H_Juil[[#This Row],[PNP Début]])</f>
        <v>0</v>
      </c>
      <c r="M15" s="30">
        <f>IF(H_Juil[[#This Row],[PNP Fin]]=0,0,IF(H_Juil[[#This Row],[PNP Fin]]&lt;H_Juil[[#This Row],[début]],1,0)+H_Juil[[#This Row],[PNP Fin]])</f>
        <v>0</v>
      </c>
      <c r="N15" s="30">
        <f>IF(H_Juil[[#This Row],[Fin]]&lt;H_Juil[[#This Row],[début]],1,0)+H_Juil[[#This Row],[Fin]]</f>
        <v>0</v>
      </c>
      <c r="O15" s="31">
        <f>IF(H_Juil[[#This Row],[Fin]]&lt;H_Juil[[#This Row],[début]],MAX(0,MIN(H_Juil[[#This Row],[Fin corrigée si nuit]],fin_nuit)-MAX(H_Juil[[#This Row],[début]],deb_nuit))*24,(MAX(deb_nuit,H_Juil[[#This Row],[Fin]])-MAX(deb_nuit,H_Juil[[#This Row],[début]])+MAX(MIN(fin_nuit-1,H_Juil[[#This Row],[Fin]])-MIN(fin_nuit-1,H_Juil[[#This Row],[début]]),0))*24)</f>
        <v>0</v>
      </c>
      <c r="P15" s="31">
        <f>(MAX(0,MIN(H_Juil[[#This Row],[Fin corrigée si nuit]],fin_nuit)-MAX(H_Juil[[#This Row],[début]],deb_nuit))-IF(H_Juil[[#This Row],[PNP Début]]=0,0,MIN(H_Juil[[#This Row],[PNP Fin corrigée]],fin_nuit)-MAX(H_Juil[[#This Row],[PNP Début corrigé]],deb_nuit)))*24</f>
        <v>0</v>
      </c>
      <c r="Q15" s="31">
        <f>(IF(WEEKDAY(H_Juil[[#This Row],[Date]],2)=7,MAX(0,MIN(fin_dimJF,H_Juil[[#This Row],[Fin corrigée si nuit]])-MAX(deb_dimJF,H_Juil[[#This Row],[début]])),0)+IF(WEEKDAY(H_Juil[[#This Row],[Date]],2)=6,MAX(0,H_Juil[[#This Row],[Fin corrigée si nuit]]-(1+deb_dimJF)),0))*24</f>
        <v>0</v>
      </c>
      <c r="R15" s="3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15" s="32">
        <f>(IF(COUNTIF(JF,H_Juil[[#This Row],[Date]]),MAX(0,MIN(fin_dimJF,H_Juil[[#This Row],[Fin corrigée si nuit]])-MAX(deb_dimJF,H_Juil[[#This Row],[début]])),0)+IF(COUNTIF(JF,H_Juil[[#This Row],[Date]]+1),MAX(0,H_Juil[[#This Row],[Fin corrigée si nuit]]-(1+deb_dimJF)),0))*24</f>
        <v>0</v>
      </c>
      <c r="T15" s="32">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0.1*(H_Juil[[#This Row],[Heures de nuit]]+IF(H_Juil[[#This Row],[majoration dim &amp; JF]]="non",0,H_Juil[[#This Row],[heures jour dimanche]]+H_Juil[[#This Row],[heures jour fériés]]))</f>
        <v>0</v>
      </c>
      <c r="J16" s="33">
        <f>(MOD(H_Juil[[#This Row],[Fin]]-H_Juil[[#This Row],[début]],1)-MOD(H_Juil[[#This Row],[PNP Fin]]-H_Juil[[#This Row],[PNP Début]],1))*24</f>
        <v>0</v>
      </c>
      <c r="K16" s="33" t="str">
        <f>IFERROR(VLOOKUP(H_Juil[[#This Row],[Service]],Codes[],4,0),"")</f>
        <v/>
      </c>
      <c r="L16" s="30">
        <f>IF(H_Juil[[#This Row],[PNP Début]]=0,0,IF(H_Juil[[#This Row],[PNP Début]]&lt;H_Juil[[#This Row],[début]],1,0)+H_Juil[[#This Row],[PNP Début]])</f>
        <v>0</v>
      </c>
      <c r="M16" s="30">
        <f>IF(H_Juil[[#This Row],[PNP Fin]]=0,0,IF(H_Juil[[#This Row],[PNP Fin]]&lt;H_Juil[[#This Row],[début]],1,0)+H_Juil[[#This Row],[PNP Fin]])</f>
        <v>0</v>
      </c>
      <c r="N16" s="34">
        <f>IF(H_Juil[[#This Row],[Fin]]&lt;H_Juil[[#This Row],[début]],1,0)+H_Juil[[#This Row],[Fin]]</f>
        <v>0</v>
      </c>
      <c r="O16" s="31">
        <f>IF(H_Juil[[#This Row],[Fin]]&lt;H_Juil[[#This Row],[début]],MAX(0,MIN(H_Juil[[#This Row],[Fin corrigée si nuit]],fin_nuit)-MAX(H_Juil[[#This Row],[début]],deb_nuit))*24,(MAX(deb_nuit,H_Juil[[#This Row],[Fin]])-MAX(deb_nuit,H_Juil[[#This Row],[début]])+MAX(MIN(fin_nuit-1,H_Juil[[#This Row],[Fin]])-MIN(fin_nuit-1,H_Juil[[#This Row],[début]]),0))*24)</f>
        <v>0</v>
      </c>
      <c r="P16" s="35">
        <f>(MAX(0,MIN(H_Juil[[#This Row],[Fin corrigée si nuit]],fin_nuit)-MAX(H_Juil[[#This Row],[début]],deb_nuit))-IF(H_Juil[[#This Row],[PNP Début]]=0,0,MIN(H_Juil[[#This Row],[PNP Fin corrigée]],fin_nuit)-MAX(H_Juil[[#This Row],[PNP Début corrigé]],deb_nuit)))*24</f>
        <v>0</v>
      </c>
      <c r="Q16" s="35">
        <f>(IF(WEEKDAY(H_Juil[[#This Row],[Date]],2)=7,MAX(0,MIN(fin_dimJF,H_Juil[[#This Row],[Fin corrigée si nuit]])-MAX(deb_dimJF,H_Juil[[#This Row],[début]])),0)+IF(WEEKDAY(H_Juil[[#This Row],[Date]],2)=6,MAX(0,H_Juil[[#This Row],[Fin corrigée si nuit]]-(1+deb_dimJF)),0))*24</f>
        <v>0</v>
      </c>
      <c r="R16" s="3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16" s="36">
        <f>(IF(COUNTIF(JF,H_Juil[[#This Row],[Date]]),MAX(0,MIN(fin_dimJF,H_Juil[[#This Row],[Fin corrigée si nuit]])-MAX(deb_dimJF,H_Juil[[#This Row],[début]])),0)+IF(COUNTIF(JF,H_Juil[[#This Row],[Date]]+1),MAX(0,H_Juil[[#This Row],[Fin corrigée si nuit]]-(1+deb_dimJF)),0))*24</f>
        <v>0</v>
      </c>
      <c r="T16" s="36">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c r="V16" s="127" t="s">
        <v>135</v>
      </c>
      <c r="W16" s="128">
        <f>'Juin 18'!Z16</f>
        <v>20.100000000000001</v>
      </c>
      <c r="X16" s="128">
        <f>I50</f>
        <v>0</v>
      </c>
      <c r="Y16" s="128"/>
      <c r="Z16" s="128">
        <f>W16+X16-Y16</f>
        <v>20.100000000000001</v>
      </c>
    </row>
    <row r="17" spans="1:20" x14ac:dyDescent="0.3">
      <c r="A17" s="4"/>
      <c r="B17" s="1"/>
      <c r="C17" s="2"/>
      <c r="D17" s="2"/>
      <c r="E17" s="3"/>
      <c r="F17" s="3"/>
      <c r="G17" s="9"/>
      <c r="H17" s="9"/>
      <c r="I17" s="37">
        <f>0.1*(H_Juil[[#This Row],[Heures de nuit]]+IF(H_Juil[[#This Row],[majoration dim &amp; JF]]="non",0,H_Juil[[#This Row],[heures jour dimanche]]+H_Juil[[#This Row],[heures jour fériés]]))</f>
        <v>0</v>
      </c>
      <c r="J17" s="38">
        <f>(MOD(H_Juil[[#This Row],[Fin]]-H_Juil[[#This Row],[début]],1)-MOD(H_Juil[[#This Row],[PNP Fin]]-H_Juil[[#This Row],[PNP Début]],1))*24</f>
        <v>0</v>
      </c>
      <c r="K17" s="122" t="str">
        <f>IFERROR(VLOOKUP(H_Juil[[#This Row],[Service]],Codes[],4,0),"")</f>
        <v/>
      </c>
      <c r="L17" s="39">
        <f>IF(H_Juil[[#This Row],[PNP Début]]=0,0,IF(H_Juil[[#This Row],[PNP Début]]&lt;H_Juil[[#This Row],[début]],1,0)+H_Juil[[#This Row],[PNP Début]])</f>
        <v>0</v>
      </c>
      <c r="M17" s="40">
        <f>IF(H_Juil[[#This Row],[PNP Fin]]=0,0,IF(H_Juil[[#This Row],[PNP Fin]]&lt;H_Juil[[#This Row],[début]],1,0)+H_Juil[[#This Row],[PNP Fin]])</f>
        <v>0</v>
      </c>
      <c r="N17" s="40">
        <f>IF(H_Juil[[#This Row],[Fin]]&lt;H_Juil[[#This Row],[début]],1,0)+H_Juil[[#This Row],[Fin]]</f>
        <v>0</v>
      </c>
      <c r="O17" s="31">
        <f>IF(H_Juil[[#This Row],[Fin]]&lt;H_Juil[[#This Row],[début]],MAX(0,MIN(H_Juil[[#This Row],[Fin corrigée si nuit]],fin_nuit)-MAX(H_Juil[[#This Row],[début]],deb_nuit))*24,(MAX(deb_nuit,H_Juil[[#This Row],[Fin]])-MAX(deb_nuit,H_Juil[[#This Row],[début]])+MAX(MIN(fin_nuit-1,H_Juil[[#This Row],[Fin]])-MIN(fin_nuit-1,H_Juil[[#This Row],[début]]),0))*24)</f>
        <v>0</v>
      </c>
      <c r="P17" s="41">
        <f>(MAX(0,MIN(H_Juil[[#This Row],[Fin corrigée si nuit]],fin_nuit)-MAX(H_Juil[[#This Row],[début]],deb_nuit))-IF(H_Juil[[#This Row],[PNP Début]]=0,0,MIN(H_Juil[[#This Row],[PNP Fin corrigée]],fin_nuit)-MAX(H_Juil[[#This Row],[PNP Début corrigé]],deb_nuit)))*24</f>
        <v>0</v>
      </c>
      <c r="Q17" s="41">
        <f>(IF(WEEKDAY(H_Juil[[#This Row],[Date]],2)=7,MAX(0,MIN(fin_dimJF,H_Juil[[#This Row],[Fin corrigée si nuit]])-MAX(deb_dimJF,H_Juil[[#This Row],[début]])),0)+IF(WEEKDAY(H_Juil[[#This Row],[Date]],2)=6,MAX(0,H_Juil[[#This Row],[Fin corrigée si nuit]]-(1+deb_dimJF)),0))*24</f>
        <v>0</v>
      </c>
      <c r="R17" s="4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17" s="41">
        <f>(IF(COUNTIF(JF,H_Juil[[#This Row],[Date]]),MAX(0,MIN(fin_dimJF,H_Juil[[#This Row],[Fin corrigée si nuit]])-MAX(deb_dimJF,H_Juil[[#This Row],[début]])),0)+IF(COUNTIF(JF,H_Juil[[#This Row],[Date]]+1),MAX(0,H_Juil[[#This Row],[Fin corrigée si nuit]]-(1+deb_dimJF)),0))*24</f>
        <v>0</v>
      </c>
      <c r="T17" s="4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18" spans="1:20" x14ac:dyDescent="0.3">
      <c r="A18" s="4"/>
      <c r="B18" s="1"/>
      <c r="C18" s="2"/>
      <c r="D18" s="2"/>
      <c r="E18" s="9"/>
      <c r="F18" s="9"/>
      <c r="G18" s="9"/>
      <c r="H18" s="9"/>
      <c r="I18" s="37">
        <f>0.1*(H_Juil[[#This Row],[Heures de nuit]]+IF(H_Juil[[#This Row],[majoration dim &amp; JF]]="non",0,H_Juil[[#This Row],[heures jour dimanche]]+H_Juil[[#This Row],[heures jour fériés]]))</f>
        <v>0</v>
      </c>
      <c r="J18" s="38">
        <f>(MOD(H_Juil[[#This Row],[Fin]]-H_Juil[[#This Row],[début]],1)-MOD(H_Juil[[#This Row],[PNP Fin]]-H_Juil[[#This Row],[PNP Début]],1))*24</f>
        <v>0</v>
      </c>
      <c r="K18" s="122" t="str">
        <f>IFERROR(VLOOKUP(H_Juil[[#This Row],[Service]],Codes[],4,0),"")</f>
        <v/>
      </c>
      <c r="L18" s="39">
        <f>IF(H_Juil[[#This Row],[PNP Début]]=0,0,IF(H_Juil[[#This Row],[PNP Début]]&lt;H_Juil[[#This Row],[début]],1,0)+H_Juil[[#This Row],[PNP Début]])</f>
        <v>0</v>
      </c>
      <c r="M18" s="40">
        <f>IF(H_Juil[[#This Row],[PNP Fin]]=0,0,IF(H_Juil[[#This Row],[PNP Fin]]&lt;H_Juil[[#This Row],[début]],1,0)+H_Juil[[#This Row],[PNP Fin]])</f>
        <v>0</v>
      </c>
      <c r="N18" s="40">
        <f>IF(H_Juil[[#This Row],[Fin]]&lt;H_Juil[[#This Row],[début]],1,0)+H_Juil[[#This Row],[Fin]]</f>
        <v>0</v>
      </c>
      <c r="O18" s="31">
        <f>IF(H_Juil[[#This Row],[Fin]]&lt;H_Juil[[#This Row],[début]],MAX(0,MIN(H_Juil[[#This Row],[Fin corrigée si nuit]],fin_nuit)-MAX(H_Juil[[#This Row],[début]],deb_nuit))*24,(MAX(deb_nuit,H_Juil[[#This Row],[Fin]])-MAX(deb_nuit,H_Juil[[#This Row],[début]])+MAX(MIN(fin_nuit-1,H_Juil[[#This Row],[Fin]])-MIN(fin_nuit-1,H_Juil[[#This Row],[début]]),0))*24)</f>
        <v>0</v>
      </c>
      <c r="P18" s="41">
        <f>(MAX(0,MIN(H_Juil[[#This Row],[Fin corrigée si nuit]],fin_nuit)-MAX(H_Juil[[#This Row],[début]],deb_nuit))-IF(H_Juil[[#This Row],[PNP Début]]=0,0,MIN(H_Juil[[#This Row],[PNP Fin corrigée]],fin_nuit)-MAX(H_Juil[[#This Row],[PNP Début corrigé]],deb_nuit)))*24</f>
        <v>0</v>
      </c>
      <c r="Q18" s="41">
        <f>(IF(WEEKDAY(H_Juil[[#This Row],[Date]],2)=7,MAX(0,MIN(fin_dimJF,H_Juil[[#This Row],[Fin corrigée si nuit]])-MAX(deb_dimJF,H_Juil[[#This Row],[début]])),0)+IF(WEEKDAY(H_Juil[[#This Row],[Date]],2)=6,MAX(0,H_Juil[[#This Row],[Fin corrigée si nuit]]-(1+deb_dimJF)),0))*24</f>
        <v>0</v>
      </c>
      <c r="R18" s="4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18" s="41">
        <f>(IF(COUNTIF(JF,H_Juil[[#This Row],[Date]]),MAX(0,MIN(fin_dimJF,H_Juil[[#This Row],[Fin corrigée si nuit]])-MAX(deb_dimJF,H_Juil[[#This Row],[début]])),0)+IF(COUNTIF(JF,H_Juil[[#This Row],[Date]]+1),MAX(0,H_Juil[[#This Row],[Fin corrigée si nuit]]-(1+deb_dimJF)),0))*24</f>
        <v>0</v>
      </c>
      <c r="T18" s="4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19" spans="1:20" x14ac:dyDescent="0.3">
      <c r="A19" s="4"/>
      <c r="B19" s="1"/>
      <c r="C19" s="2"/>
      <c r="D19" s="2"/>
      <c r="E19" s="3"/>
      <c r="F19" s="3"/>
      <c r="G19" s="9"/>
      <c r="H19" s="9"/>
      <c r="I19" s="37">
        <f>0.1*(H_Juil[[#This Row],[Heures de nuit]]+IF(H_Juil[[#This Row],[majoration dim &amp; JF]]="non",0,H_Juil[[#This Row],[heures jour dimanche]]+H_Juil[[#This Row],[heures jour fériés]]))</f>
        <v>0</v>
      </c>
      <c r="J19" s="38">
        <f>(MOD(H_Juil[[#This Row],[Fin]]-H_Juil[[#This Row],[début]],1)-MOD(H_Juil[[#This Row],[PNP Fin]]-H_Juil[[#This Row],[PNP Début]],1))*24</f>
        <v>0</v>
      </c>
      <c r="K19" s="122" t="str">
        <f>IFERROR(VLOOKUP(H_Juil[[#This Row],[Service]],Codes[],4,0),"")</f>
        <v/>
      </c>
      <c r="L19" s="39">
        <f>IF(H_Juil[[#This Row],[PNP Début]]=0,0,IF(H_Juil[[#This Row],[PNP Début]]&lt;H_Juil[[#This Row],[début]],1,0)+H_Juil[[#This Row],[PNP Début]])</f>
        <v>0</v>
      </c>
      <c r="M19" s="40">
        <f>IF(H_Juil[[#This Row],[PNP Fin]]=0,0,IF(H_Juil[[#This Row],[PNP Fin]]&lt;H_Juil[[#This Row],[début]],1,0)+H_Juil[[#This Row],[PNP Fin]])</f>
        <v>0</v>
      </c>
      <c r="N19" s="40">
        <f>IF(H_Juil[[#This Row],[Fin]]&lt;H_Juil[[#This Row],[début]],1,0)+H_Juil[[#This Row],[Fin]]</f>
        <v>0</v>
      </c>
      <c r="O19" s="31">
        <f>IF(H_Juil[[#This Row],[Fin]]&lt;H_Juil[[#This Row],[début]],MAX(0,MIN(H_Juil[[#This Row],[Fin corrigée si nuit]],fin_nuit)-MAX(H_Juil[[#This Row],[début]],deb_nuit))*24,(MAX(deb_nuit,H_Juil[[#This Row],[Fin]])-MAX(deb_nuit,H_Juil[[#This Row],[début]])+MAX(MIN(fin_nuit-1,H_Juil[[#This Row],[Fin]])-MIN(fin_nuit-1,H_Juil[[#This Row],[début]]),0))*24)</f>
        <v>0</v>
      </c>
      <c r="P19" s="41">
        <f>(MAX(0,MIN(H_Juil[[#This Row],[Fin corrigée si nuit]],fin_nuit)-MAX(H_Juil[[#This Row],[début]],deb_nuit))-IF(H_Juil[[#This Row],[PNP Début]]=0,0,MIN(H_Juil[[#This Row],[PNP Fin corrigée]],fin_nuit)-MAX(H_Juil[[#This Row],[PNP Début corrigé]],deb_nuit)))*24</f>
        <v>0</v>
      </c>
      <c r="Q19" s="41">
        <f>(IF(WEEKDAY(H_Juil[[#This Row],[Date]],2)=7,MAX(0,MIN(fin_dimJF,H_Juil[[#This Row],[Fin corrigée si nuit]])-MAX(deb_dimJF,H_Juil[[#This Row],[début]])),0)+IF(WEEKDAY(H_Juil[[#This Row],[Date]],2)=6,MAX(0,H_Juil[[#This Row],[Fin corrigée si nuit]]-(1+deb_dimJF)),0))*24</f>
        <v>0</v>
      </c>
      <c r="R19" s="4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19" s="41">
        <f>(IF(COUNTIF(JF,H_Juil[[#This Row],[Date]]),MAX(0,MIN(fin_dimJF,H_Juil[[#This Row],[Fin corrigée si nuit]])-MAX(deb_dimJF,H_Juil[[#This Row],[début]])),0)+IF(COUNTIF(JF,H_Juil[[#This Row],[Date]]+1),MAX(0,H_Juil[[#This Row],[Fin corrigée si nuit]]-(1+deb_dimJF)),0))*24</f>
        <v>0</v>
      </c>
      <c r="T19" s="4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0" spans="1:20" x14ac:dyDescent="0.3">
      <c r="A20" s="4"/>
      <c r="B20" s="1"/>
      <c r="C20" s="2"/>
      <c r="D20" s="2"/>
      <c r="E20" s="9"/>
      <c r="F20" s="9"/>
      <c r="G20" s="9"/>
      <c r="H20" s="9"/>
      <c r="I20" s="37">
        <f>0.1*(H_Juil[[#This Row],[Heures de nuit]]+IF(H_Juil[[#This Row],[majoration dim &amp; JF]]="non",0,H_Juil[[#This Row],[heures jour dimanche]]+H_Juil[[#This Row],[heures jour fériés]]))</f>
        <v>0</v>
      </c>
      <c r="J20" s="38">
        <f>(MOD(H_Juil[[#This Row],[Fin]]-H_Juil[[#This Row],[début]],1)-MOD(H_Juil[[#This Row],[PNP Fin]]-H_Juil[[#This Row],[PNP Début]],1))*24</f>
        <v>0</v>
      </c>
      <c r="K20" s="122" t="str">
        <f>IFERROR(VLOOKUP(H_Juil[[#This Row],[Service]],Codes[],4,0),"")</f>
        <v/>
      </c>
      <c r="L20" s="39">
        <f>IF(H_Juil[[#This Row],[PNP Début]]=0,0,IF(H_Juil[[#This Row],[PNP Début]]&lt;H_Juil[[#This Row],[début]],1,0)+H_Juil[[#This Row],[PNP Début]])</f>
        <v>0</v>
      </c>
      <c r="M20" s="40">
        <f>IF(H_Juil[[#This Row],[PNP Fin]]=0,0,IF(H_Juil[[#This Row],[PNP Fin]]&lt;H_Juil[[#This Row],[début]],1,0)+H_Juil[[#This Row],[PNP Fin]])</f>
        <v>0</v>
      </c>
      <c r="N20" s="40">
        <f>IF(H_Juil[[#This Row],[Fin]]&lt;H_Juil[[#This Row],[début]],1,0)+H_Juil[[#This Row],[Fin]]</f>
        <v>0</v>
      </c>
      <c r="O20" s="31">
        <f>IF(H_Juil[[#This Row],[Fin]]&lt;H_Juil[[#This Row],[début]],MAX(0,MIN(H_Juil[[#This Row],[Fin corrigée si nuit]],fin_nuit)-MAX(H_Juil[[#This Row],[début]],deb_nuit))*24,(MAX(deb_nuit,H_Juil[[#This Row],[Fin]])-MAX(deb_nuit,H_Juil[[#This Row],[début]])+MAX(MIN(fin_nuit-1,H_Juil[[#This Row],[Fin]])-MIN(fin_nuit-1,H_Juil[[#This Row],[début]]),0))*24)</f>
        <v>0</v>
      </c>
      <c r="P20" s="41">
        <f>(MAX(0,MIN(H_Juil[[#This Row],[Fin corrigée si nuit]],fin_nuit)-MAX(H_Juil[[#This Row],[début]],deb_nuit))-IF(H_Juil[[#This Row],[PNP Début]]=0,0,MIN(H_Juil[[#This Row],[PNP Fin corrigée]],fin_nuit)-MAX(H_Juil[[#This Row],[PNP Début corrigé]],deb_nuit)))*24</f>
        <v>0</v>
      </c>
      <c r="Q20" s="41">
        <f>(IF(WEEKDAY(H_Juil[[#This Row],[Date]],2)=7,MAX(0,MIN(fin_dimJF,H_Juil[[#This Row],[Fin corrigée si nuit]])-MAX(deb_dimJF,H_Juil[[#This Row],[début]])),0)+IF(WEEKDAY(H_Juil[[#This Row],[Date]],2)=6,MAX(0,H_Juil[[#This Row],[Fin corrigée si nuit]]-(1+deb_dimJF)),0))*24</f>
        <v>0</v>
      </c>
      <c r="R20" s="4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0" s="41">
        <f>(IF(COUNTIF(JF,H_Juil[[#This Row],[Date]]),MAX(0,MIN(fin_dimJF,H_Juil[[#This Row],[Fin corrigée si nuit]])-MAX(deb_dimJF,H_Juil[[#This Row],[début]])),0)+IF(COUNTIF(JF,H_Juil[[#This Row],[Date]]+1),MAX(0,H_Juil[[#This Row],[Fin corrigée si nuit]]-(1+deb_dimJF)),0))*24</f>
        <v>0</v>
      </c>
      <c r="T20" s="4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1" spans="1:20" x14ac:dyDescent="0.3">
      <c r="A21" s="4"/>
      <c r="B21" s="1"/>
      <c r="C21" s="2"/>
      <c r="D21" s="2"/>
      <c r="E21" s="3"/>
      <c r="F21" s="3"/>
      <c r="G21" s="10"/>
      <c r="H21" s="10"/>
      <c r="I21" s="42">
        <f>0.1*(H_Juil[[#This Row],[Heures de nuit]]+IF(H_Juil[[#This Row],[majoration dim &amp; JF]]="non",0,H_Juil[[#This Row],[heures jour dimanche]]+H_Juil[[#This Row],[heures jour fériés]]))</f>
        <v>0</v>
      </c>
      <c r="J21" s="43">
        <f>(MOD(H_Juil[[#This Row],[Fin]]-H_Juil[[#This Row],[début]],1)-MOD(H_Juil[[#This Row],[PNP Fin]]-H_Juil[[#This Row],[PNP Début]],1))*24</f>
        <v>0</v>
      </c>
      <c r="K21" s="123" t="str">
        <f>IFERROR(VLOOKUP(H_Juil[[#This Row],[Service]],Codes[],4,0),"")</f>
        <v/>
      </c>
      <c r="L21" s="44">
        <f>IF(H_Juil[[#This Row],[PNP Début]]=0,0,IF(H_Juil[[#This Row],[PNP Début]]&lt;H_Juil[[#This Row],[début]],1,0)+H_Juil[[#This Row],[PNP Début]])</f>
        <v>0</v>
      </c>
      <c r="M21" s="45">
        <f>IF(H_Juil[[#This Row],[PNP Fin]]=0,0,IF(H_Juil[[#This Row],[PNP Fin]]&lt;H_Juil[[#This Row],[début]],1,0)+H_Juil[[#This Row],[PNP Fin]])</f>
        <v>0</v>
      </c>
      <c r="N21" s="45">
        <f>IF(H_Juil[[#This Row],[Fin]]&lt;H_Juil[[#This Row],[début]],1,0)+H_Juil[[#This Row],[Fin]]</f>
        <v>0</v>
      </c>
      <c r="O21" s="31">
        <f>IF(H_Juil[[#This Row],[Fin]]&lt;H_Juil[[#This Row],[début]],MAX(0,MIN(H_Juil[[#This Row],[Fin corrigée si nuit]],fin_nuit)-MAX(H_Juil[[#This Row],[début]],deb_nuit))*24,(MAX(deb_nuit,H_Juil[[#This Row],[Fin]])-MAX(deb_nuit,H_Juil[[#This Row],[début]])+MAX(MIN(fin_nuit-1,H_Juil[[#This Row],[Fin]])-MIN(fin_nuit-1,H_Juil[[#This Row],[début]]),0))*24)</f>
        <v>0</v>
      </c>
      <c r="P21" s="46">
        <f>(MAX(0,MIN(H_Juil[[#This Row],[Fin corrigée si nuit]],fin_nuit)-MAX(H_Juil[[#This Row],[début]],deb_nuit))-IF(H_Juil[[#This Row],[PNP Début]]=0,0,MIN(H_Juil[[#This Row],[PNP Fin corrigée]],fin_nuit)-MAX(H_Juil[[#This Row],[PNP Début corrigé]],deb_nuit)))*24</f>
        <v>0</v>
      </c>
      <c r="Q21" s="46">
        <f>(IF(WEEKDAY(H_Juil[[#This Row],[Date]],2)=7,MAX(0,MIN(fin_dimJF,H_Juil[[#This Row],[Fin corrigée si nuit]])-MAX(deb_dimJF,H_Juil[[#This Row],[début]])),0)+IF(WEEKDAY(H_Juil[[#This Row],[Date]],2)=6,MAX(0,H_Juil[[#This Row],[Fin corrigée si nuit]]-(1+deb_dimJF)),0))*24</f>
        <v>0</v>
      </c>
      <c r="R21" s="46">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1" s="46">
        <f>(IF(COUNTIF(JF,H_Juil[[#This Row],[Date]]),MAX(0,MIN(fin_dimJF,H_Juil[[#This Row],[Fin corrigée si nuit]])-MAX(deb_dimJF,H_Juil[[#This Row],[début]])),0)+IF(COUNTIF(JF,H_Juil[[#This Row],[Date]]+1),MAX(0,H_Juil[[#This Row],[Fin corrigée si nuit]]-(1+deb_dimJF)),0))*24</f>
        <v>0</v>
      </c>
      <c r="T21" s="46">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2" spans="1:20" x14ac:dyDescent="0.3">
      <c r="A22" s="4"/>
      <c r="B22" s="1"/>
      <c r="C22" s="2"/>
      <c r="D22" s="2"/>
      <c r="E22" s="3"/>
      <c r="F22" s="3"/>
      <c r="G22" s="3"/>
      <c r="H22" s="3"/>
      <c r="I22" s="47">
        <f>0.1*(H_Juil[[#This Row],[Heures de nuit]]+IF(H_Juil[[#This Row],[majoration dim &amp; JF]]="non",0,H_Juil[[#This Row],[heures jour dimanche]]+H_Juil[[#This Row],[heures jour fériés]]))</f>
        <v>0</v>
      </c>
      <c r="J22" s="48">
        <f>(MOD(H_Juil[[#This Row],[Fin]]-H_Juil[[#This Row],[début]],1)-MOD(H_Juil[[#This Row],[PNP Fin]]-H_Juil[[#This Row],[PNP Début]],1))*24</f>
        <v>0</v>
      </c>
      <c r="K22" s="119" t="str">
        <f>IFERROR(VLOOKUP(H_Juil[[#This Row],[Service]],Codes[],4,0),"")</f>
        <v/>
      </c>
      <c r="L22" s="49">
        <f>IF(H_Juil[[#This Row],[PNP Début]]=0,0,IF(H_Juil[[#This Row],[PNP Début]]&lt;H_Juil[[#This Row],[début]],1,0)+H_Juil[[#This Row],[PNP Début]])</f>
        <v>0</v>
      </c>
      <c r="M22" s="50">
        <f>IF(H_Juil[[#This Row],[PNP Fin]]=0,0,IF(H_Juil[[#This Row],[PNP Fin]]&lt;H_Juil[[#This Row],[début]],1,0)+H_Juil[[#This Row],[PNP Fin]])</f>
        <v>0</v>
      </c>
      <c r="N22" s="50">
        <f>IF(H_Juil[[#This Row],[Fin]]&lt;H_Juil[[#This Row],[début]],1,0)+H_Juil[[#This Row],[Fin]]</f>
        <v>0</v>
      </c>
      <c r="O22" s="31">
        <f>IF(H_Juil[[#This Row],[Fin]]&lt;H_Juil[[#This Row],[début]],MAX(0,MIN(H_Juil[[#This Row],[Fin corrigée si nuit]],fin_nuit)-MAX(H_Juil[[#This Row],[début]],deb_nuit))*24,(MAX(deb_nuit,H_Juil[[#This Row],[Fin]])-MAX(deb_nuit,H_Juil[[#This Row],[début]])+MAX(MIN(fin_nuit-1,H_Juil[[#This Row],[Fin]])-MIN(fin_nuit-1,H_Juil[[#This Row],[début]]),0))*24)</f>
        <v>0</v>
      </c>
      <c r="P22" s="51">
        <f>(MAX(0,MIN(H_Juil[[#This Row],[Fin corrigée si nuit]],fin_nuit)-MAX(H_Juil[[#This Row],[début]],deb_nuit))-IF(H_Juil[[#This Row],[PNP Début]]=0,0,MIN(H_Juil[[#This Row],[PNP Fin corrigée]],fin_nuit)-MAX(H_Juil[[#This Row],[PNP Début corrigé]],deb_nuit)))*24</f>
        <v>0</v>
      </c>
      <c r="Q22" s="51">
        <f>(IF(WEEKDAY(H_Juil[[#This Row],[Date]],2)=7,MAX(0,MIN(fin_dimJF,H_Juil[[#This Row],[Fin corrigée si nuit]])-MAX(deb_dimJF,H_Juil[[#This Row],[début]])),0)+IF(WEEKDAY(H_Juil[[#This Row],[Date]],2)=6,MAX(0,H_Juil[[#This Row],[Fin corrigée si nuit]]-(1+deb_dimJF)),0))*24</f>
        <v>0</v>
      </c>
      <c r="R22"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2" s="51">
        <f>(IF(COUNTIF(JF,H_Juil[[#This Row],[Date]]),MAX(0,MIN(fin_dimJF,H_Juil[[#This Row],[Fin corrigée si nuit]])-MAX(deb_dimJF,H_Juil[[#This Row],[début]])),0)+IF(COUNTIF(JF,H_Juil[[#This Row],[Date]]+1),MAX(0,H_Juil[[#This Row],[Fin corrigée si nuit]]-(1+deb_dimJF)),0))*24</f>
        <v>0</v>
      </c>
      <c r="T22"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3" spans="1:20" x14ac:dyDescent="0.3">
      <c r="A23" s="4"/>
      <c r="B23" s="1"/>
      <c r="C23" s="2"/>
      <c r="D23" s="2"/>
      <c r="E23" s="3"/>
      <c r="F23" s="3"/>
      <c r="G23" s="3"/>
      <c r="H23" s="3"/>
      <c r="I23" s="47">
        <f>0.1*(H_Juil[[#This Row],[Heures de nuit]]+IF(H_Juil[[#This Row],[majoration dim &amp; JF]]="non",0,H_Juil[[#This Row],[heures jour dimanche]]+H_Juil[[#This Row],[heures jour fériés]]))</f>
        <v>0</v>
      </c>
      <c r="J23" s="48">
        <f>(MOD(H_Juil[[#This Row],[Fin]]-H_Juil[[#This Row],[début]],1)-MOD(H_Juil[[#This Row],[PNP Fin]]-H_Juil[[#This Row],[PNP Début]],1))*24</f>
        <v>0</v>
      </c>
      <c r="K23" s="119" t="str">
        <f>IFERROR(VLOOKUP(H_Juil[[#This Row],[Service]],Codes[],4,0),"")</f>
        <v/>
      </c>
      <c r="L23" s="49">
        <f>IF(H_Juil[[#This Row],[PNP Début]]=0,0,IF(H_Juil[[#This Row],[PNP Début]]&lt;H_Juil[[#This Row],[début]],1,0)+H_Juil[[#This Row],[PNP Début]])</f>
        <v>0</v>
      </c>
      <c r="M23" s="50">
        <f>IF(H_Juil[[#This Row],[PNP Fin]]=0,0,IF(H_Juil[[#This Row],[PNP Fin]]&lt;H_Juil[[#This Row],[début]],1,0)+H_Juil[[#This Row],[PNP Fin]])</f>
        <v>0</v>
      </c>
      <c r="N23" s="50">
        <f>IF(H_Juil[[#This Row],[Fin]]&lt;H_Juil[[#This Row],[début]],1,0)+H_Juil[[#This Row],[Fin]]</f>
        <v>0</v>
      </c>
      <c r="O23" s="31">
        <f>IF(H_Juil[[#This Row],[Fin]]&lt;H_Juil[[#This Row],[début]],MAX(0,MIN(H_Juil[[#This Row],[Fin corrigée si nuit]],fin_nuit)-MAX(H_Juil[[#This Row],[début]],deb_nuit))*24,(MAX(deb_nuit,H_Juil[[#This Row],[Fin]])-MAX(deb_nuit,H_Juil[[#This Row],[début]])+MAX(MIN(fin_nuit-1,H_Juil[[#This Row],[Fin]])-MIN(fin_nuit-1,H_Juil[[#This Row],[début]]),0))*24)</f>
        <v>0</v>
      </c>
      <c r="P23" s="51">
        <f>(MAX(0,MIN(H_Juil[[#This Row],[Fin corrigée si nuit]],fin_nuit)-MAX(H_Juil[[#This Row],[début]],deb_nuit))-IF(H_Juil[[#This Row],[PNP Début]]=0,0,MIN(H_Juil[[#This Row],[PNP Fin corrigée]],fin_nuit)-MAX(H_Juil[[#This Row],[PNP Début corrigé]],deb_nuit)))*24</f>
        <v>0</v>
      </c>
      <c r="Q23" s="51">
        <f>(IF(WEEKDAY(H_Juil[[#This Row],[Date]],2)=7,MAX(0,MIN(fin_dimJF,H_Juil[[#This Row],[Fin corrigée si nuit]])-MAX(deb_dimJF,H_Juil[[#This Row],[début]])),0)+IF(WEEKDAY(H_Juil[[#This Row],[Date]],2)=6,MAX(0,H_Juil[[#This Row],[Fin corrigée si nuit]]-(1+deb_dimJF)),0))*24</f>
        <v>0</v>
      </c>
      <c r="R23"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3" s="51">
        <f>(IF(COUNTIF(JF,H_Juil[[#This Row],[Date]]),MAX(0,MIN(fin_dimJF,H_Juil[[#This Row],[Fin corrigée si nuit]])-MAX(deb_dimJF,H_Juil[[#This Row],[début]])),0)+IF(COUNTIF(JF,H_Juil[[#This Row],[Date]]+1),MAX(0,H_Juil[[#This Row],[Fin corrigée si nuit]]-(1+deb_dimJF)),0))*24</f>
        <v>0</v>
      </c>
      <c r="T23"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4" spans="1:20" x14ac:dyDescent="0.3">
      <c r="A24" s="4"/>
      <c r="B24" s="1"/>
      <c r="C24" s="2"/>
      <c r="D24" s="2"/>
      <c r="E24" s="3"/>
      <c r="F24" s="3"/>
      <c r="G24" s="3"/>
      <c r="H24" s="3"/>
      <c r="I24" s="47">
        <f>0.1*(H_Juil[[#This Row],[Heures de nuit]]+IF(H_Juil[[#This Row],[majoration dim &amp; JF]]="non",0,H_Juil[[#This Row],[heures jour dimanche]]+H_Juil[[#This Row],[heures jour fériés]]))</f>
        <v>0</v>
      </c>
      <c r="J24" s="48">
        <f>(MOD(H_Juil[[#This Row],[Fin]]-H_Juil[[#This Row],[début]],1)-MOD(H_Juil[[#This Row],[PNP Fin]]-H_Juil[[#This Row],[PNP Début]],1))*24</f>
        <v>0</v>
      </c>
      <c r="K24" s="119" t="str">
        <f>IFERROR(VLOOKUP(H_Juil[[#This Row],[Service]],Codes[],4,0),"")</f>
        <v/>
      </c>
      <c r="L24" s="49">
        <f>IF(H_Juil[[#This Row],[PNP Début]]=0,0,IF(H_Juil[[#This Row],[PNP Début]]&lt;H_Juil[[#This Row],[début]],1,0)+H_Juil[[#This Row],[PNP Début]])</f>
        <v>0</v>
      </c>
      <c r="M24" s="50">
        <f>IF(H_Juil[[#This Row],[PNP Fin]]=0,0,IF(H_Juil[[#This Row],[PNP Fin]]&lt;H_Juil[[#This Row],[début]],1,0)+H_Juil[[#This Row],[PNP Fin]])</f>
        <v>0</v>
      </c>
      <c r="N24" s="50">
        <f>IF(H_Juil[[#This Row],[Fin]]&lt;H_Juil[[#This Row],[début]],1,0)+H_Juil[[#This Row],[Fin]]</f>
        <v>0</v>
      </c>
      <c r="O24" s="31">
        <f>IF(H_Juil[[#This Row],[Fin]]&lt;H_Juil[[#This Row],[début]],MAX(0,MIN(H_Juil[[#This Row],[Fin corrigée si nuit]],fin_nuit)-MAX(H_Juil[[#This Row],[début]],deb_nuit))*24,(MAX(deb_nuit,H_Juil[[#This Row],[Fin]])-MAX(deb_nuit,H_Juil[[#This Row],[début]])+MAX(MIN(fin_nuit-1,H_Juil[[#This Row],[Fin]])-MIN(fin_nuit-1,H_Juil[[#This Row],[début]]),0))*24)</f>
        <v>0</v>
      </c>
      <c r="P24" s="51">
        <f>(MAX(0,MIN(H_Juil[[#This Row],[Fin corrigée si nuit]],fin_nuit)-MAX(H_Juil[[#This Row],[début]],deb_nuit))-IF(H_Juil[[#This Row],[PNP Début]]=0,0,MIN(H_Juil[[#This Row],[PNP Fin corrigée]],fin_nuit)-MAX(H_Juil[[#This Row],[PNP Début corrigé]],deb_nuit)))*24</f>
        <v>0</v>
      </c>
      <c r="Q24" s="51">
        <f>(IF(WEEKDAY(H_Juil[[#This Row],[Date]],2)=7,MAX(0,MIN(fin_dimJF,H_Juil[[#This Row],[Fin corrigée si nuit]])-MAX(deb_dimJF,H_Juil[[#This Row],[début]])),0)+IF(WEEKDAY(H_Juil[[#This Row],[Date]],2)=6,MAX(0,H_Juil[[#This Row],[Fin corrigée si nuit]]-(1+deb_dimJF)),0))*24</f>
        <v>0</v>
      </c>
      <c r="R24"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4" s="51">
        <f>(IF(COUNTIF(JF,H_Juil[[#This Row],[Date]]),MAX(0,MIN(fin_dimJF,H_Juil[[#This Row],[Fin corrigée si nuit]])-MAX(deb_dimJF,H_Juil[[#This Row],[début]])),0)+IF(COUNTIF(JF,H_Juil[[#This Row],[Date]]+1),MAX(0,H_Juil[[#This Row],[Fin corrigée si nuit]]-(1+deb_dimJF)),0))*24</f>
        <v>0</v>
      </c>
      <c r="T24"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5" spans="1:20" x14ac:dyDescent="0.3">
      <c r="A25" s="4"/>
      <c r="B25" s="1"/>
      <c r="C25" s="2"/>
      <c r="D25" s="2"/>
      <c r="E25" s="3"/>
      <c r="F25" s="3"/>
      <c r="G25" s="3"/>
      <c r="H25" s="3"/>
      <c r="I25" s="47">
        <f>0.1*(H_Juil[[#This Row],[Heures de nuit]]+IF(H_Juil[[#This Row],[majoration dim &amp; JF]]="non",0,H_Juil[[#This Row],[heures jour dimanche]]+H_Juil[[#This Row],[heures jour fériés]]))</f>
        <v>0</v>
      </c>
      <c r="J25" s="48">
        <f>(MOD(H_Juil[[#This Row],[Fin]]-H_Juil[[#This Row],[début]],1)-MOD(H_Juil[[#This Row],[PNP Fin]]-H_Juil[[#This Row],[PNP Début]],1))*24</f>
        <v>0</v>
      </c>
      <c r="K25" s="119" t="str">
        <f>IFERROR(VLOOKUP(H_Juil[[#This Row],[Service]],Codes[],4,0),"")</f>
        <v/>
      </c>
      <c r="L25" s="49">
        <f>IF(H_Juil[[#This Row],[PNP Début]]=0,0,IF(H_Juil[[#This Row],[PNP Début]]&lt;H_Juil[[#This Row],[début]],1,0)+H_Juil[[#This Row],[PNP Début]])</f>
        <v>0</v>
      </c>
      <c r="M25" s="50">
        <f>IF(H_Juil[[#This Row],[PNP Fin]]=0,0,IF(H_Juil[[#This Row],[PNP Fin]]&lt;H_Juil[[#This Row],[début]],1,0)+H_Juil[[#This Row],[PNP Fin]])</f>
        <v>0</v>
      </c>
      <c r="N25" s="50">
        <f>IF(H_Juil[[#This Row],[Fin]]&lt;H_Juil[[#This Row],[début]],1,0)+H_Juil[[#This Row],[Fin]]</f>
        <v>0</v>
      </c>
      <c r="O25" s="31">
        <f>IF(H_Juil[[#This Row],[Fin]]&lt;H_Juil[[#This Row],[début]],MAX(0,MIN(H_Juil[[#This Row],[Fin corrigée si nuit]],fin_nuit)-MAX(H_Juil[[#This Row],[début]],deb_nuit))*24,(MAX(deb_nuit,H_Juil[[#This Row],[Fin]])-MAX(deb_nuit,H_Juil[[#This Row],[début]])+MAX(MIN(fin_nuit-1,H_Juil[[#This Row],[Fin]])-MIN(fin_nuit-1,H_Juil[[#This Row],[début]]),0))*24)</f>
        <v>0</v>
      </c>
      <c r="P25" s="51">
        <f>(MAX(0,MIN(H_Juil[[#This Row],[Fin corrigée si nuit]],fin_nuit)-MAX(H_Juil[[#This Row],[début]],deb_nuit))-IF(H_Juil[[#This Row],[PNP Début]]=0,0,MIN(H_Juil[[#This Row],[PNP Fin corrigée]],fin_nuit)-MAX(H_Juil[[#This Row],[PNP Début corrigé]],deb_nuit)))*24</f>
        <v>0</v>
      </c>
      <c r="Q25" s="51">
        <f>(IF(WEEKDAY(H_Juil[[#This Row],[Date]],2)=7,MAX(0,MIN(fin_dimJF,H_Juil[[#This Row],[Fin corrigée si nuit]])-MAX(deb_dimJF,H_Juil[[#This Row],[début]])),0)+IF(WEEKDAY(H_Juil[[#This Row],[Date]],2)=6,MAX(0,H_Juil[[#This Row],[Fin corrigée si nuit]]-(1+deb_dimJF)),0))*24</f>
        <v>0</v>
      </c>
      <c r="R25"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5" s="51">
        <f>(IF(COUNTIF(JF,H_Juil[[#This Row],[Date]]),MAX(0,MIN(fin_dimJF,H_Juil[[#This Row],[Fin corrigée si nuit]])-MAX(deb_dimJF,H_Juil[[#This Row],[début]])),0)+IF(COUNTIF(JF,H_Juil[[#This Row],[Date]]+1),MAX(0,H_Juil[[#This Row],[Fin corrigée si nuit]]-(1+deb_dimJF)),0))*24</f>
        <v>0</v>
      </c>
      <c r="T25"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6" spans="1:20" ht="14.4" customHeight="1" x14ac:dyDescent="0.3">
      <c r="A26" s="4"/>
      <c r="B26" s="1"/>
      <c r="C26" s="2"/>
      <c r="D26" s="2"/>
      <c r="E26" s="3"/>
      <c r="F26" s="3"/>
      <c r="G26" s="3"/>
      <c r="H26" s="3"/>
      <c r="I26" s="47">
        <f>0.1*(H_Juil[[#This Row],[Heures de nuit]]+IF(H_Juil[[#This Row],[majoration dim &amp; JF]]="non",0,H_Juil[[#This Row],[heures jour dimanche]]+H_Juil[[#This Row],[heures jour fériés]]))</f>
        <v>0</v>
      </c>
      <c r="J26" s="48">
        <f>(MOD(H_Juil[[#This Row],[Fin]]-H_Juil[[#This Row],[début]],1)-MOD(H_Juil[[#This Row],[PNP Fin]]-H_Juil[[#This Row],[PNP Début]],1))*24</f>
        <v>0</v>
      </c>
      <c r="K26" s="119" t="str">
        <f>IFERROR(VLOOKUP(H_Juil[[#This Row],[Service]],Codes[],4,0),"")</f>
        <v/>
      </c>
      <c r="L26" s="49">
        <f>IF(H_Juil[[#This Row],[PNP Début]]=0,0,IF(H_Juil[[#This Row],[PNP Début]]&lt;H_Juil[[#This Row],[début]],1,0)+H_Juil[[#This Row],[PNP Début]])</f>
        <v>0</v>
      </c>
      <c r="M26" s="50">
        <f>IF(H_Juil[[#This Row],[PNP Fin]]=0,0,IF(H_Juil[[#This Row],[PNP Fin]]&lt;H_Juil[[#This Row],[début]],1,0)+H_Juil[[#This Row],[PNP Fin]])</f>
        <v>0</v>
      </c>
      <c r="N26" s="50">
        <f>IF(H_Juil[[#This Row],[Fin]]&lt;H_Juil[[#This Row],[début]],1,0)+H_Juil[[#This Row],[Fin]]</f>
        <v>0</v>
      </c>
      <c r="O26" s="31">
        <f>IF(H_Juil[[#This Row],[Fin]]&lt;H_Juil[[#This Row],[début]],MAX(0,MIN(H_Juil[[#This Row],[Fin corrigée si nuit]],fin_nuit)-MAX(H_Juil[[#This Row],[début]],deb_nuit))*24,(MAX(deb_nuit,H_Juil[[#This Row],[Fin]])-MAX(deb_nuit,H_Juil[[#This Row],[début]])+MAX(MIN(fin_nuit-1,H_Juil[[#This Row],[Fin]])-MIN(fin_nuit-1,H_Juil[[#This Row],[début]]),0))*24)</f>
        <v>0</v>
      </c>
      <c r="P26" s="51">
        <f>(MAX(0,MIN(H_Juil[[#This Row],[Fin corrigée si nuit]],fin_nuit)-MAX(H_Juil[[#This Row],[début]],deb_nuit))-IF(H_Juil[[#This Row],[PNP Début]]=0,0,MIN(H_Juil[[#This Row],[PNP Fin corrigée]],fin_nuit)-MAX(H_Juil[[#This Row],[PNP Début corrigé]],deb_nuit)))*24</f>
        <v>0</v>
      </c>
      <c r="Q26" s="51">
        <f>(IF(WEEKDAY(H_Juil[[#This Row],[Date]],2)=7,MAX(0,MIN(fin_dimJF,H_Juil[[#This Row],[Fin corrigée si nuit]])-MAX(deb_dimJF,H_Juil[[#This Row],[début]])),0)+IF(WEEKDAY(H_Juil[[#This Row],[Date]],2)=6,MAX(0,H_Juil[[#This Row],[Fin corrigée si nuit]]-(1+deb_dimJF)),0))*24</f>
        <v>0</v>
      </c>
      <c r="R26"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6" s="51">
        <f>(IF(COUNTIF(JF,H_Juil[[#This Row],[Date]]),MAX(0,MIN(fin_dimJF,H_Juil[[#This Row],[Fin corrigée si nuit]])-MAX(deb_dimJF,H_Juil[[#This Row],[début]])),0)+IF(COUNTIF(JF,H_Juil[[#This Row],[Date]]+1),MAX(0,H_Juil[[#This Row],[Fin corrigée si nuit]]-(1+deb_dimJF)),0))*24</f>
        <v>0</v>
      </c>
      <c r="T26"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7" spans="1:20" x14ac:dyDescent="0.3">
      <c r="A27" s="4"/>
      <c r="B27" s="1"/>
      <c r="C27" s="2"/>
      <c r="D27" s="2"/>
      <c r="E27" s="3"/>
      <c r="F27" s="3"/>
      <c r="G27" s="3"/>
      <c r="H27" s="3"/>
      <c r="I27" s="47">
        <f>0.1*(H_Juil[[#This Row],[Heures de nuit]]+IF(H_Juil[[#This Row],[majoration dim &amp; JF]]="non",0,H_Juil[[#This Row],[heures jour dimanche]]+H_Juil[[#This Row],[heures jour fériés]]))</f>
        <v>0</v>
      </c>
      <c r="J27" s="48">
        <f>(MOD(H_Juil[[#This Row],[Fin]]-H_Juil[[#This Row],[début]],1)-MOD(H_Juil[[#This Row],[PNP Fin]]-H_Juil[[#This Row],[PNP Début]],1))*24</f>
        <v>0</v>
      </c>
      <c r="K27" s="119" t="str">
        <f>IFERROR(VLOOKUP(H_Juil[[#This Row],[Service]],Codes[],4,0),"")</f>
        <v/>
      </c>
      <c r="L27" s="49">
        <f>IF(H_Juil[[#This Row],[PNP Début]]=0,0,IF(H_Juil[[#This Row],[PNP Début]]&lt;H_Juil[[#This Row],[début]],1,0)+H_Juil[[#This Row],[PNP Début]])</f>
        <v>0</v>
      </c>
      <c r="M27" s="50">
        <f>IF(H_Juil[[#This Row],[PNP Fin]]=0,0,IF(H_Juil[[#This Row],[PNP Fin]]&lt;H_Juil[[#This Row],[début]],1,0)+H_Juil[[#This Row],[PNP Fin]])</f>
        <v>0</v>
      </c>
      <c r="N27" s="50">
        <f>IF(H_Juil[[#This Row],[Fin]]&lt;H_Juil[[#This Row],[début]],1,0)+H_Juil[[#This Row],[Fin]]</f>
        <v>0</v>
      </c>
      <c r="O27" s="31">
        <f>IF(H_Juil[[#This Row],[Fin]]&lt;H_Juil[[#This Row],[début]],MAX(0,MIN(H_Juil[[#This Row],[Fin corrigée si nuit]],fin_nuit)-MAX(H_Juil[[#This Row],[début]],deb_nuit))*24,(MAX(deb_nuit,H_Juil[[#This Row],[Fin]])-MAX(deb_nuit,H_Juil[[#This Row],[début]])+MAX(MIN(fin_nuit-1,H_Juil[[#This Row],[Fin]])-MIN(fin_nuit-1,H_Juil[[#This Row],[début]]),0))*24)</f>
        <v>0</v>
      </c>
      <c r="P27" s="51">
        <f>(MAX(0,MIN(H_Juil[[#This Row],[Fin corrigée si nuit]],fin_nuit)-MAX(H_Juil[[#This Row],[début]],deb_nuit))-IF(H_Juil[[#This Row],[PNP Début]]=0,0,MIN(H_Juil[[#This Row],[PNP Fin corrigée]],fin_nuit)-MAX(H_Juil[[#This Row],[PNP Début corrigé]],deb_nuit)))*24</f>
        <v>0</v>
      </c>
      <c r="Q27" s="51">
        <f>(IF(WEEKDAY(H_Juil[[#This Row],[Date]],2)=7,MAX(0,MIN(fin_dimJF,H_Juil[[#This Row],[Fin corrigée si nuit]])-MAX(deb_dimJF,H_Juil[[#This Row],[début]])),0)+IF(WEEKDAY(H_Juil[[#This Row],[Date]],2)=6,MAX(0,H_Juil[[#This Row],[Fin corrigée si nuit]]-(1+deb_dimJF)),0))*24</f>
        <v>0</v>
      </c>
      <c r="R27"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7" s="51">
        <f>(IF(COUNTIF(JF,H_Juil[[#This Row],[Date]]),MAX(0,MIN(fin_dimJF,H_Juil[[#This Row],[Fin corrigée si nuit]])-MAX(deb_dimJF,H_Juil[[#This Row],[début]])),0)+IF(COUNTIF(JF,H_Juil[[#This Row],[Date]]+1),MAX(0,H_Juil[[#This Row],[Fin corrigée si nuit]]-(1+deb_dimJF)),0))*24</f>
        <v>0</v>
      </c>
      <c r="T27"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8" spans="1:20" x14ac:dyDescent="0.3">
      <c r="A28" s="4"/>
      <c r="B28" s="1"/>
      <c r="C28" s="2"/>
      <c r="D28" s="2"/>
      <c r="E28" s="3"/>
      <c r="F28" s="3"/>
      <c r="G28" s="3"/>
      <c r="H28" s="3"/>
      <c r="I28" s="47">
        <f>0.1*(H_Juil[[#This Row],[Heures de nuit]]+IF(H_Juil[[#This Row],[majoration dim &amp; JF]]="non",0,H_Juil[[#This Row],[heures jour dimanche]]+H_Juil[[#This Row],[heures jour fériés]]))</f>
        <v>0</v>
      </c>
      <c r="J28" s="48">
        <f>(MOD(H_Juil[[#This Row],[Fin]]-H_Juil[[#This Row],[début]],1)-MOD(H_Juil[[#This Row],[PNP Fin]]-H_Juil[[#This Row],[PNP Début]],1))*24</f>
        <v>0</v>
      </c>
      <c r="K28" s="119" t="str">
        <f>IFERROR(VLOOKUP(H_Juil[[#This Row],[Service]],Codes[],4,0),"")</f>
        <v/>
      </c>
      <c r="L28" s="49">
        <f>IF(H_Juil[[#This Row],[PNP Début]]=0,0,IF(H_Juil[[#This Row],[PNP Début]]&lt;H_Juil[[#This Row],[début]],1,0)+H_Juil[[#This Row],[PNP Début]])</f>
        <v>0</v>
      </c>
      <c r="M28" s="50">
        <f>IF(H_Juil[[#This Row],[PNP Fin]]=0,0,IF(H_Juil[[#This Row],[PNP Fin]]&lt;H_Juil[[#This Row],[début]],1,0)+H_Juil[[#This Row],[PNP Fin]])</f>
        <v>0</v>
      </c>
      <c r="N28" s="50">
        <f>IF(H_Juil[[#This Row],[Fin]]&lt;H_Juil[[#This Row],[début]],1,0)+H_Juil[[#This Row],[Fin]]</f>
        <v>0</v>
      </c>
      <c r="O28" s="31">
        <f>IF(H_Juil[[#This Row],[Fin]]&lt;H_Juil[[#This Row],[début]],MAX(0,MIN(H_Juil[[#This Row],[Fin corrigée si nuit]],fin_nuit)-MAX(H_Juil[[#This Row],[début]],deb_nuit))*24,(MAX(deb_nuit,H_Juil[[#This Row],[Fin]])-MAX(deb_nuit,H_Juil[[#This Row],[début]])+MAX(MIN(fin_nuit-1,H_Juil[[#This Row],[Fin]])-MIN(fin_nuit-1,H_Juil[[#This Row],[début]]),0))*24)</f>
        <v>0</v>
      </c>
      <c r="P28" s="51">
        <f>(MAX(0,MIN(H_Juil[[#This Row],[Fin corrigée si nuit]],fin_nuit)-MAX(H_Juil[[#This Row],[début]],deb_nuit))-IF(H_Juil[[#This Row],[PNP Début]]=0,0,MIN(H_Juil[[#This Row],[PNP Fin corrigée]],fin_nuit)-MAX(H_Juil[[#This Row],[PNP Début corrigé]],deb_nuit)))*24</f>
        <v>0</v>
      </c>
      <c r="Q28" s="51">
        <f>(IF(WEEKDAY(H_Juil[[#This Row],[Date]],2)=7,MAX(0,MIN(fin_dimJF,H_Juil[[#This Row],[Fin corrigée si nuit]])-MAX(deb_dimJF,H_Juil[[#This Row],[début]])),0)+IF(WEEKDAY(H_Juil[[#This Row],[Date]],2)=6,MAX(0,H_Juil[[#This Row],[Fin corrigée si nuit]]-(1+deb_dimJF)),0))*24</f>
        <v>0</v>
      </c>
      <c r="R28"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8" s="51">
        <f>(IF(COUNTIF(JF,H_Juil[[#This Row],[Date]]),MAX(0,MIN(fin_dimJF,H_Juil[[#This Row],[Fin corrigée si nuit]])-MAX(deb_dimJF,H_Juil[[#This Row],[début]])),0)+IF(COUNTIF(JF,H_Juil[[#This Row],[Date]]+1),MAX(0,H_Juil[[#This Row],[Fin corrigée si nuit]]-(1+deb_dimJF)),0))*24</f>
        <v>0</v>
      </c>
      <c r="T28"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29" spans="1:20" x14ac:dyDescent="0.3">
      <c r="A29" s="4"/>
      <c r="B29" s="1"/>
      <c r="C29" s="2"/>
      <c r="D29" s="2"/>
      <c r="E29" s="3"/>
      <c r="F29" s="3"/>
      <c r="G29" s="3"/>
      <c r="H29" s="3"/>
      <c r="I29" s="47">
        <f>0.1*(H_Juil[[#This Row],[Heures de nuit]]+IF(H_Juil[[#This Row],[majoration dim &amp; JF]]="non",0,H_Juil[[#This Row],[heures jour dimanche]]+H_Juil[[#This Row],[heures jour fériés]]))</f>
        <v>0</v>
      </c>
      <c r="J29" s="48">
        <f>(MOD(H_Juil[[#This Row],[Fin]]-H_Juil[[#This Row],[début]],1)-MOD(H_Juil[[#This Row],[PNP Fin]]-H_Juil[[#This Row],[PNP Début]],1))*24</f>
        <v>0</v>
      </c>
      <c r="K29" s="119" t="str">
        <f>IFERROR(VLOOKUP(H_Juil[[#This Row],[Service]],Codes[],4,0),"")</f>
        <v/>
      </c>
      <c r="L29" s="49">
        <f>IF(H_Juil[[#This Row],[PNP Début]]=0,0,IF(H_Juil[[#This Row],[PNP Début]]&lt;H_Juil[[#This Row],[début]],1,0)+H_Juil[[#This Row],[PNP Début]])</f>
        <v>0</v>
      </c>
      <c r="M29" s="50">
        <f>IF(H_Juil[[#This Row],[PNP Fin]]=0,0,IF(H_Juil[[#This Row],[PNP Fin]]&lt;H_Juil[[#This Row],[début]],1,0)+H_Juil[[#This Row],[PNP Fin]])</f>
        <v>0</v>
      </c>
      <c r="N29" s="50">
        <f>IF(H_Juil[[#This Row],[Fin]]&lt;H_Juil[[#This Row],[début]],1,0)+H_Juil[[#This Row],[Fin]]</f>
        <v>0</v>
      </c>
      <c r="O29" s="31">
        <f>IF(H_Juil[[#This Row],[Fin]]&lt;H_Juil[[#This Row],[début]],MAX(0,MIN(H_Juil[[#This Row],[Fin corrigée si nuit]],fin_nuit)-MAX(H_Juil[[#This Row],[début]],deb_nuit))*24,(MAX(deb_nuit,H_Juil[[#This Row],[Fin]])-MAX(deb_nuit,H_Juil[[#This Row],[début]])+MAX(MIN(fin_nuit-1,H_Juil[[#This Row],[Fin]])-MIN(fin_nuit-1,H_Juil[[#This Row],[début]]),0))*24)</f>
        <v>0</v>
      </c>
      <c r="P29" s="51">
        <f>(MAX(0,MIN(H_Juil[[#This Row],[Fin corrigée si nuit]],fin_nuit)-MAX(H_Juil[[#This Row],[début]],deb_nuit))-IF(H_Juil[[#This Row],[PNP Début]]=0,0,MIN(H_Juil[[#This Row],[PNP Fin corrigée]],fin_nuit)-MAX(H_Juil[[#This Row],[PNP Début corrigé]],deb_nuit)))*24</f>
        <v>0</v>
      </c>
      <c r="Q29" s="51">
        <f>(IF(WEEKDAY(H_Juil[[#This Row],[Date]],2)=7,MAX(0,MIN(fin_dimJF,H_Juil[[#This Row],[Fin corrigée si nuit]])-MAX(deb_dimJF,H_Juil[[#This Row],[début]])),0)+IF(WEEKDAY(H_Juil[[#This Row],[Date]],2)=6,MAX(0,H_Juil[[#This Row],[Fin corrigée si nuit]]-(1+deb_dimJF)),0))*24</f>
        <v>0</v>
      </c>
      <c r="R29"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29" s="51">
        <f>(IF(COUNTIF(JF,H_Juil[[#This Row],[Date]]),MAX(0,MIN(fin_dimJF,H_Juil[[#This Row],[Fin corrigée si nuit]])-MAX(deb_dimJF,H_Juil[[#This Row],[début]])),0)+IF(COUNTIF(JF,H_Juil[[#This Row],[Date]]+1),MAX(0,H_Juil[[#This Row],[Fin corrigée si nuit]]-(1+deb_dimJF)),0))*24</f>
        <v>0</v>
      </c>
      <c r="T29"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0" spans="1:20" x14ac:dyDescent="0.3">
      <c r="A30" s="4"/>
      <c r="B30" s="1"/>
      <c r="C30" s="2"/>
      <c r="D30" s="2"/>
      <c r="E30" s="3"/>
      <c r="F30" s="3"/>
      <c r="G30" s="3"/>
      <c r="H30" s="3"/>
      <c r="I30" s="47">
        <f>0.1*(H_Juil[[#This Row],[Heures de nuit]]+IF(H_Juil[[#This Row],[majoration dim &amp; JF]]="non",0,H_Juil[[#This Row],[heures jour dimanche]]+H_Juil[[#This Row],[heures jour fériés]]))</f>
        <v>0</v>
      </c>
      <c r="J30" s="48">
        <f>(MOD(H_Juil[[#This Row],[Fin]]-H_Juil[[#This Row],[début]],1)-MOD(H_Juil[[#This Row],[PNP Fin]]-H_Juil[[#This Row],[PNP Début]],1))*24</f>
        <v>0</v>
      </c>
      <c r="K30" s="119" t="str">
        <f>IFERROR(VLOOKUP(H_Juil[[#This Row],[Service]],Codes[],4,0),"")</f>
        <v/>
      </c>
      <c r="L30" s="49">
        <f>IF(H_Juil[[#This Row],[PNP Début]]=0,0,IF(H_Juil[[#This Row],[PNP Début]]&lt;H_Juil[[#This Row],[début]],1,0)+H_Juil[[#This Row],[PNP Début]])</f>
        <v>0</v>
      </c>
      <c r="M30" s="50">
        <f>IF(H_Juil[[#This Row],[PNP Fin]]=0,0,IF(H_Juil[[#This Row],[PNP Fin]]&lt;H_Juil[[#This Row],[début]],1,0)+H_Juil[[#This Row],[PNP Fin]])</f>
        <v>0</v>
      </c>
      <c r="N30" s="50">
        <f>IF(H_Juil[[#This Row],[Fin]]&lt;H_Juil[[#This Row],[début]],1,0)+H_Juil[[#This Row],[Fin]]</f>
        <v>0</v>
      </c>
      <c r="O30" s="31">
        <f>IF(H_Juil[[#This Row],[Fin]]&lt;H_Juil[[#This Row],[début]],MAX(0,MIN(H_Juil[[#This Row],[Fin corrigée si nuit]],fin_nuit)-MAX(H_Juil[[#This Row],[début]],deb_nuit))*24,(MAX(deb_nuit,H_Juil[[#This Row],[Fin]])-MAX(deb_nuit,H_Juil[[#This Row],[début]])+MAX(MIN(fin_nuit-1,H_Juil[[#This Row],[Fin]])-MIN(fin_nuit-1,H_Juil[[#This Row],[début]]),0))*24)</f>
        <v>0</v>
      </c>
      <c r="P30" s="51">
        <f>(MAX(0,MIN(H_Juil[[#This Row],[Fin corrigée si nuit]],fin_nuit)-MAX(H_Juil[[#This Row],[début]],deb_nuit))-IF(H_Juil[[#This Row],[PNP Début]]=0,0,MIN(H_Juil[[#This Row],[PNP Fin corrigée]],fin_nuit)-MAX(H_Juil[[#This Row],[PNP Début corrigé]],deb_nuit)))*24</f>
        <v>0</v>
      </c>
      <c r="Q30" s="51">
        <f>(IF(WEEKDAY(H_Juil[[#This Row],[Date]],2)=7,MAX(0,MIN(fin_dimJF,H_Juil[[#This Row],[Fin corrigée si nuit]])-MAX(deb_dimJF,H_Juil[[#This Row],[début]])),0)+IF(WEEKDAY(H_Juil[[#This Row],[Date]],2)=6,MAX(0,H_Juil[[#This Row],[Fin corrigée si nuit]]-(1+deb_dimJF)),0))*24</f>
        <v>0</v>
      </c>
      <c r="R30"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0" s="51">
        <f>(IF(COUNTIF(JF,H_Juil[[#This Row],[Date]]),MAX(0,MIN(fin_dimJF,H_Juil[[#This Row],[Fin corrigée si nuit]])-MAX(deb_dimJF,H_Juil[[#This Row],[début]])),0)+IF(COUNTIF(JF,H_Juil[[#This Row],[Date]]+1),MAX(0,H_Juil[[#This Row],[Fin corrigée si nuit]]-(1+deb_dimJF)),0))*24</f>
        <v>0</v>
      </c>
      <c r="T30"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1" spans="1:20" x14ac:dyDescent="0.3">
      <c r="A31" s="4"/>
      <c r="B31" s="1"/>
      <c r="C31" s="2"/>
      <c r="D31" s="2"/>
      <c r="E31" s="3"/>
      <c r="F31" s="3"/>
      <c r="G31" s="3"/>
      <c r="H31" s="3"/>
      <c r="I31" s="47">
        <f>0.1*(H_Juil[[#This Row],[Heures de nuit]]+IF(H_Juil[[#This Row],[majoration dim &amp; JF]]="non",0,H_Juil[[#This Row],[heures jour dimanche]]+H_Juil[[#This Row],[heures jour fériés]]))</f>
        <v>0</v>
      </c>
      <c r="J31" s="48">
        <f>(MOD(H_Juil[[#This Row],[Fin]]-H_Juil[[#This Row],[début]],1)-MOD(H_Juil[[#This Row],[PNP Fin]]-H_Juil[[#This Row],[PNP Début]],1))*24</f>
        <v>0</v>
      </c>
      <c r="K31" s="119" t="str">
        <f>IFERROR(VLOOKUP(H_Juil[[#This Row],[Service]],Codes[],4,0),"")</f>
        <v/>
      </c>
      <c r="L31" s="49">
        <f>IF(H_Juil[[#This Row],[PNP Début]]=0,0,IF(H_Juil[[#This Row],[PNP Début]]&lt;H_Juil[[#This Row],[début]],1,0)+H_Juil[[#This Row],[PNP Début]])</f>
        <v>0</v>
      </c>
      <c r="M31" s="50">
        <f>IF(H_Juil[[#This Row],[PNP Fin]]=0,0,IF(H_Juil[[#This Row],[PNP Fin]]&lt;H_Juil[[#This Row],[début]],1,0)+H_Juil[[#This Row],[PNP Fin]])</f>
        <v>0</v>
      </c>
      <c r="N31" s="50">
        <f>IF(H_Juil[[#This Row],[Fin]]&lt;H_Juil[[#This Row],[début]],1,0)+H_Juil[[#This Row],[Fin]]</f>
        <v>0</v>
      </c>
      <c r="O31" s="31">
        <f>IF(H_Juil[[#This Row],[Fin]]&lt;H_Juil[[#This Row],[début]],MAX(0,MIN(H_Juil[[#This Row],[Fin corrigée si nuit]],fin_nuit)-MAX(H_Juil[[#This Row],[début]],deb_nuit))*24,(MAX(deb_nuit,H_Juil[[#This Row],[Fin]])-MAX(deb_nuit,H_Juil[[#This Row],[début]])+MAX(MIN(fin_nuit-1,H_Juil[[#This Row],[Fin]])-MIN(fin_nuit-1,H_Juil[[#This Row],[début]]),0))*24)</f>
        <v>0</v>
      </c>
      <c r="P31" s="51">
        <f>(MAX(0,MIN(H_Juil[[#This Row],[Fin corrigée si nuit]],fin_nuit)-MAX(H_Juil[[#This Row],[début]],deb_nuit))-IF(H_Juil[[#This Row],[PNP Début]]=0,0,MIN(H_Juil[[#This Row],[PNP Fin corrigée]],fin_nuit)-MAX(H_Juil[[#This Row],[PNP Début corrigé]],deb_nuit)))*24</f>
        <v>0</v>
      </c>
      <c r="Q31" s="51">
        <f>(IF(WEEKDAY(H_Juil[[#This Row],[Date]],2)=7,MAX(0,MIN(fin_dimJF,H_Juil[[#This Row],[Fin corrigée si nuit]])-MAX(deb_dimJF,H_Juil[[#This Row],[début]])),0)+IF(WEEKDAY(H_Juil[[#This Row],[Date]],2)=6,MAX(0,H_Juil[[#This Row],[Fin corrigée si nuit]]-(1+deb_dimJF)),0))*24</f>
        <v>0</v>
      </c>
      <c r="R31"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1" s="51">
        <f>(IF(COUNTIF(JF,H_Juil[[#This Row],[Date]]),MAX(0,MIN(fin_dimJF,H_Juil[[#This Row],[Fin corrigée si nuit]])-MAX(deb_dimJF,H_Juil[[#This Row],[début]])),0)+IF(COUNTIF(JF,H_Juil[[#This Row],[Date]]+1),MAX(0,H_Juil[[#This Row],[Fin corrigée si nuit]]-(1+deb_dimJF)),0))*24</f>
        <v>0</v>
      </c>
      <c r="T31"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2" spans="1:20" ht="14.55" customHeight="1" x14ac:dyDescent="0.3">
      <c r="A32" s="4"/>
      <c r="B32" s="1"/>
      <c r="C32" s="2"/>
      <c r="D32" s="2"/>
      <c r="E32" s="3"/>
      <c r="F32" s="3"/>
      <c r="G32" s="3"/>
      <c r="H32" s="3"/>
      <c r="I32" s="47">
        <f>0.1*(H_Juil[[#This Row],[Heures de nuit]]+IF(H_Juil[[#This Row],[majoration dim &amp; JF]]="non",0,H_Juil[[#This Row],[heures jour dimanche]]+H_Juil[[#This Row],[heures jour fériés]]))</f>
        <v>0</v>
      </c>
      <c r="J32" s="48">
        <f>(MOD(H_Juil[[#This Row],[Fin]]-H_Juil[[#This Row],[début]],1)-MOD(H_Juil[[#This Row],[PNP Fin]]-H_Juil[[#This Row],[PNP Début]],1))*24</f>
        <v>0</v>
      </c>
      <c r="K32" s="119" t="str">
        <f>IFERROR(VLOOKUP(H_Juil[[#This Row],[Service]],Codes[],4,0),"")</f>
        <v/>
      </c>
      <c r="L32" s="49">
        <f>IF(H_Juil[[#This Row],[PNP Début]]=0,0,IF(H_Juil[[#This Row],[PNP Début]]&lt;H_Juil[[#This Row],[début]],1,0)+H_Juil[[#This Row],[PNP Début]])</f>
        <v>0</v>
      </c>
      <c r="M32" s="50">
        <f>IF(H_Juil[[#This Row],[PNP Fin]]=0,0,IF(H_Juil[[#This Row],[PNP Fin]]&lt;H_Juil[[#This Row],[début]],1,0)+H_Juil[[#This Row],[PNP Fin]])</f>
        <v>0</v>
      </c>
      <c r="N32" s="50">
        <f>IF(H_Juil[[#This Row],[Fin]]&lt;H_Juil[[#This Row],[début]],1,0)+H_Juil[[#This Row],[Fin]]</f>
        <v>0</v>
      </c>
      <c r="O32" s="31">
        <f>IF(H_Juil[[#This Row],[Fin]]&lt;H_Juil[[#This Row],[début]],MAX(0,MIN(H_Juil[[#This Row],[Fin corrigée si nuit]],fin_nuit)-MAX(H_Juil[[#This Row],[début]],deb_nuit))*24,(MAX(deb_nuit,H_Juil[[#This Row],[Fin]])-MAX(deb_nuit,H_Juil[[#This Row],[début]])+MAX(MIN(fin_nuit-1,H_Juil[[#This Row],[Fin]])-MIN(fin_nuit-1,H_Juil[[#This Row],[début]]),0))*24)</f>
        <v>0</v>
      </c>
      <c r="P32" s="51">
        <f>(MAX(0,MIN(H_Juil[[#This Row],[Fin corrigée si nuit]],fin_nuit)-MAX(H_Juil[[#This Row],[début]],deb_nuit))-IF(H_Juil[[#This Row],[PNP Début]]=0,0,MIN(H_Juil[[#This Row],[PNP Fin corrigée]],fin_nuit)-MAX(H_Juil[[#This Row],[PNP Début corrigé]],deb_nuit)))*24</f>
        <v>0</v>
      </c>
      <c r="Q32" s="51">
        <f>(IF(WEEKDAY(H_Juil[[#This Row],[Date]],2)=7,MAX(0,MIN(fin_dimJF,H_Juil[[#This Row],[Fin corrigée si nuit]])-MAX(deb_dimJF,H_Juil[[#This Row],[début]])),0)+IF(WEEKDAY(H_Juil[[#This Row],[Date]],2)=6,MAX(0,H_Juil[[#This Row],[Fin corrigée si nuit]]-(1+deb_dimJF)),0))*24</f>
        <v>0</v>
      </c>
      <c r="R32"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2" s="51">
        <f>(IF(COUNTIF(JF,H_Juil[[#This Row],[Date]]),MAX(0,MIN(fin_dimJF,H_Juil[[#This Row],[Fin corrigée si nuit]])-MAX(deb_dimJF,H_Juil[[#This Row],[début]])),0)+IF(COUNTIF(JF,H_Juil[[#This Row],[Date]]+1),MAX(0,H_Juil[[#This Row],[Fin corrigée si nuit]]-(1+deb_dimJF)),0))*24</f>
        <v>0</v>
      </c>
      <c r="T32"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3" spans="1:20" x14ac:dyDescent="0.3">
      <c r="A33" s="4"/>
      <c r="B33" s="1"/>
      <c r="C33" s="2"/>
      <c r="D33" s="2"/>
      <c r="E33" s="3"/>
      <c r="F33" s="3"/>
      <c r="G33" s="3"/>
      <c r="H33" s="3"/>
      <c r="I33" s="47">
        <f>0.1*(H_Juil[[#This Row],[Heures de nuit]]+IF(H_Juil[[#This Row],[majoration dim &amp; JF]]="non",0,H_Juil[[#This Row],[heures jour dimanche]]+H_Juil[[#This Row],[heures jour fériés]]))</f>
        <v>0</v>
      </c>
      <c r="J33" s="48">
        <f>(MOD(H_Juil[[#This Row],[Fin]]-H_Juil[[#This Row],[début]],1)-MOD(H_Juil[[#This Row],[PNP Fin]]-H_Juil[[#This Row],[PNP Début]],1))*24</f>
        <v>0</v>
      </c>
      <c r="K33" s="119" t="str">
        <f>IFERROR(VLOOKUP(H_Juil[[#This Row],[Service]],Codes[],4,0),"")</f>
        <v/>
      </c>
      <c r="L33" s="49">
        <f>IF(H_Juil[[#This Row],[PNP Début]]=0,0,IF(H_Juil[[#This Row],[PNP Début]]&lt;H_Juil[[#This Row],[début]],1,0)+H_Juil[[#This Row],[PNP Début]])</f>
        <v>0</v>
      </c>
      <c r="M33" s="50">
        <f>IF(H_Juil[[#This Row],[PNP Fin]]=0,0,IF(H_Juil[[#This Row],[PNP Fin]]&lt;H_Juil[[#This Row],[début]],1,0)+H_Juil[[#This Row],[PNP Fin]])</f>
        <v>0</v>
      </c>
      <c r="N33" s="50">
        <f>IF(H_Juil[[#This Row],[Fin]]&lt;H_Juil[[#This Row],[début]],1,0)+H_Juil[[#This Row],[Fin]]</f>
        <v>0</v>
      </c>
      <c r="O33" s="31">
        <f>IF(H_Juil[[#This Row],[Fin]]&lt;H_Juil[[#This Row],[début]],MAX(0,MIN(H_Juil[[#This Row],[Fin corrigée si nuit]],fin_nuit)-MAX(H_Juil[[#This Row],[début]],deb_nuit))*24,(MAX(deb_nuit,H_Juil[[#This Row],[Fin]])-MAX(deb_nuit,H_Juil[[#This Row],[début]])+MAX(MIN(fin_nuit-1,H_Juil[[#This Row],[Fin]])-MIN(fin_nuit-1,H_Juil[[#This Row],[début]]),0))*24)</f>
        <v>0</v>
      </c>
      <c r="P33" s="51">
        <f>(MAX(0,MIN(H_Juil[[#This Row],[Fin corrigée si nuit]],fin_nuit)-MAX(H_Juil[[#This Row],[début]],deb_nuit))-IF(H_Juil[[#This Row],[PNP Début]]=0,0,MIN(H_Juil[[#This Row],[PNP Fin corrigée]],fin_nuit)-MAX(H_Juil[[#This Row],[PNP Début corrigé]],deb_nuit)))*24</f>
        <v>0</v>
      </c>
      <c r="Q33" s="51">
        <f>(IF(WEEKDAY(H_Juil[[#This Row],[Date]],2)=7,MAX(0,MIN(fin_dimJF,H_Juil[[#This Row],[Fin corrigée si nuit]])-MAX(deb_dimJF,H_Juil[[#This Row],[début]])),0)+IF(WEEKDAY(H_Juil[[#This Row],[Date]],2)=6,MAX(0,H_Juil[[#This Row],[Fin corrigée si nuit]]-(1+deb_dimJF)),0))*24</f>
        <v>0</v>
      </c>
      <c r="R33"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3" s="51">
        <f>(IF(COUNTIF(JF,H_Juil[[#This Row],[Date]]),MAX(0,MIN(fin_dimJF,H_Juil[[#This Row],[Fin corrigée si nuit]])-MAX(deb_dimJF,H_Juil[[#This Row],[début]])),0)+IF(COUNTIF(JF,H_Juil[[#This Row],[Date]]+1),MAX(0,H_Juil[[#This Row],[Fin corrigée si nuit]]-(1+deb_dimJF)),0))*24</f>
        <v>0</v>
      </c>
      <c r="T33"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4" spans="1:20" x14ac:dyDescent="0.3">
      <c r="A34" s="4"/>
      <c r="B34" s="1"/>
      <c r="C34" s="2"/>
      <c r="D34" s="2"/>
      <c r="E34" s="3"/>
      <c r="F34" s="3"/>
      <c r="G34" s="3"/>
      <c r="H34" s="3"/>
      <c r="I34" s="47">
        <f>0.1*(H_Juil[[#This Row],[Heures de nuit]]+IF(H_Juil[[#This Row],[majoration dim &amp; JF]]="non",0,H_Juil[[#This Row],[heures jour dimanche]]+H_Juil[[#This Row],[heures jour fériés]]))</f>
        <v>0</v>
      </c>
      <c r="J34" s="48">
        <f>(MOD(H_Juil[[#This Row],[Fin]]-H_Juil[[#This Row],[début]],1)-MOD(H_Juil[[#This Row],[PNP Fin]]-H_Juil[[#This Row],[PNP Début]],1))*24</f>
        <v>0</v>
      </c>
      <c r="K34" s="119" t="str">
        <f>IFERROR(VLOOKUP(H_Juil[[#This Row],[Service]],Codes[],4,0),"")</f>
        <v/>
      </c>
      <c r="L34" s="49">
        <f>IF(H_Juil[[#This Row],[PNP Début]]=0,0,IF(H_Juil[[#This Row],[PNP Début]]&lt;H_Juil[[#This Row],[début]],1,0)+H_Juil[[#This Row],[PNP Début]])</f>
        <v>0</v>
      </c>
      <c r="M34" s="50">
        <f>IF(H_Juil[[#This Row],[PNP Fin]]=0,0,IF(H_Juil[[#This Row],[PNP Fin]]&lt;H_Juil[[#This Row],[début]],1,0)+H_Juil[[#This Row],[PNP Fin]])</f>
        <v>0</v>
      </c>
      <c r="N34" s="50">
        <f>IF(H_Juil[[#This Row],[Fin]]&lt;H_Juil[[#This Row],[début]],1,0)+H_Juil[[#This Row],[Fin]]</f>
        <v>0</v>
      </c>
      <c r="O34" s="31">
        <f>IF(H_Juil[[#This Row],[Fin]]&lt;H_Juil[[#This Row],[début]],MAX(0,MIN(H_Juil[[#This Row],[Fin corrigée si nuit]],fin_nuit)-MAX(H_Juil[[#This Row],[début]],deb_nuit))*24,(MAX(deb_nuit,H_Juil[[#This Row],[Fin]])-MAX(deb_nuit,H_Juil[[#This Row],[début]])+MAX(MIN(fin_nuit-1,H_Juil[[#This Row],[Fin]])-MIN(fin_nuit-1,H_Juil[[#This Row],[début]]),0))*24)</f>
        <v>0</v>
      </c>
      <c r="P34" s="51">
        <f>(MAX(0,MIN(H_Juil[[#This Row],[Fin corrigée si nuit]],fin_nuit)-MAX(H_Juil[[#This Row],[début]],deb_nuit))-IF(H_Juil[[#This Row],[PNP Début]]=0,0,MIN(H_Juil[[#This Row],[PNP Fin corrigée]],fin_nuit)-MAX(H_Juil[[#This Row],[PNP Début corrigé]],deb_nuit)))*24</f>
        <v>0</v>
      </c>
      <c r="Q34" s="51">
        <f>(IF(WEEKDAY(H_Juil[[#This Row],[Date]],2)=7,MAX(0,MIN(fin_dimJF,H_Juil[[#This Row],[Fin corrigée si nuit]])-MAX(deb_dimJF,H_Juil[[#This Row],[début]])),0)+IF(WEEKDAY(H_Juil[[#This Row],[Date]],2)=6,MAX(0,H_Juil[[#This Row],[Fin corrigée si nuit]]-(1+deb_dimJF)),0))*24</f>
        <v>0</v>
      </c>
      <c r="R34"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4" s="51">
        <f>(IF(COUNTIF(JF,H_Juil[[#This Row],[Date]]),MAX(0,MIN(fin_dimJF,H_Juil[[#This Row],[Fin corrigée si nuit]])-MAX(deb_dimJF,H_Juil[[#This Row],[début]])),0)+IF(COUNTIF(JF,H_Juil[[#This Row],[Date]]+1),MAX(0,H_Juil[[#This Row],[Fin corrigée si nuit]]-(1+deb_dimJF)),0))*24</f>
        <v>0</v>
      </c>
      <c r="T34"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5" spans="1:20" x14ac:dyDescent="0.3">
      <c r="A35" s="4"/>
      <c r="B35" s="1"/>
      <c r="C35" s="2"/>
      <c r="D35" s="2"/>
      <c r="E35" s="3"/>
      <c r="F35" s="3"/>
      <c r="G35" s="3"/>
      <c r="H35" s="3"/>
      <c r="I35" s="47">
        <f>0.1*(H_Juil[[#This Row],[Heures de nuit]]+IF(H_Juil[[#This Row],[majoration dim &amp; JF]]="non",0,H_Juil[[#This Row],[heures jour dimanche]]+H_Juil[[#This Row],[heures jour fériés]]))</f>
        <v>0</v>
      </c>
      <c r="J35" s="48">
        <f>(MOD(H_Juil[[#This Row],[Fin]]-H_Juil[[#This Row],[début]],1)-MOD(H_Juil[[#This Row],[PNP Fin]]-H_Juil[[#This Row],[PNP Début]],1))*24</f>
        <v>0</v>
      </c>
      <c r="K35" s="119" t="str">
        <f>IFERROR(VLOOKUP(H_Juil[[#This Row],[Service]],Codes[],4,0),"")</f>
        <v/>
      </c>
      <c r="L35" s="49">
        <f>IF(H_Juil[[#This Row],[PNP Début]]=0,0,IF(H_Juil[[#This Row],[PNP Début]]&lt;H_Juil[[#This Row],[début]],1,0)+H_Juil[[#This Row],[PNP Début]])</f>
        <v>0</v>
      </c>
      <c r="M35" s="50">
        <f>IF(H_Juil[[#This Row],[PNP Fin]]=0,0,IF(H_Juil[[#This Row],[PNP Fin]]&lt;H_Juil[[#This Row],[début]],1,0)+H_Juil[[#This Row],[PNP Fin]])</f>
        <v>0</v>
      </c>
      <c r="N35" s="50">
        <f>IF(H_Juil[[#This Row],[Fin]]&lt;H_Juil[[#This Row],[début]],1,0)+H_Juil[[#This Row],[Fin]]</f>
        <v>0</v>
      </c>
      <c r="O35" s="31">
        <f>IF(H_Juil[[#This Row],[Fin]]&lt;H_Juil[[#This Row],[début]],MAX(0,MIN(H_Juil[[#This Row],[Fin corrigée si nuit]],fin_nuit)-MAX(H_Juil[[#This Row],[début]],deb_nuit))*24,(MAX(deb_nuit,H_Juil[[#This Row],[Fin]])-MAX(deb_nuit,H_Juil[[#This Row],[début]])+MAX(MIN(fin_nuit-1,H_Juil[[#This Row],[Fin]])-MIN(fin_nuit-1,H_Juil[[#This Row],[début]]),0))*24)</f>
        <v>0</v>
      </c>
      <c r="P35" s="51">
        <f>(MAX(0,MIN(H_Juil[[#This Row],[Fin corrigée si nuit]],fin_nuit)-MAX(H_Juil[[#This Row],[début]],deb_nuit))-IF(H_Juil[[#This Row],[PNP Début]]=0,0,MIN(H_Juil[[#This Row],[PNP Fin corrigée]],fin_nuit)-MAX(H_Juil[[#This Row],[PNP Début corrigé]],deb_nuit)))*24</f>
        <v>0</v>
      </c>
      <c r="Q35" s="51">
        <f>(IF(WEEKDAY(H_Juil[[#This Row],[Date]],2)=7,MAX(0,MIN(fin_dimJF,H_Juil[[#This Row],[Fin corrigée si nuit]])-MAX(deb_dimJF,H_Juil[[#This Row],[début]])),0)+IF(WEEKDAY(H_Juil[[#This Row],[Date]],2)=6,MAX(0,H_Juil[[#This Row],[Fin corrigée si nuit]]-(1+deb_dimJF)),0))*24</f>
        <v>0</v>
      </c>
      <c r="R35"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5" s="51">
        <f>(IF(COUNTIF(JF,H_Juil[[#This Row],[Date]]),MAX(0,MIN(fin_dimJF,H_Juil[[#This Row],[Fin corrigée si nuit]])-MAX(deb_dimJF,H_Juil[[#This Row],[début]])),0)+IF(COUNTIF(JF,H_Juil[[#This Row],[Date]]+1),MAX(0,H_Juil[[#This Row],[Fin corrigée si nuit]]-(1+deb_dimJF)),0))*24</f>
        <v>0</v>
      </c>
      <c r="T35"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6" spans="1:20" x14ac:dyDescent="0.3">
      <c r="A36" s="4"/>
      <c r="B36" s="1"/>
      <c r="C36" s="2"/>
      <c r="D36" s="2"/>
      <c r="E36" s="3"/>
      <c r="F36" s="3"/>
      <c r="G36" s="3"/>
      <c r="H36" s="3"/>
      <c r="I36" s="47">
        <f>0.1*(H_Juil[[#This Row],[Heures de nuit]]+IF(H_Juil[[#This Row],[majoration dim &amp; JF]]="non",0,H_Juil[[#This Row],[heures jour dimanche]]+H_Juil[[#This Row],[heures jour fériés]]))</f>
        <v>0</v>
      </c>
      <c r="J36" s="48">
        <f>(MOD(H_Juil[[#This Row],[Fin]]-H_Juil[[#This Row],[début]],1)-MOD(H_Juil[[#This Row],[PNP Fin]]-H_Juil[[#This Row],[PNP Début]],1))*24</f>
        <v>0</v>
      </c>
      <c r="K36" s="119" t="str">
        <f>IFERROR(VLOOKUP(H_Juil[[#This Row],[Service]],Codes[],4,0),"")</f>
        <v/>
      </c>
      <c r="L36" s="49">
        <f>IF(H_Juil[[#This Row],[PNP Début]]=0,0,IF(H_Juil[[#This Row],[PNP Début]]&lt;H_Juil[[#This Row],[début]],1,0)+H_Juil[[#This Row],[PNP Début]])</f>
        <v>0</v>
      </c>
      <c r="M36" s="50">
        <f>IF(H_Juil[[#This Row],[PNP Fin]]=0,0,IF(H_Juil[[#This Row],[PNP Fin]]&lt;H_Juil[[#This Row],[début]],1,0)+H_Juil[[#This Row],[PNP Fin]])</f>
        <v>0</v>
      </c>
      <c r="N36" s="50">
        <f>IF(H_Juil[[#This Row],[Fin]]&lt;H_Juil[[#This Row],[début]],1,0)+H_Juil[[#This Row],[Fin]]</f>
        <v>0</v>
      </c>
      <c r="O36" s="31">
        <f>IF(H_Juil[[#This Row],[Fin]]&lt;H_Juil[[#This Row],[début]],MAX(0,MIN(H_Juil[[#This Row],[Fin corrigée si nuit]],fin_nuit)-MAX(H_Juil[[#This Row],[début]],deb_nuit))*24,(MAX(deb_nuit,H_Juil[[#This Row],[Fin]])-MAX(deb_nuit,H_Juil[[#This Row],[début]])+MAX(MIN(fin_nuit-1,H_Juil[[#This Row],[Fin]])-MIN(fin_nuit-1,H_Juil[[#This Row],[début]]),0))*24)</f>
        <v>0</v>
      </c>
      <c r="P36" s="51">
        <f>(MAX(0,MIN(H_Juil[[#This Row],[Fin corrigée si nuit]],fin_nuit)-MAX(H_Juil[[#This Row],[début]],deb_nuit))-IF(H_Juil[[#This Row],[PNP Début]]=0,0,MIN(H_Juil[[#This Row],[PNP Fin corrigée]],fin_nuit)-MAX(H_Juil[[#This Row],[PNP Début corrigé]],deb_nuit)))*24</f>
        <v>0</v>
      </c>
      <c r="Q36" s="51">
        <f>(IF(WEEKDAY(H_Juil[[#This Row],[Date]],2)=7,MAX(0,MIN(fin_dimJF,H_Juil[[#This Row],[Fin corrigée si nuit]])-MAX(deb_dimJF,H_Juil[[#This Row],[début]])),0)+IF(WEEKDAY(H_Juil[[#This Row],[Date]],2)=6,MAX(0,H_Juil[[#This Row],[Fin corrigée si nuit]]-(1+deb_dimJF)),0))*24</f>
        <v>0</v>
      </c>
      <c r="R36"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6" s="51">
        <f>(IF(COUNTIF(JF,H_Juil[[#This Row],[Date]]),MAX(0,MIN(fin_dimJF,H_Juil[[#This Row],[Fin corrigée si nuit]])-MAX(deb_dimJF,H_Juil[[#This Row],[début]])),0)+IF(COUNTIF(JF,H_Juil[[#This Row],[Date]]+1),MAX(0,H_Juil[[#This Row],[Fin corrigée si nuit]]-(1+deb_dimJF)),0))*24</f>
        <v>0</v>
      </c>
      <c r="T36"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7" spans="1:20" x14ac:dyDescent="0.3">
      <c r="A37" s="4"/>
      <c r="B37" s="1"/>
      <c r="C37" s="2"/>
      <c r="D37" s="2"/>
      <c r="E37" s="3"/>
      <c r="F37" s="3"/>
      <c r="G37" s="3"/>
      <c r="H37" s="3"/>
      <c r="I37" s="47">
        <f>0.1*(H_Juil[[#This Row],[Heures de nuit]]+IF(H_Juil[[#This Row],[majoration dim &amp; JF]]="non",0,H_Juil[[#This Row],[heures jour dimanche]]+H_Juil[[#This Row],[heures jour fériés]]))</f>
        <v>0</v>
      </c>
      <c r="J37" s="48">
        <f>(MOD(H_Juil[[#This Row],[Fin]]-H_Juil[[#This Row],[début]],1)-MOD(H_Juil[[#This Row],[PNP Fin]]-H_Juil[[#This Row],[PNP Début]],1))*24</f>
        <v>0</v>
      </c>
      <c r="K37" s="119" t="str">
        <f>IFERROR(VLOOKUP(H_Juil[[#This Row],[Service]],Codes[],4,0),"")</f>
        <v/>
      </c>
      <c r="L37" s="49">
        <f>IF(H_Juil[[#This Row],[PNP Début]]=0,0,IF(H_Juil[[#This Row],[PNP Début]]&lt;H_Juil[[#This Row],[début]],1,0)+H_Juil[[#This Row],[PNP Début]])</f>
        <v>0</v>
      </c>
      <c r="M37" s="50">
        <f>IF(H_Juil[[#This Row],[PNP Fin]]=0,0,IF(H_Juil[[#This Row],[PNP Fin]]&lt;H_Juil[[#This Row],[début]],1,0)+H_Juil[[#This Row],[PNP Fin]])</f>
        <v>0</v>
      </c>
      <c r="N37" s="50">
        <f>IF(H_Juil[[#This Row],[Fin]]&lt;H_Juil[[#This Row],[début]],1,0)+H_Juil[[#This Row],[Fin]]</f>
        <v>0</v>
      </c>
      <c r="O37" s="31">
        <f>IF(H_Juil[[#This Row],[Fin]]&lt;H_Juil[[#This Row],[début]],MAX(0,MIN(H_Juil[[#This Row],[Fin corrigée si nuit]],fin_nuit)-MAX(H_Juil[[#This Row],[début]],deb_nuit))*24,(MAX(deb_nuit,H_Juil[[#This Row],[Fin]])-MAX(deb_nuit,H_Juil[[#This Row],[début]])+MAX(MIN(fin_nuit-1,H_Juil[[#This Row],[Fin]])-MIN(fin_nuit-1,H_Juil[[#This Row],[début]]),0))*24)</f>
        <v>0</v>
      </c>
      <c r="P37" s="51">
        <f>(MAX(0,MIN(H_Juil[[#This Row],[Fin corrigée si nuit]],fin_nuit)-MAX(H_Juil[[#This Row],[début]],deb_nuit))-IF(H_Juil[[#This Row],[PNP Début]]=0,0,MIN(H_Juil[[#This Row],[PNP Fin corrigée]],fin_nuit)-MAX(H_Juil[[#This Row],[PNP Début corrigé]],deb_nuit)))*24</f>
        <v>0</v>
      </c>
      <c r="Q37" s="51">
        <f>(IF(WEEKDAY(H_Juil[[#This Row],[Date]],2)=7,MAX(0,MIN(fin_dimJF,H_Juil[[#This Row],[Fin corrigée si nuit]])-MAX(deb_dimJF,H_Juil[[#This Row],[début]])),0)+IF(WEEKDAY(H_Juil[[#This Row],[Date]],2)=6,MAX(0,H_Juil[[#This Row],[Fin corrigée si nuit]]-(1+deb_dimJF)),0))*24</f>
        <v>0</v>
      </c>
      <c r="R37"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7" s="51">
        <f>(IF(COUNTIF(JF,H_Juil[[#This Row],[Date]]),MAX(0,MIN(fin_dimJF,H_Juil[[#This Row],[Fin corrigée si nuit]])-MAX(deb_dimJF,H_Juil[[#This Row],[début]])),0)+IF(COUNTIF(JF,H_Juil[[#This Row],[Date]]+1),MAX(0,H_Juil[[#This Row],[Fin corrigée si nuit]]-(1+deb_dimJF)),0))*24</f>
        <v>0</v>
      </c>
      <c r="T37"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8" spans="1:20" x14ac:dyDescent="0.3">
      <c r="A38" s="4"/>
      <c r="B38" s="1"/>
      <c r="C38" s="2"/>
      <c r="D38" s="2"/>
      <c r="E38" s="3"/>
      <c r="F38" s="3"/>
      <c r="G38" s="3"/>
      <c r="H38" s="3"/>
      <c r="I38" s="47">
        <f>0.1*(H_Juil[[#This Row],[Heures de nuit]]+IF(H_Juil[[#This Row],[majoration dim &amp; JF]]="non",0,H_Juil[[#This Row],[heures jour dimanche]]+H_Juil[[#This Row],[heures jour fériés]]))</f>
        <v>0</v>
      </c>
      <c r="J38" s="48">
        <f>(MOD(H_Juil[[#This Row],[Fin]]-H_Juil[[#This Row],[début]],1)-MOD(H_Juil[[#This Row],[PNP Fin]]-H_Juil[[#This Row],[PNP Début]],1))*24</f>
        <v>0</v>
      </c>
      <c r="K38" s="119" t="str">
        <f>IFERROR(VLOOKUP(H_Juil[[#This Row],[Service]],Codes[],4,0),"")</f>
        <v/>
      </c>
      <c r="L38" s="49">
        <f>IF(H_Juil[[#This Row],[PNP Début]]=0,0,IF(H_Juil[[#This Row],[PNP Début]]&lt;H_Juil[[#This Row],[début]],1,0)+H_Juil[[#This Row],[PNP Début]])</f>
        <v>0</v>
      </c>
      <c r="M38" s="50">
        <f>IF(H_Juil[[#This Row],[PNP Fin]]=0,0,IF(H_Juil[[#This Row],[PNP Fin]]&lt;H_Juil[[#This Row],[début]],1,0)+H_Juil[[#This Row],[PNP Fin]])</f>
        <v>0</v>
      </c>
      <c r="N38" s="50">
        <f>IF(H_Juil[[#This Row],[Fin]]&lt;H_Juil[[#This Row],[début]],1,0)+H_Juil[[#This Row],[Fin]]</f>
        <v>0</v>
      </c>
      <c r="O38" s="31">
        <f>IF(H_Juil[[#This Row],[Fin]]&lt;H_Juil[[#This Row],[début]],MAX(0,MIN(H_Juil[[#This Row],[Fin corrigée si nuit]],fin_nuit)-MAX(H_Juil[[#This Row],[début]],deb_nuit))*24,(MAX(deb_nuit,H_Juil[[#This Row],[Fin]])-MAX(deb_nuit,H_Juil[[#This Row],[début]])+MAX(MIN(fin_nuit-1,H_Juil[[#This Row],[Fin]])-MIN(fin_nuit-1,H_Juil[[#This Row],[début]]),0))*24)</f>
        <v>0</v>
      </c>
      <c r="P38" s="51">
        <f>(MAX(0,MIN(H_Juil[[#This Row],[Fin corrigée si nuit]],fin_nuit)-MAX(H_Juil[[#This Row],[début]],deb_nuit))-IF(H_Juil[[#This Row],[PNP Début]]=0,0,MIN(H_Juil[[#This Row],[PNP Fin corrigée]],fin_nuit)-MAX(H_Juil[[#This Row],[PNP Début corrigé]],deb_nuit)))*24</f>
        <v>0</v>
      </c>
      <c r="Q38" s="51">
        <f>(IF(WEEKDAY(H_Juil[[#This Row],[Date]],2)=7,MAX(0,MIN(fin_dimJF,H_Juil[[#This Row],[Fin corrigée si nuit]])-MAX(deb_dimJF,H_Juil[[#This Row],[début]])),0)+IF(WEEKDAY(H_Juil[[#This Row],[Date]],2)=6,MAX(0,H_Juil[[#This Row],[Fin corrigée si nuit]]-(1+deb_dimJF)),0))*24</f>
        <v>0</v>
      </c>
      <c r="R38"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8" s="51">
        <f>(IF(COUNTIF(JF,H_Juil[[#This Row],[Date]]),MAX(0,MIN(fin_dimJF,H_Juil[[#This Row],[Fin corrigée si nuit]])-MAX(deb_dimJF,H_Juil[[#This Row],[début]])),0)+IF(COUNTIF(JF,H_Juil[[#This Row],[Date]]+1),MAX(0,H_Juil[[#This Row],[Fin corrigée si nuit]]-(1+deb_dimJF)),0))*24</f>
        <v>0</v>
      </c>
      <c r="T38"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39" spans="1:20" x14ac:dyDescent="0.3">
      <c r="A39" s="4"/>
      <c r="B39" s="1"/>
      <c r="C39" s="2"/>
      <c r="D39" s="2"/>
      <c r="E39" s="3"/>
      <c r="F39" s="3"/>
      <c r="G39" s="3"/>
      <c r="H39" s="3"/>
      <c r="I39" s="47">
        <f>0.1*(H_Juil[[#This Row],[Heures de nuit]]+IF(H_Juil[[#This Row],[majoration dim &amp; JF]]="non",0,H_Juil[[#This Row],[heures jour dimanche]]+H_Juil[[#This Row],[heures jour fériés]]))</f>
        <v>0</v>
      </c>
      <c r="J39" s="48">
        <f>(MOD(H_Juil[[#This Row],[Fin]]-H_Juil[[#This Row],[début]],1)-MOD(H_Juil[[#This Row],[PNP Fin]]-H_Juil[[#This Row],[PNP Début]],1))*24</f>
        <v>0</v>
      </c>
      <c r="K39" s="119" t="str">
        <f>IFERROR(VLOOKUP(H_Juil[[#This Row],[Service]],Codes[],4,0),"")</f>
        <v/>
      </c>
      <c r="L39" s="49">
        <f>IF(H_Juil[[#This Row],[PNP Début]]=0,0,IF(H_Juil[[#This Row],[PNP Début]]&lt;H_Juil[[#This Row],[début]],1,0)+H_Juil[[#This Row],[PNP Début]])</f>
        <v>0</v>
      </c>
      <c r="M39" s="50">
        <f>IF(H_Juil[[#This Row],[PNP Fin]]=0,0,IF(H_Juil[[#This Row],[PNP Fin]]&lt;H_Juil[[#This Row],[début]],1,0)+H_Juil[[#This Row],[PNP Fin]])</f>
        <v>0</v>
      </c>
      <c r="N39" s="50">
        <f>IF(H_Juil[[#This Row],[Fin]]&lt;H_Juil[[#This Row],[début]],1,0)+H_Juil[[#This Row],[Fin]]</f>
        <v>0</v>
      </c>
      <c r="O39" s="31">
        <f>IF(H_Juil[[#This Row],[Fin]]&lt;H_Juil[[#This Row],[début]],MAX(0,MIN(H_Juil[[#This Row],[Fin corrigée si nuit]],fin_nuit)-MAX(H_Juil[[#This Row],[début]],deb_nuit))*24,(MAX(deb_nuit,H_Juil[[#This Row],[Fin]])-MAX(deb_nuit,H_Juil[[#This Row],[début]])+MAX(MIN(fin_nuit-1,H_Juil[[#This Row],[Fin]])-MIN(fin_nuit-1,H_Juil[[#This Row],[début]]),0))*24)</f>
        <v>0</v>
      </c>
      <c r="P39" s="51">
        <f>(MAX(0,MIN(H_Juil[[#This Row],[Fin corrigée si nuit]],fin_nuit)-MAX(H_Juil[[#This Row],[début]],deb_nuit))-IF(H_Juil[[#This Row],[PNP Début]]=0,0,MIN(H_Juil[[#This Row],[PNP Fin corrigée]],fin_nuit)-MAX(H_Juil[[#This Row],[PNP Début corrigé]],deb_nuit)))*24</f>
        <v>0</v>
      </c>
      <c r="Q39" s="51">
        <f>(IF(WEEKDAY(H_Juil[[#This Row],[Date]],2)=7,MAX(0,MIN(fin_dimJF,H_Juil[[#This Row],[Fin corrigée si nuit]])-MAX(deb_dimJF,H_Juil[[#This Row],[début]])),0)+IF(WEEKDAY(H_Juil[[#This Row],[Date]],2)=6,MAX(0,H_Juil[[#This Row],[Fin corrigée si nuit]]-(1+deb_dimJF)),0))*24</f>
        <v>0</v>
      </c>
      <c r="R39"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39" s="51">
        <f>(IF(COUNTIF(JF,H_Juil[[#This Row],[Date]]),MAX(0,MIN(fin_dimJF,H_Juil[[#This Row],[Fin corrigée si nuit]])-MAX(deb_dimJF,H_Juil[[#This Row],[début]])),0)+IF(COUNTIF(JF,H_Juil[[#This Row],[Date]]+1),MAX(0,H_Juil[[#This Row],[Fin corrigée si nuit]]-(1+deb_dimJF)),0))*24</f>
        <v>0</v>
      </c>
      <c r="T39"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0" spans="1:20" x14ac:dyDescent="0.3">
      <c r="A40" s="4"/>
      <c r="B40" s="1"/>
      <c r="C40" s="2"/>
      <c r="D40" s="2"/>
      <c r="E40" s="3"/>
      <c r="F40" s="3"/>
      <c r="G40" s="3"/>
      <c r="H40" s="3"/>
      <c r="I40" s="47">
        <f>0.1*(H_Juil[[#This Row],[Heures de nuit]]+IF(H_Juil[[#This Row],[majoration dim &amp; JF]]="non",0,H_Juil[[#This Row],[heures jour dimanche]]+H_Juil[[#This Row],[heures jour fériés]]))</f>
        <v>0</v>
      </c>
      <c r="J40" s="48">
        <f>(MOD(H_Juil[[#This Row],[Fin]]-H_Juil[[#This Row],[début]],1)-MOD(H_Juil[[#This Row],[PNP Fin]]-H_Juil[[#This Row],[PNP Début]],1))*24</f>
        <v>0</v>
      </c>
      <c r="K40" s="119" t="str">
        <f>IFERROR(VLOOKUP(H_Juil[[#This Row],[Service]],Codes[],4,0),"")</f>
        <v/>
      </c>
      <c r="L40" s="49">
        <f>IF(H_Juil[[#This Row],[PNP Début]]=0,0,IF(H_Juil[[#This Row],[PNP Début]]&lt;H_Juil[[#This Row],[début]],1,0)+H_Juil[[#This Row],[PNP Début]])</f>
        <v>0</v>
      </c>
      <c r="M40" s="50">
        <f>IF(H_Juil[[#This Row],[PNP Fin]]=0,0,IF(H_Juil[[#This Row],[PNP Fin]]&lt;H_Juil[[#This Row],[début]],1,0)+H_Juil[[#This Row],[PNP Fin]])</f>
        <v>0</v>
      </c>
      <c r="N40" s="50">
        <f>IF(H_Juil[[#This Row],[Fin]]&lt;H_Juil[[#This Row],[début]],1,0)+H_Juil[[#This Row],[Fin]]</f>
        <v>0</v>
      </c>
      <c r="O40" s="31">
        <f>IF(H_Juil[[#This Row],[Fin]]&lt;H_Juil[[#This Row],[début]],MAX(0,MIN(H_Juil[[#This Row],[Fin corrigée si nuit]],fin_nuit)-MAX(H_Juil[[#This Row],[début]],deb_nuit))*24,(MAX(deb_nuit,H_Juil[[#This Row],[Fin]])-MAX(deb_nuit,H_Juil[[#This Row],[début]])+MAX(MIN(fin_nuit-1,H_Juil[[#This Row],[Fin]])-MIN(fin_nuit-1,H_Juil[[#This Row],[début]]),0))*24)</f>
        <v>0</v>
      </c>
      <c r="P40" s="51">
        <f>(MAX(0,MIN(H_Juil[[#This Row],[Fin corrigée si nuit]],fin_nuit)-MAX(H_Juil[[#This Row],[début]],deb_nuit))-IF(H_Juil[[#This Row],[PNP Début]]=0,0,MIN(H_Juil[[#This Row],[PNP Fin corrigée]],fin_nuit)-MAX(H_Juil[[#This Row],[PNP Début corrigé]],deb_nuit)))*24</f>
        <v>0</v>
      </c>
      <c r="Q40" s="51">
        <f>(IF(WEEKDAY(H_Juil[[#This Row],[Date]],2)=7,MAX(0,MIN(fin_dimJF,H_Juil[[#This Row],[Fin corrigée si nuit]])-MAX(deb_dimJF,H_Juil[[#This Row],[début]])),0)+IF(WEEKDAY(H_Juil[[#This Row],[Date]],2)=6,MAX(0,H_Juil[[#This Row],[Fin corrigée si nuit]]-(1+deb_dimJF)),0))*24</f>
        <v>0</v>
      </c>
      <c r="R40"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0" s="51">
        <f>(IF(COUNTIF(JF,H_Juil[[#This Row],[Date]]),MAX(0,MIN(fin_dimJF,H_Juil[[#This Row],[Fin corrigée si nuit]])-MAX(deb_dimJF,H_Juil[[#This Row],[début]])),0)+IF(COUNTIF(JF,H_Juil[[#This Row],[Date]]+1),MAX(0,H_Juil[[#This Row],[Fin corrigée si nuit]]-(1+deb_dimJF)),0))*24</f>
        <v>0</v>
      </c>
      <c r="T40"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1" spans="1:20" x14ac:dyDescent="0.3">
      <c r="A41" s="4"/>
      <c r="B41" s="1"/>
      <c r="C41" s="2"/>
      <c r="D41" s="2"/>
      <c r="E41" s="3"/>
      <c r="F41" s="3"/>
      <c r="G41" s="3"/>
      <c r="H41" s="3"/>
      <c r="I41" s="47">
        <f>0.1*(H_Juil[[#This Row],[Heures de nuit]]+IF(H_Juil[[#This Row],[majoration dim &amp; JF]]="non",0,H_Juil[[#This Row],[heures jour dimanche]]+H_Juil[[#This Row],[heures jour fériés]]))</f>
        <v>0</v>
      </c>
      <c r="J41" s="48">
        <f>(MOD(H_Juil[[#This Row],[Fin]]-H_Juil[[#This Row],[début]],1)-MOD(H_Juil[[#This Row],[PNP Fin]]-H_Juil[[#This Row],[PNP Début]],1))*24</f>
        <v>0</v>
      </c>
      <c r="K41" s="119" t="str">
        <f>IFERROR(VLOOKUP(H_Juil[[#This Row],[Service]],Codes[],4,0),"")</f>
        <v/>
      </c>
      <c r="L41" s="49">
        <f>IF(H_Juil[[#This Row],[PNP Début]]=0,0,IF(H_Juil[[#This Row],[PNP Début]]&lt;H_Juil[[#This Row],[début]],1,0)+H_Juil[[#This Row],[PNP Début]])</f>
        <v>0</v>
      </c>
      <c r="M41" s="50">
        <f>IF(H_Juil[[#This Row],[PNP Fin]]=0,0,IF(H_Juil[[#This Row],[PNP Fin]]&lt;H_Juil[[#This Row],[début]],1,0)+H_Juil[[#This Row],[PNP Fin]])</f>
        <v>0</v>
      </c>
      <c r="N41" s="50">
        <f>IF(H_Juil[[#This Row],[Fin]]&lt;H_Juil[[#This Row],[début]],1,0)+H_Juil[[#This Row],[Fin]]</f>
        <v>0</v>
      </c>
      <c r="O41" s="31">
        <f>IF(H_Juil[[#This Row],[Fin]]&lt;H_Juil[[#This Row],[début]],MAX(0,MIN(H_Juil[[#This Row],[Fin corrigée si nuit]],fin_nuit)-MAX(H_Juil[[#This Row],[début]],deb_nuit))*24,(MAX(deb_nuit,H_Juil[[#This Row],[Fin]])-MAX(deb_nuit,H_Juil[[#This Row],[début]])+MAX(MIN(fin_nuit-1,H_Juil[[#This Row],[Fin]])-MIN(fin_nuit-1,H_Juil[[#This Row],[début]]),0))*24)</f>
        <v>0</v>
      </c>
      <c r="P41" s="51">
        <f>(MAX(0,MIN(H_Juil[[#This Row],[Fin corrigée si nuit]],fin_nuit)-MAX(H_Juil[[#This Row],[début]],deb_nuit))-IF(H_Juil[[#This Row],[PNP Début]]=0,0,MIN(H_Juil[[#This Row],[PNP Fin corrigée]],fin_nuit)-MAX(H_Juil[[#This Row],[PNP Début corrigé]],deb_nuit)))*24</f>
        <v>0</v>
      </c>
      <c r="Q41" s="51">
        <f>(IF(WEEKDAY(H_Juil[[#This Row],[Date]],2)=7,MAX(0,MIN(fin_dimJF,H_Juil[[#This Row],[Fin corrigée si nuit]])-MAX(deb_dimJF,H_Juil[[#This Row],[début]])),0)+IF(WEEKDAY(H_Juil[[#This Row],[Date]],2)=6,MAX(0,H_Juil[[#This Row],[Fin corrigée si nuit]]-(1+deb_dimJF)),0))*24</f>
        <v>0</v>
      </c>
      <c r="R41"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1" s="51">
        <f>(IF(COUNTIF(JF,H_Juil[[#This Row],[Date]]),MAX(0,MIN(fin_dimJF,H_Juil[[#This Row],[Fin corrigée si nuit]])-MAX(deb_dimJF,H_Juil[[#This Row],[début]])),0)+IF(COUNTIF(JF,H_Juil[[#This Row],[Date]]+1),MAX(0,H_Juil[[#This Row],[Fin corrigée si nuit]]-(1+deb_dimJF)),0))*24</f>
        <v>0</v>
      </c>
      <c r="T41"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2" spans="1:20" x14ac:dyDescent="0.3">
      <c r="A42" s="4"/>
      <c r="B42" s="1"/>
      <c r="C42" s="2"/>
      <c r="D42" s="2"/>
      <c r="E42" s="3"/>
      <c r="F42" s="3"/>
      <c r="G42" s="3"/>
      <c r="H42" s="3"/>
      <c r="I42" s="47">
        <f>0.1*(H_Juil[[#This Row],[Heures de nuit]]+IF(H_Juil[[#This Row],[majoration dim &amp; JF]]="non",0,H_Juil[[#This Row],[heures jour dimanche]]+H_Juil[[#This Row],[heures jour fériés]]))</f>
        <v>0</v>
      </c>
      <c r="J42" s="48">
        <f>(MOD(H_Juil[[#This Row],[Fin]]-H_Juil[[#This Row],[début]],1)-MOD(H_Juil[[#This Row],[PNP Fin]]-H_Juil[[#This Row],[PNP Début]],1))*24</f>
        <v>0</v>
      </c>
      <c r="K42" s="119" t="str">
        <f>IFERROR(VLOOKUP(H_Juil[[#This Row],[Service]],Codes[],4,0),"")</f>
        <v/>
      </c>
      <c r="L42" s="49">
        <f>IF(H_Juil[[#This Row],[PNP Début]]=0,0,IF(H_Juil[[#This Row],[PNP Début]]&lt;H_Juil[[#This Row],[début]],1,0)+H_Juil[[#This Row],[PNP Début]])</f>
        <v>0</v>
      </c>
      <c r="M42" s="50">
        <f>IF(H_Juil[[#This Row],[PNP Fin]]=0,0,IF(H_Juil[[#This Row],[PNP Fin]]&lt;H_Juil[[#This Row],[début]],1,0)+H_Juil[[#This Row],[PNP Fin]])</f>
        <v>0</v>
      </c>
      <c r="N42" s="50">
        <f>IF(H_Juil[[#This Row],[Fin]]&lt;H_Juil[[#This Row],[début]],1,0)+H_Juil[[#This Row],[Fin]]</f>
        <v>0</v>
      </c>
      <c r="O42" s="31">
        <f>IF(H_Juil[[#This Row],[Fin]]&lt;H_Juil[[#This Row],[début]],MAX(0,MIN(H_Juil[[#This Row],[Fin corrigée si nuit]],fin_nuit)-MAX(H_Juil[[#This Row],[début]],deb_nuit))*24,(MAX(deb_nuit,H_Juil[[#This Row],[Fin]])-MAX(deb_nuit,H_Juil[[#This Row],[début]])+MAX(MIN(fin_nuit-1,H_Juil[[#This Row],[Fin]])-MIN(fin_nuit-1,H_Juil[[#This Row],[début]]),0))*24)</f>
        <v>0</v>
      </c>
      <c r="P42" s="51">
        <f>(MAX(0,MIN(H_Juil[[#This Row],[Fin corrigée si nuit]],fin_nuit)-MAX(H_Juil[[#This Row],[début]],deb_nuit))-IF(H_Juil[[#This Row],[PNP Début]]=0,0,MIN(H_Juil[[#This Row],[PNP Fin corrigée]],fin_nuit)-MAX(H_Juil[[#This Row],[PNP Début corrigé]],deb_nuit)))*24</f>
        <v>0</v>
      </c>
      <c r="Q42" s="51">
        <f>(IF(WEEKDAY(H_Juil[[#This Row],[Date]],2)=7,MAX(0,MIN(fin_dimJF,H_Juil[[#This Row],[Fin corrigée si nuit]])-MAX(deb_dimJF,H_Juil[[#This Row],[début]])),0)+IF(WEEKDAY(H_Juil[[#This Row],[Date]],2)=6,MAX(0,H_Juil[[#This Row],[Fin corrigée si nuit]]-(1+deb_dimJF)),0))*24</f>
        <v>0</v>
      </c>
      <c r="R42"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2" s="51">
        <f>(IF(COUNTIF(JF,H_Juil[[#This Row],[Date]]),MAX(0,MIN(fin_dimJF,H_Juil[[#This Row],[Fin corrigée si nuit]])-MAX(deb_dimJF,H_Juil[[#This Row],[début]])),0)+IF(COUNTIF(JF,H_Juil[[#This Row],[Date]]+1),MAX(0,H_Juil[[#This Row],[Fin corrigée si nuit]]-(1+deb_dimJF)),0))*24</f>
        <v>0</v>
      </c>
      <c r="T42"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3" spans="1:20" x14ac:dyDescent="0.3">
      <c r="A43" s="4"/>
      <c r="B43" s="1"/>
      <c r="C43" s="2"/>
      <c r="D43" s="2"/>
      <c r="E43" s="3"/>
      <c r="F43" s="3"/>
      <c r="G43" s="3"/>
      <c r="H43" s="3"/>
      <c r="I43" s="47">
        <f>0.1*(H_Juil[[#This Row],[Heures de nuit]]+IF(H_Juil[[#This Row],[majoration dim &amp; JF]]="non",0,H_Juil[[#This Row],[heures jour dimanche]]+H_Juil[[#This Row],[heures jour fériés]]))</f>
        <v>0</v>
      </c>
      <c r="J43" s="48">
        <f>(MOD(H_Juil[[#This Row],[Fin]]-H_Juil[[#This Row],[début]],1)-MOD(H_Juil[[#This Row],[PNP Fin]]-H_Juil[[#This Row],[PNP Début]],1))*24</f>
        <v>0</v>
      </c>
      <c r="K43" s="119" t="str">
        <f>IFERROR(VLOOKUP(H_Juil[[#This Row],[Service]],Codes[],4,0),"")</f>
        <v/>
      </c>
      <c r="L43" s="49">
        <f>IF(H_Juil[[#This Row],[PNP Début]]=0,0,IF(H_Juil[[#This Row],[PNP Début]]&lt;H_Juil[[#This Row],[début]],1,0)+H_Juil[[#This Row],[PNP Début]])</f>
        <v>0</v>
      </c>
      <c r="M43" s="50">
        <f>IF(H_Juil[[#This Row],[PNP Fin]]=0,0,IF(H_Juil[[#This Row],[PNP Fin]]&lt;H_Juil[[#This Row],[début]],1,0)+H_Juil[[#This Row],[PNP Fin]])</f>
        <v>0</v>
      </c>
      <c r="N43" s="50">
        <f>IF(H_Juil[[#This Row],[Fin]]&lt;H_Juil[[#This Row],[début]],1,0)+H_Juil[[#This Row],[Fin]]</f>
        <v>0</v>
      </c>
      <c r="O43" s="31">
        <f>IF(H_Juil[[#This Row],[Fin]]&lt;H_Juil[[#This Row],[début]],MAX(0,MIN(H_Juil[[#This Row],[Fin corrigée si nuit]],fin_nuit)-MAX(H_Juil[[#This Row],[début]],deb_nuit))*24,(MAX(deb_nuit,H_Juil[[#This Row],[Fin]])-MAX(deb_nuit,H_Juil[[#This Row],[début]])+MAX(MIN(fin_nuit-1,H_Juil[[#This Row],[Fin]])-MIN(fin_nuit-1,H_Juil[[#This Row],[début]]),0))*24)</f>
        <v>0</v>
      </c>
      <c r="P43" s="51">
        <f>(MAX(0,MIN(H_Juil[[#This Row],[Fin corrigée si nuit]],fin_nuit)-MAX(H_Juil[[#This Row],[début]],deb_nuit))-IF(H_Juil[[#This Row],[PNP Début]]=0,0,MIN(H_Juil[[#This Row],[PNP Fin corrigée]],fin_nuit)-MAX(H_Juil[[#This Row],[PNP Début corrigé]],deb_nuit)))*24</f>
        <v>0</v>
      </c>
      <c r="Q43" s="51">
        <f>(IF(WEEKDAY(H_Juil[[#This Row],[Date]],2)=7,MAX(0,MIN(fin_dimJF,H_Juil[[#This Row],[Fin corrigée si nuit]])-MAX(deb_dimJF,H_Juil[[#This Row],[début]])),0)+IF(WEEKDAY(H_Juil[[#This Row],[Date]],2)=6,MAX(0,H_Juil[[#This Row],[Fin corrigée si nuit]]-(1+deb_dimJF)),0))*24</f>
        <v>0</v>
      </c>
      <c r="R43"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3" s="51">
        <f>(IF(COUNTIF(JF,H_Juil[[#This Row],[Date]]),MAX(0,MIN(fin_dimJF,H_Juil[[#This Row],[Fin corrigée si nuit]])-MAX(deb_dimJF,H_Juil[[#This Row],[début]])),0)+IF(COUNTIF(JF,H_Juil[[#This Row],[Date]]+1),MAX(0,H_Juil[[#This Row],[Fin corrigée si nuit]]-(1+deb_dimJF)),0))*24</f>
        <v>0</v>
      </c>
      <c r="T43"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4" spans="1:20" x14ac:dyDescent="0.3">
      <c r="A44" s="4"/>
      <c r="B44" s="1"/>
      <c r="C44" s="2"/>
      <c r="D44" s="2"/>
      <c r="E44" s="3"/>
      <c r="F44" s="3"/>
      <c r="G44" s="3"/>
      <c r="H44" s="3"/>
      <c r="I44" s="47">
        <f>0.1*(H_Juil[[#This Row],[Heures de nuit]]+IF(H_Juil[[#This Row],[majoration dim &amp; JF]]="non",0,H_Juil[[#This Row],[heures jour dimanche]]+H_Juil[[#This Row],[heures jour fériés]]))</f>
        <v>0</v>
      </c>
      <c r="J44" s="48">
        <f>(MOD(H_Juil[[#This Row],[Fin]]-H_Juil[[#This Row],[début]],1)-MOD(H_Juil[[#This Row],[PNP Fin]]-H_Juil[[#This Row],[PNP Début]],1))*24</f>
        <v>0</v>
      </c>
      <c r="K44" s="119" t="str">
        <f>IFERROR(VLOOKUP(H_Juil[[#This Row],[Service]],Codes[],4,0),"")</f>
        <v/>
      </c>
      <c r="L44" s="49">
        <f>IF(H_Juil[[#This Row],[PNP Début]]=0,0,IF(H_Juil[[#This Row],[PNP Début]]&lt;H_Juil[[#This Row],[début]],1,0)+H_Juil[[#This Row],[PNP Début]])</f>
        <v>0</v>
      </c>
      <c r="M44" s="50">
        <f>IF(H_Juil[[#This Row],[PNP Fin]]=0,0,IF(H_Juil[[#This Row],[PNP Fin]]&lt;H_Juil[[#This Row],[début]],1,0)+H_Juil[[#This Row],[PNP Fin]])</f>
        <v>0</v>
      </c>
      <c r="N44" s="50">
        <f>IF(H_Juil[[#This Row],[Fin]]&lt;H_Juil[[#This Row],[début]],1,0)+H_Juil[[#This Row],[Fin]]</f>
        <v>0</v>
      </c>
      <c r="O44" s="31">
        <f>IF(H_Juil[[#This Row],[Fin]]&lt;H_Juil[[#This Row],[début]],MAX(0,MIN(H_Juil[[#This Row],[Fin corrigée si nuit]],fin_nuit)-MAX(H_Juil[[#This Row],[début]],deb_nuit))*24,(MAX(deb_nuit,H_Juil[[#This Row],[Fin]])-MAX(deb_nuit,H_Juil[[#This Row],[début]])+MAX(MIN(fin_nuit-1,H_Juil[[#This Row],[Fin]])-MIN(fin_nuit-1,H_Juil[[#This Row],[début]]),0))*24)</f>
        <v>0</v>
      </c>
      <c r="P44" s="51">
        <f>(MAX(0,MIN(H_Juil[[#This Row],[Fin corrigée si nuit]],fin_nuit)-MAX(H_Juil[[#This Row],[début]],deb_nuit))-IF(H_Juil[[#This Row],[PNP Début]]=0,0,MIN(H_Juil[[#This Row],[PNP Fin corrigée]],fin_nuit)-MAX(H_Juil[[#This Row],[PNP Début corrigé]],deb_nuit)))*24</f>
        <v>0</v>
      </c>
      <c r="Q44" s="51">
        <f>(IF(WEEKDAY(H_Juil[[#This Row],[Date]],2)=7,MAX(0,MIN(fin_dimJF,H_Juil[[#This Row],[Fin corrigée si nuit]])-MAX(deb_dimJF,H_Juil[[#This Row],[début]])),0)+IF(WEEKDAY(H_Juil[[#This Row],[Date]],2)=6,MAX(0,H_Juil[[#This Row],[Fin corrigée si nuit]]-(1+deb_dimJF)),0))*24</f>
        <v>0</v>
      </c>
      <c r="R44"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4" s="51">
        <f>(IF(COUNTIF(JF,H_Juil[[#This Row],[Date]]),MAX(0,MIN(fin_dimJF,H_Juil[[#This Row],[Fin corrigée si nuit]])-MAX(deb_dimJF,H_Juil[[#This Row],[début]])),0)+IF(COUNTIF(JF,H_Juil[[#This Row],[Date]]+1),MAX(0,H_Juil[[#This Row],[Fin corrigée si nuit]]-(1+deb_dimJF)),0))*24</f>
        <v>0</v>
      </c>
      <c r="T44"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5" spans="1:20" x14ac:dyDescent="0.3">
      <c r="A45" s="4"/>
      <c r="B45" s="1"/>
      <c r="C45" s="2"/>
      <c r="D45" s="2"/>
      <c r="E45" s="3"/>
      <c r="F45" s="3"/>
      <c r="G45" s="3"/>
      <c r="H45" s="3"/>
      <c r="I45" s="47">
        <f>0.1*(H_Juil[[#This Row],[Heures de nuit]]+IF(H_Juil[[#This Row],[majoration dim &amp; JF]]="non",0,H_Juil[[#This Row],[heures jour dimanche]]+H_Juil[[#This Row],[heures jour fériés]]))</f>
        <v>0</v>
      </c>
      <c r="J45" s="48">
        <f>(MOD(H_Juil[[#This Row],[Fin]]-H_Juil[[#This Row],[début]],1)-MOD(H_Juil[[#This Row],[PNP Fin]]-H_Juil[[#This Row],[PNP Début]],1))*24</f>
        <v>0</v>
      </c>
      <c r="K45" s="119" t="str">
        <f>IFERROR(VLOOKUP(H_Juil[[#This Row],[Service]],Codes[],4,0),"")</f>
        <v/>
      </c>
      <c r="L45" s="49">
        <f>IF(H_Juil[[#This Row],[PNP Début]]=0,0,IF(H_Juil[[#This Row],[PNP Début]]&lt;H_Juil[[#This Row],[début]],1,0)+H_Juil[[#This Row],[PNP Début]])</f>
        <v>0</v>
      </c>
      <c r="M45" s="50">
        <f>IF(H_Juil[[#This Row],[PNP Fin]]=0,0,IF(H_Juil[[#This Row],[PNP Fin]]&lt;H_Juil[[#This Row],[début]],1,0)+H_Juil[[#This Row],[PNP Fin]])</f>
        <v>0</v>
      </c>
      <c r="N45" s="50">
        <f>IF(H_Juil[[#This Row],[Fin]]&lt;H_Juil[[#This Row],[début]],1,0)+H_Juil[[#This Row],[Fin]]</f>
        <v>0</v>
      </c>
      <c r="O45" s="31">
        <f>IF(H_Juil[[#This Row],[Fin]]&lt;H_Juil[[#This Row],[début]],MAX(0,MIN(H_Juil[[#This Row],[Fin corrigée si nuit]],fin_nuit)-MAX(H_Juil[[#This Row],[début]],deb_nuit))*24,(MAX(deb_nuit,H_Juil[[#This Row],[Fin]])-MAX(deb_nuit,H_Juil[[#This Row],[début]])+MAX(MIN(fin_nuit-1,H_Juil[[#This Row],[Fin]])-MIN(fin_nuit-1,H_Juil[[#This Row],[début]]),0))*24)</f>
        <v>0</v>
      </c>
      <c r="P45" s="51">
        <f>(MAX(0,MIN(H_Juil[[#This Row],[Fin corrigée si nuit]],fin_nuit)-MAX(H_Juil[[#This Row],[début]],deb_nuit))-IF(H_Juil[[#This Row],[PNP Début]]=0,0,MIN(H_Juil[[#This Row],[PNP Fin corrigée]],fin_nuit)-MAX(H_Juil[[#This Row],[PNP Début corrigé]],deb_nuit)))*24</f>
        <v>0</v>
      </c>
      <c r="Q45" s="51">
        <f>(IF(WEEKDAY(H_Juil[[#This Row],[Date]],2)=7,MAX(0,MIN(fin_dimJF,H_Juil[[#This Row],[Fin corrigée si nuit]])-MAX(deb_dimJF,H_Juil[[#This Row],[début]])),0)+IF(WEEKDAY(H_Juil[[#This Row],[Date]],2)=6,MAX(0,H_Juil[[#This Row],[Fin corrigée si nuit]]-(1+deb_dimJF)),0))*24</f>
        <v>0</v>
      </c>
      <c r="R45"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5" s="51">
        <f>(IF(COUNTIF(JF,H_Juil[[#This Row],[Date]]),MAX(0,MIN(fin_dimJF,H_Juil[[#This Row],[Fin corrigée si nuit]])-MAX(deb_dimJF,H_Juil[[#This Row],[début]])),0)+IF(COUNTIF(JF,H_Juil[[#This Row],[Date]]+1),MAX(0,H_Juil[[#This Row],[Fin corrigée si nuit]]-(1+deb_dimJF)),0))*24</f>
        <v>0</v>
      </c>
      <c r="T45"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6" spans="1:20" x14ac:dyDescent="0.3">
      <c r="A46" s="4"/>
      <c r="B46" s="1"/>
      <c r="C46" s="2"/>
      <c r="D46" s="2"/>
      <c r="E46" s="3"/>
      <c r="F46" s="3"/>
      <c r="G46" s="3"/>
      <c r="H46" s="3"/>
      <c r="I46" s="47">
        <f>0.1*(H_Juil[[#This Row],[Heures de nuit]]+IF(H_Juil[[#This Row],[majoration dim &amp; JF]]="non",0,H_Juil[[#This Row],[heures jour dimanche]]+H_Juil[[#This Row],[heures jour fériés]]))</f>
        <v>0</v>
      </c>
      <c r="J46" s="48">
        <f>(MOD(H_Juil[[#This Row],[Fin]]-H_Juil[[#This Row],[début]],1)-MOD(H_Juil[[#This Row],[PNP Fin]]-H_Juil[[#This Row],[PNP Début]],1))*24</f>
        <v>0</v>
      </c>
      <c r="K46" s="119" t="str">
        <f>IFERROR(VLOOKUP(H_Juil[[#This Row],[Service]],Codes[],4,0),"")</f>
        <v/>
      </c>
      <c r="L46" s="49">
        <f>IF(H_Juil[[#This Row],[PNP Début]]=0,0,IF(H_Juil[[#This Row],[PNP Début]]&lt;H_Juil[[#This Row],[début]],1,0)+H_Juil[[#This Row],[PNP Début]])</f>
        <v>0</v>
      </c>
      <c r="M46" s="50">
        <f>IF(H_Juil[[#This Row],[PNP Fin]]=0,0,IF(H_Juil[[#This Row],[PNP Fin]]&lt;H_Juil[[#This Row],[début]],1,0)+H_Juil[[#This Row],[PNP Fin]])</f>
        <v>0</v>
      </c>
      <c r="N46" s="50">
        <f>IF(H_Juil[[#This Row],[Fin]]&lt;H_Juil[[#This Row],[début]],1,0)+H_Juil[[#This Row],[Fin]]</f>
        <v>0</v>
      </c>
      <c r="O46" s="31">
        <f>IF(H_Juil[[#This Row],[Fin]]&lt;H_Juil[[#This Row],[début]],MAX(0,MIN(H_Juil[[#This Row],[Fin corrigée si nuit]],fin_nuit)-MAX(H_Juil[[#This Row],[début]],deb_nuit))*24,(MAX(deb_nuit,H_Juil[[#This Row],[Fin]])-MAX(deb_nuit,H_Juil[[#This Row],[début]])+MAX(MIN(fin_nuit-1,H_Juil[[#This Row],[Fin]])-MIN(fin_nuit-1,H_Juil[[#This Row],[début]]),0))*24)</f>
        <v>0</v>
      </c>
      <c r="P46" s="51">
        <f>(MAX(0,MIN(H_Juil[[#This Row],[Fin corrigée si nuit]],fin_nuit)-MAX(H_Juil[[#This Row],[début]],deb_nuit))-IF(H_Juil[[#This Row],[PNP Début]]=0,0,MIN(H_Juil[[#This Row],[PNP Fin corrigée]],fin_nuit)-MAX(H_Juil[[#This Row],[PNP Début corrigé]],deb_nuit)))*24</f>
        <v>0</v>
      </c>
      <c r="Q46" s="51">
        <f>(IF(WEEKDAY(H_Juil[[#This Row],[Date]],2)=7,MAX(0,MIN(fin_dimJF,H_Juil[[#This Row],[Fin corrigée si nuit]])-MAX(deb_dimJF,H_Juil[[#This Row],[début]])),0)+IF(WEEKDAY(H_Juil[[#This Row],[Date]],2)=6,MAX(0,H_Juil[[#This Row],[Fin corrigée si nuit]]-(1+deb_dimJF)),0))*24</f>
        <v>0</v>
      </c>
      <c r="R46"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6" s="51">
        <f>(IF(COUNTIF(JF,H_Juil[[#This Row],[Date]]),MAX(0,MIN(fin_dimJF,H_Juil[[#This Row],[Fin corrigée si nuit]])-MAX(deb_dimJF,H_Juil[[#This Row],[début]])),0)+IF(COUNTIF(JF,H_Juil[[#This Row],[Date]]+1),MAX(0,H_Juil[[#This Row],[Fin corrigée si nuit]]-(1+deb_dimJF)),0))*24</f>
        <v>0</v>
      </c>
      <c r="T46"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7" spans="1:20" x14ac:dyDescent="0.3">
      <c r="A47" s="4"/>
      <c r="B47" s="1"/>
      <c r="C47" s="2"/>
      <c r="D47" s="2"/>
      <c r="E47" s="3"/>
      <c r="F47" s="3"/>
      <c r="G47" s="3"/>
      <c r="H47" s="3"/>
      <c r="I47" s="47">
        <f>0.1*(H_Juil[[#This Row],[Heures de nuit]]+IF(H_Juil[[#This Row],[majoration dim &amp; JF]]="non",0,H_Juil[[#This Row],[heures jour dimanche]]+H_Juil[[#This Row],[heures jour fériés]]))</f>
        <v>0</v>
      </c>
      <c r="J47" s="48">
        <f>(MOD(H_Juil[[#This Row],[Fin]]-H_Juil[[#This Row],[début]],1)-MOD(H_Juil[[#This Row],[PNP Fin]]-H_Juil[[#This Row],[PNP Début]],1))*24</f>
        <v>0</v>
      </c>
      <c r="K47" s="119" t="str">
        <f>IFERROR(VLOOKUP(H_Juil[[#This Row],[Service]],Codes[],4,0),"")</f>
        <v/>
      </c>
      <c r="L47" s="49">
        <f>IF(H_Juil[[#This Row],[PNP Début]]=0,0,IF(H_Juil[[#This Row],[PNP Début]]&lt;H_Juil[[#This Row],[début]],1,0)+H_Juil[[#This Row],[PNP Début]])</f>
        <v>0</v>
      </c>
      <c r="M47" s="50">
        <f>IF(H_Juil[[#This Row],[PNP Fin]]=0,0,IF(H_Juil[[#This Row],[PNP Fin]]&lt;H_Juil[[#This Row],[début]],1,0)+H_Juil[[#This Row],[PNP Fin]])</f>
        <v>0</v>
      </c>
      <c r="N47" s="50">
        <f>IF(H_Juil[[#This Row],[Fin]]&lt;H_Juil[[#This Row],[début]],1,0)+H_Juil[[#This Row],[Fin]]</f>
        <v>0</v>
      </c>
      <c r="O47" s="31">
        <f>IF(H_Juil[[#This Row],[Fin]]&lt;H_Juil[[#This Row],[début]],MAX(0,MIN(H_Juil[[#This Row],[Fin corrigée si nuit]],fin_nuit)-MAX(H_Juil[[#This Row],[début]],deb_nuit))*24,(MAX(deb_nuit,H_Juil[[#This Row],[Fin]])-MAX(deb_nuit,H_Juil[[#This Row],[début]])+MAX(MIN(fin_nuit-1,H_Juil[[#This Row],[Fin]])-MIN(fin_nuit-1,H_Juil[[#This Row],[début]]),0))*24)</f>
        <v>0</v>
      </c>
      <c r="P47" s="51">
        <f>(MAX(0,MIN(H_Juil[[#This Row],[Fin corrigée si nuit]],fin_nuit)-MAX(H_Juil[[#This Row],[début]],deb_nuit))-IF(H_Juil[[#This Row],[PNP Début]]=0,0,MIN(H_Juil[[#This Row],[PNP Fin corrigée]],fin_nuit)-MAX(H_Juil[[#This Row],[PNP Début corrigé]],deb_nuit)))*24</f>
        <v>0</v>
      </c>
      <c r="Q47" s="51">
        <f>(IF(WEEKDAY(H_Juil[[#This Row],[Date]],2)=7,MAX(0,MIN(fin_dimJF,H_Juil[[#This Row],[Fin corrigée si nuit]])-MAX(deb_dimJF,H_Juil[[#This Row],[début]])),0)+IF(WEEKDAY(H_Juil[[#This Row],[Date]],2)=6,MAX(0,H_Juil[[#This Row],[Fin corrigée si nuit]]-(1+deb_dimJF)),0))*24</f>
        <v>0</v>
      </c>
      <c r="R47"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7" s="51">
        <f>(IF(COUNTIF(JF,H_Juil[[#This Row],[Date]]),MAX(0,MIN(fin_dimJF,H_Juil[[#This Row],[Fin corrigée si nuit]])-MAX(deb_dimJF,H_Juil[[#This Row],[début]])),0)+IF(COUNTIF(JF,H_Juil[[#This Row],[Date]]+1),MAX(0,H_Juil[[#This Row],[Fin corrigée si nuit]]-(1+deb_dimJF)),0))*24</f>
        <v>0</v>
      </c>
      <c r="T47"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8" spans="1:20" x14ac:dyDescent="0.3">
      <c r="A48" s="4"/>
      <c r="B48" s="1"/>
      <c r="C48" s="2"/>
      <c r="D48" s="2"/>
      <c r="E48" s="3"/>
      <c r="F48" s="3"/>
      <c r="G48" s="3"/>
      <c r="H48" s="3"/>
      <c r="I48" s="47">
        <f>0.1*(H_Juil[[#This Row],[Heures de nuit]]+IF(H_Juil[[#This Row],[majoration dim &amp; JF]]="non",0,H_Juil[[#This Row],[heures jour dimanche]]+H_Juil[[#This Row],[heures jour fériés]]))</f>
        <v>0</v>
      </c>
      <c r="J48" s="48">
        <f>(MOD(H_Juil[[#This Row],[Fin]]-H_Juil[[#This Row],[début]],1)-MOD(H_Juil[[#This Row],[PNP Fin]]-H_Juil[[#This Row],[PNP Début]],1))*24</f>
        <v>0</v>
      </c>
      <c r="K48" s="119" t="str">
        <f>IFERROR(VLOOKUP(H_Juil[[#This Row],[Service]],Codes[],4,0),"")</f>
        <v/>
      </c>
      <c r="L48" s="49">
        <f>IF(H_Juil[[#This Row],[PNP Début]]=0,0,IF(H_Juil[[#This Row],[PNP Début]]&lt;H_Juil[[#This Row],[début]],1,0)+H_Juil[[#This Row],[PNP Début]])</f>
        <v>0</v>
      </c>
      <c r="M48" s="50">
        <f>IF(H_Juil[[#This Row],[PNP Fin]]=0,0,IF(H_Juil[[#This Row],[PNP Fin]]&lt;H_Juil[[#This Row],[début]],1,0)+H_Juil[[#This Row],[PNP Fin]])</f>
        <v>0</v>
      </c>
      <c r="N48" s="50">
        <f>IF(H_Juil[[#This Row],[Fin]]&lt;H_Juil[[#This Row],[début]],1,0)+H_Juil[[#This Row],[Fin]]</f>
        <v>0</v>
      </c>
      <c r="O48" s="31">
        <f>IF(H_Juil[[#This Row],[Fin]]&lt;H_Juil[[#This Row],[début]],MAX(0,MIN(H_Juil[[#This Row],[Fin corrigée si nuit]],fin_nuit)-MAX(H_Juil[[#This Row],[début]],deb_nuit))*24,(MAX(deb_nuit,H_Juil[[#This Row],[Fin]])-MAX(deb_nuit,H_Juil[[#This Row],[début]])+MAX(MIN(fin_nuit-1,H_Juil[[#This Row],[Fin]])-MIN(fin_nuit-1,H_Juil[[#This Row],[début]]),0))*24)</f>
        <v>0</v>
      </c>
      <c r="P48" s="51">
        <f>(MAX(0,MIN(H_Juil[[#This Row],[Fin corrigée si nuit]],fin_nuit)-MAX(H_Juil[[#This Row],[début]],deb_nuit))-IF(H_Juil[[#This Row],[PNP Début]]=0,0,MIN(H_Juil[[#This Row],[PNP Fin corrigée]],fin_nuit)-MAX(H_Juil[[#This Row],[PNP Début corrigé]],deb_nuit)))*24</f>
        <v>0</v>
      </c>
      <c r="Q48" s="51">
        <f>(IF(WEEKDAY(H_Juil[[#This Row],[Date]],2)=7,MAX(0,MIN(fin_dimJF,H_Juil[[#This Row],[Fin corrigée si nuit]])-MAX(deb_dimJF,H_Juil[[#This Row],[début]])),0)+IF(WEEKDAY(H_Juil[[#This Row],[Date]],2)=6,MAX(0,H_Juil[[#This Row],[Fin corrigée si nuit]]-(1+deb_dimJF)),0))*24</f>
        <v>0</v>
      </c>
      <c r="R48"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8" s="51">
        <f>(IF(COUNTIF(JF,H_Juil[[#This Row],[Date]]),MAX(0,MIN(fin_dimJF,H_Juil[[#This Row],[Fin corrigée si nuit]])-MAX(deb_dimJF,H_Juil[[#This Row],[début]])),0)+IF(COUNTIF(JF,H_Juil[[#This Row],[Date]]+1),MAX(0,H_Juil[[#This Row],[Fin corrigée si nuit]]-(1+deb_dimJF)),0))*24</f>
        <v>0</v>
      </c>
      <c r="T48"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49" spans="1:20" ht="15" thickBot="1" x14ac:dyDescent="0.35">
      <c r="A49" s="4"/>
      <c r="B49" s="1"/>
      <c r="C49" s="2"/>
      <c r="D49" s="2"/>
      <c r="E49" s="3"/>
      <c r="F49" s="3"/>
      <c r="G49" s="3"/>
      <c r="H49" s="3"/>
      <c r="I49" s="47">
        <f>0.1*(H_Juil[[#This Row],[Heures de nuit]]+IF(H_Juil[[#This Row],[majoration dim &amp; JF]]="non",0,H_Juil[[#This Row],[heures jour dimanche]]+H_Juil[[#This Row],[heures jour fériés]]))</f>
        <v>0</v>
      </c>
      <c r="J49" s="48">
        <f>(MOD(H_Juil[[#This Row],[Fin]]-H_Juil[[#This Row],[début]],1)-MOD(H_Juil[[#This Row],[PNP Fin]]-H_Juil[[#This Row],[PNP Début]],1))*24</f>
        <v>0</v>
      </c>
      <c r="K49" s="119" t="str">
        <f>IFERROR(VLOOKUP(H_Juil[[#This Row],[Service]],Codes[],4,0),"")</f>
        <v/>
      </c>
      <c r="L49" s="49">
        <f>IF(H_Juil[[#This Row],[PNP Début]]=0,0,IF(H_Juil[[#This Row],[PNP Début]]&lt;H_Juil[[#This Row],[début]],1,0)+H_Juil[[#This Row],[PNP Début]])</f>
        <v>0</v>
      </c>
      <c r="M49" s="50">
        <f>IF(H_Juil[[#This Row],[PNP Fin]]=0,0,IF(H_Juil[[#This Row],[PNP Fin]]&lt;H_Juil[[#This Row],[début]],1,0)+H_Juil[[#This Row],[PNP Fin]])</f>
        <v>0</v>
      </c>
      <c r="N49" s="50">
        <f>IF(H_Juil[[#This Row],[Fin]]&lt;H_Juil[[#This Row],[début]],1,0)+H_Juil[[#This Row],[Fin]]</f>
        <v>0</v>
      </c>
      <c r="O49" s="31">
        <f>IF(H_Juil[[#This Row],[Fin]]&lt;H_Juil[[#This Row],[début]],MAX(0,MIN(H_Juil[[#This Row],[Fin corrigée si nuit]],fin_nuit)-MAX(H_Juil[[#This Row],[début]],deb_nuit))*24,(MAX(deb_nuit,H_Juil[[#This Row],[Fin]])-MAX(deb_nuit,H_Juil[[#This Row],[début]])+MAX(MIN(fin_nuit-1,H_Juil[[#This Row],[Fin]])-MIN(fin_nuit-1,H_Juil[[#This Row],[début]]),0))*24)</f>
        <v>0</v>
      </c>
      <c r="P49" s="51">
        <f>(MAX(0,MIN(H_Juil[[#This Row],[Fin corrigée si nuit]],fin_nuit)-MAX(H_Juil[[#This Row],[début]],deb_nuit))-IF(H_Juil[[#This Row],[PNP Début]]=0,0,MIN(H_Juil[[#This Row],[PNP Fin corrigée]],fin_nuit)-MAX(H_Juil[[#This Row],[PNP Début corrigé]],deb_nuit)))*24</f>
        <v>0</v>
      </c>
      <c r="Q49" s="51">
        <f>(IF(WEEKDAY(H_Juil[[#This Row],[Date]],2)=7,MAX(0,MIN(fin_dimJF,H_Juil[[#This Row],[Fin corrigée si nuit]])-MAX(deb_dimJF,H_Juil[[#This Row],[début]])),0)+IF(WEEKDAY(H_Juil[[#This Row],[Date]],2)=6,MAX(0,H_Juil[[#This Row],[Fin corrigée si nuit]]-(1+deb_dimJF)),0))*24</f>
        <v>0</v>
      </c>
      <c r="R49" s="51">
        <f>(IF(WEEKDAY(H_Juil[[#This Row],[Date]],2)=7,MAX(0,MIN(fin_dimJF,H_Juil[[#This Row],[Fin corrigée si nuit]])-MAX(deb_dimJF,H_Juil[[#This Row],[début]])),0)+IF(WEEKDAY(H_Juil[[#This Row],[Date]],2)=6,MAX(0,H_Juil[[#This Row],[Fin corrigée si nuit]]-(1+deb_dimJF)),0))*24-
(IF(WEEKDAY(H_Juil[[#This Row],[Date]],2)=7,MAX(0,MIN(fin_dimJF,H_Juil[[#This Row],[PNP Fin corrigée]])-MAX(deb_dimJF,H_Juil[[#This Row],[PNP Début corrigé]])),0)+IF(WEEKDAY(H_Juil[[#This Row],[Date]],2)=6,MAX(0,H_Juil[[#This Row],[PNP Fin corrigée]]-(1+deb_dimJF)),0))*24</f>
        <v>0</v>
      </c>
      <c r="S49" s="51">
        <f>(IF(COUNTIF(JF,H_Juil[[#This Row],[Date]]),MAX(0,MIN(fin_dimJF,H_Juil[[#This Row],[Fin corrigée si nuit]])-MAX(deb_dimJF,H_Juil[[#This Row],[début]])),0)+IF(COUNTIF(JF,H_Juil[[#This Row],[Date]]+1),MAX(0,H_Juil[[#This Row],[Fin corrigée si nuit]]-(1+deb_dimJF)),0))*24</f>
        <v>0</v>
      </c>
      <c r="T49" s="51">
        <f>(IF(COUNTIF(JF,H_Juil[[#This Row],[Date]]),MAX(0,MIN(fin_dimJF,H_Juil[[#This Row],[Fin corrigée si nuit]])-MAX(deb_dimJF,H_Juil[[#This Row],[début]])),0)+IF(COUNTIF(JF,H_Juil[[#This Row],[Date]]+1),MAX(0,H_Juil[[#This Row],[Fin corrigée si nuit]]-(1+deb_dimJF)),0))*24-
(IF(COUNTIF(JF,H_Juil[[#This Row],[Date]]),MAX(0,MIN(fin_dimJF,H_Juil[[#This Row],[PNP Fin corrigée]])-MAX(deb_dimJF,H_Juil[[#This Row],[PNP Début corrigé]])),0)+IF(COUNTIF(JF,H_Juil[[#This Row],[Date]]+1),MAX(0,H_Juil[[#This Row],[PNP Fin corrigée]]-(1+deb_dimJF)),0))*24</f>
        <v>0</v>
      </c>
    </row>
    <row r="50" spans="1:20" ht="16.2" thickBot="1" x14ac:dyDescent="0.35">
      <c r="A50" s="52"/>
      <c r="B50" s="15"/>
      <c r="C50" s="15"/>
      <c r="D50" s="15"/>
      <c r="E50" s="144" t="s">
        <v>29</v>
      </c>
      <c r="F50" s="145"/>
      <c r="G50" s="145"/>
      <c r="H50" s="146"/>
      <c r="I50" s="53">
        <f>SUM(H_Juil[Majoration])</f>
        <v>0</v>
      </c>
      <c r="J50" s="54">
        <f>SUM(H_Juil[Heures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155" priority="1">
      <formula>$K13="non"</formula>
    </cfRule>
  </conditionalFormatting>
  <dataValidations count="3">
    <dataValidation type="date" operator="greaterThan" allowBlank="1" showInputMessage="1" showErrorMessage="1" error="Tapez le mois sous le format suivant_x000a_09/17" promptTitle="Mois du relevé" sqref="J5:K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L12:O49"/>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10241" r:id="rId4" name="CommandButton1">
          <controlPr defaultSize="0" print="0" autoLine="0" r:id="rId5">
            <anchor moveWithCells="1">
              <from>
                <xdr:col>9</xdr:col>
                <xdr:colOff>480060</xdr:colOff>
                <xdr:row>0</xdr:row>
                <xdr:rowOff>76200</xdr:rowOff>
              </from>
              <to>
                <xdr:col>9</xdr:col>
                <xdr:colOff>1264920</xdr:colOff>
                <xdr:row>3</xdr:row>
                <xdr:rowOff>198120</xdr:rowOff>
              </to>
            </anchor>
          </controlPr>
        </control>
      </mc:Choice>
      <mc:Fallback>
        <control shapeId="10241"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Z60"/>
  <sheetViews>
    <sheetView topLeftCell="A2" zoomScale="80" zoomScaleNormal="80" zoomScalePageLayoutView="55" workbookViewId="0">
      <selection activeCell="X17" sqref="X17"/>
    </sheetView>
  </sheetViews>
  <sheetFormatPr baseColWidth="10" defaultRowHeight="14.4" x14ac:dyDescent="0.3"/>
  <cols>
    <col min="1" max="1" width="20.2187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5.554687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Août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0.1*(H_Aout[[#This Row],[Heures de nuit]]+IF(H_Aout[[#This Row],[majoration dim &amp; JF]]="non",0,H_Aout[[#This Row],[heures jour dimanche]]+H_Aout[[#This Row],[heures jour fériés]]))</f>
        <v>0</v>
      </c>
      <c r="J13" s="29">
        <f>(MOD(H_Aout[[#This Row],[Fin]]-H_Aout[[#This Row],[début]],1)-MOD(H_Aout[[#This Row],[PNP Fin]]-H_Aout[[#This Row],[PNP Début]],1))*24</f>
        <v>0</v>
      </c>
      <c r="K13" s="29" t="str">
        <f>IFERROR(VLOOKUP(H_Aout[[#This Row],[Service]],Codes[],4,0),"")</f>
        <v/>
      </c>
      <c r="L13" s="30">
        <f>IF(H_Aout[[#This Row],[PNP Début]]=0,0,IF(H_Aout[[#This Row],[PNP Début]]&lt;H_Aout[[#This Row],[début]],1,0)+H_Aout[[#This Row],[PNP Début]])</f>
        <v>0</v>
      </c>
      <c r="M13" s="30">
        <f>IF(H_Aout[[#This Row],[PNP Fin]]=0,0,IF(H_Aout[[#This Row],[PNP Fin]]&lt;H_Aout[[#This Row],[début]],1,0)+H_Aout[[#This Row],[PNP Fin]])</f>
        <v>0</v>
      </c>
      <c r="N13" s="30">
        <f>IF(H_Aout[[#This Row],[Fin]]&lt;H_Aout[[#This Row],[début]],1,0)+H_Aout[[#This Row],[Fin]]</f>
        <v>0</v>
      </c>
      <c r="O13" s="31">
        <f>IF(H_Aout[[#This Row],[Fin]]&lt;H_Aout[[#This Row],[début]],MAX(0,MIN(H_Aout[[#This Row],[Fin corrigée si nuit]],fin_nuit)-MAX(H_Aout[[#This Row],[début]],deb_nuit))*24,(MAX(deb_nuit,H_Aout[[#This Row],[Fin]])-MAX(deb_nuit,H_Aout[[#This Row],[début]])+MAX(MIN(fin_nuit-1,H_Aout[[#This Row],[Fin]])-MIN(fin_nuit-1,H_Aout[[#This Row],[début]]),0))*24)</f>
        <v>0</v>
      </c>
      <c r="P13" s="31">
        <f>(MAX(0,MIN(H_Aout[[#This Row],[Fin corrigée si nuit]],fin_nuit)-MAX(H_Aout[[#This Row],[début]],deb_nuit))-IF(H_Aout[[#This Row],[PNP Début]]=0,0,MIN(H_Aout[[#This Row],[PNP Fin corrigée]],fin_nuit)-MAX(H_Aout[[#This Row],[PNP Début corrigé]],deb_nuit)))*24</f>
        <v>0</v>
      </c>
      <c r="Q13" s="31">
        <f>(IF(WEEKDAY(H_Aout[[#This Row],[Date]],2)=7,MAX(0,MIN(fin_dimJF,H_Aout[[#This Row],[Fin corrigée si nuit]])-MAX(deb_dimJF,H_Aout[[#This Row],[début]])),0)+IF(WEEKDAY(H_Aout[[#This Row],[Date]],2)=6,MAX(0,H_Aout[[#This Row],[Fin corrigée si nuit]]-(1+deb_dimJF)),0))*24</f>
        <v>0</v>
      </c>
      <c r="R13" s="3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13" s="32">
        <f>(IF(COUNTIF(JF,H_Aout[[#This Row],[Date]]),MAX(0,MIN(fin_dimJF,H_Aout[[#This Row],[Fin corrigée si nuit]])-MAX(deb_dimJF,H_Aout[[#This Row],[début]])),0)+IF(COUNTIF(JF,H_Aout[[#This Row],[Date]]+1),MAX(0,H_Aout[[#This Row],[Fin corrigée si nuit]]-(1+deb_dimJF)),0))*24</f>
        <v>0</v>
      </c>
      <c r="T13" s="32">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c r="V13" s="124"/>
      <c r="W13" s="124"/>
      <c r="X13" s="124"/>
      <c r="Y13" s="124"/>
      <c r="Z13" s="124"/>
    </row>
    <row r="14" spans="1:26" x14ac:dyDescent="0.3">
      <c r="A14" s="4"/>
      <c r="B14" s="1"/>
      <c r="C14" s="113"/>
      <c r="D14" s="113"/>
      <c r="E14" s="3"/>
      <c r="F14" s="3"/>
      <c r="G14" s="3"/>
      <c r="H14" s="3"/>
      <c r="I14" s="28">
        <f>0.1*(H_Aout[[#This Row],[Heures de nuit]]+IF(H_Aout[[#This Row],[majoration dim &amp; JF]]="non",0,H_Aout[[#This Row],[heures jour dimanche]]+H_Aout[[#This Row],[heures jour fériés]]))</f>
        <v>0</v>
      </c>
      <c r="J14" s="29">
        <f>(MOD(H_Aout[[#This Row],[Fin]]-H_Aout[[#This Row],[début]],1)-MOD(H_Aout[[#This Row],[PNP Fin]]-H_Aout[[#This Row],[PNP Début]],1))*24</f>
        <v>0</v>
      </c>
      <c r="K14" s="29" t="str">
        <f>IFERROR(VLOOKUP(H_Aout[[#This Row],[Service]],Codes[],4,0),"")</f>
        <v/>
      </c>
      <c r="L14" s="30">
        <f>IF(H_Aout[[#This Row],[PNP Début]]=0,0,IF(H_Aout[[#This Row],[PNP Début]]&lt;H_Aout[[#This Row],[début]],1,0)+H_Aout[[#This Row],[PNP Début]])</f>
        <v>0</v>
      </c>
      <c r="M14" s="30">
        <f>IF(H_Aout[[#This Row],[PNP Fin]]=0,0,IF(H_Aout[[#This Row],[PNP Fin]]&lt;H_Aout[[#This Row],[début]],1,0)+H_Aout[[#This Row],[PNP Fin]])</f>
        <v>0</v>
      </c>
      <c r="N14" s="30">
        <f>IF(H_Aout[[#This Row],[Fin]]&lt;H_Aout[[#This Row],[début]],1,0)+H_Aout[[#This Row],[Fin]]</f>
        <v>0</v>
      </c>
      <c r="O14" s="31">
        <f>IF(H_Aout[[#This Row],[Fin]]&lt;H_Aout[[#This Row],[début]],MAX(0,MIN(H_Aout[[#This Row],[Fin corrigée si nuit]],fin_nuit)-MAX(H_Aout[[#This Row],[début]],deb_nuit))*24,(MAX(deb_nuit,H_Aout[[#This Row],[Fin]])-MAX(deb_nuit,H_Aout[[#This Row],[début]])+MAX(MIN(fin_nuit-1,H_Aout[[#This Row],[Fin]])-MIN(fin_nuit-1,H_Aout[[#This Row],[début]]),0))*24)</f>
        <v>0</v>
      </c>
      <c r="P14" s="31">
        <f>(MAX(0,MIN(H_Aout[[#This Row],[Fin corrigée si nuit]],fin_nuit)-MAX(H_Aout[[#This Row],[début]],deb_nuit))-IF(H_Aout[[#This Row],[PNP Début]]=0,0,MIN(H_Aout[[#This Row],[PNP Fin corrigée]],fin_nuit)-MAX(H_Aout[[#This Row],[PNP Début corrigé]],deb_nuit)))*24</f>
        <v>0</v>
      </c>
      <c r="Q14" s="31">
        <f>(IF(WEEKDAY(H_Aout[[#This Row],[Date]],2)=7,MAX(0,MIN(fin_dimJF,H_Aout[[#This Row],[Fin corrigée si nuit]])-MAX(deb_dimJF,H_Aout[[#This Row],[début]])),0)+IF(WEEKDAY(H_Aout[[#This Row],[Date]],2)=6,MAX(0,H_Aout[[#This Row],[Fin corrigée si nuit]]-(1+deb_dimJF)),0))*24</f>
        <v>0</v>
      </c>
      <c r="R14" s="3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14" s="32">
        <f>(IF(COUNTIF(JF,H_Aout[[#This Row],[Date]]),MAX(0,MIN(fin_dimJF,H_Aout[[#This Row],[Fin corrigée si nuit]])-MAX(deb_dimJF,H_Aout[[#This Row],[début]])),0)+IF(COUNTIF(JF,H_Aout[[#This Row],[Date]]+1),MAX(0,H_Aout[[#This Row],[Fin corrigée si nuit]]-(1+deb_dimJF)),0))*24</f>
        <v>0</v>
      </c>
      <c r="T14" s="32">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c r="V14" s="124"/>
      <c r="W14" s="124"/>
      <c r="X14" s="124"/>
      <c r="Y14" s="124"/>
      <c r="Z14" s="124"/>
    </row>
    <row r="15" spans="1:26" x14ac:dyDescent="0.3">
      <c r="A15" s="4"/>
      <c r="B15" s="1"/>
      <c r="C15" s="2"/>
      <c r="D15" s="2"/>
      <c r="E15" s="3"/>
      <c r="F15" s="3"/>
      <c r="G15" s="3"/>
      <c r="H15" s="3"/>
      <c r="I15" s="28">
        <f>0.1*(H_Aout[[#This Row],[Heures de nuit]]+IF(H_Aout[[#This Row],[majoration dim &amp; JF]]="non",0,H_Aout[[#This Row],[heures jour dimanche]]+H_Aout[[#This Row],[heures jour fériés]]))</f>
        <v>0</v>
      </c>
      <c r="J15" s="29">
        <f>(MOD(H_Aout[[#This Row],[Fin]]-H_Aout[[#This Row],[début]],1)-MOD(H_Aout[[#This Row],[PNP Fin]]-H_Aout[[#This Row],[PNP Début]],1))*24</f>
        <v>0</v>
      </c>
      <c r="K15" s="29" t="str">
        <f>IFERROR(VLOOKUP(H_Aout[[#This Row],[Service]],Codes[],4,0),"")</f>
        <v/>
      </c>
      <c r="L15" s="30">
        <f>IF(H_Aout[[#This Row],[PNP Début]]=0,0,IF(H_Aout[[#This Row],[PNP Début]]&lt;H_Aout[[#This Row],[début]],1,0)+H_Aout[[#This Row],[PNP Début]])</f>
        <v>0</v>
      </c>
      <c r="M15" s="30">
        <f>IF(H_Aout[[#This Row],[PNP Fin]]=0,0,IF(H_Aout[[#This Row],[PNP Fin]]&lt;H_Aout[[#This Row],[début]],1,0)+H_Aout[[#This Row],[PNP Fin]])</f>
        <v>0</v>
      </c>
      <c r="N15" s="30">
        <f>IF(H_Aout[[#This Row],[Fin]]&lt;H_Aout[[#This Row],[début]],1,0)+H_Aout[[#This Row],[Fin]]</f>
        <v>0</v>
      </c>
      <c r="O15" s="31">
        <f>IF(H_Aout[[#This Row],[Fin]]&lt;H_Aout[[#This Row],[début]],MAX(0,MIN(H_Aout[[#This Row],[Fin corrigée si nuit]],fin_nuit)-MAX(H_Aout[[#This Row],[début]],deb_nuit))*24,(MAX(deb_nuit,H_Aout[[#This Row],[Fin]])-MAX(deb_nuit,H_Aout[[#This Row],[début]])+MAX(MIN(fin_nuit-1,H_Aout[[#This Row],[Fin]])-MIN(fin_nuit-1,H_Aout[[#This Row],[début]]),0))*24)</f>
        <v>0</v>
      </c>
      <c r="P15" s="31">
        <f>(MAX(0,MIN(H_Aout[[#This Row],[Fin corrigée si nuit]],fin_nuit)-MAX(H_Aout[[#This Row],[début]],deb_nuit))-IF(H_Aout[[#This Row],[PNP Début]]=0,0,MIN(H_Aout[[#This Row],[PNP Fin corrigée]],fin_nuit)-MAX(H_Aout[[#This Row],[PNP Début corrigé]],deb_nuit)))*24</f>
        <v>0</v>
      </c>
      <c r="Q15" s="31">
        <f>(IF(WEEKDAY(H_Aout[[#This Row],[Date]],2)=7,MAX(0,MIN(fin_dimJF,H_Aout[[#This Row],[Fin corrigée si nuit]])-MAX(deb_dimJF,H_Aout[[#This Row],[début]])),0)+IF(WEEKDAY(H_Aout[[#This Row],[Date]],2)=6,MAX(0,H_Aout[[#This Row],[Fin corrigée si nuit]]-(1+deb_dimJF)),0))*24</f>
        <v>0</v>
      </c>
      <c r="R15" s="3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15" s="32">
        <f>(IF(COUNTIF(JF,H_Aout[[#This Row],[Date]]),MAX(0,MIN(fin_dimJF,H_Aout[[#This Row],[Fin corrigée si nuit]])-MAX(deb_dimJF,H_Aout[[#This Row],[début]])),0)+IF(COUNTIF(JF,H_Aout[[#This Row],[Date]]+1),MAX(0,H_Aout[[#This Row],[Fin corrigée si nuit]]-(1+deb_dimJF)),0))*24</f>
        <v>0</v>
      </c>
      <c r="T15" s="32">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0.1*(H_Aout[[#This Row],[Heures de nuit]]+IF(H_Aout[[#This Row],[majoration dim &amp; JF]]="non",0,H_Aout[[#This Row],[heures jour dimanche]]+H_Aout[[#This Row],[heures jour fériés]]))</f>
        <v>0</v>
      </c>
      <c r="J16" s="33">
        <f>(MOD(H_Aout[[#This Row],[Fin]]-H_Aout[[#This Row],[début]],1)-MOD(H_Aout[[#This Row],[PNP Fin]]-H_Aout[[#This Row],[PNP Début]],1))*24</f>
        <v>0</v>
      </c>
      <c r="K16" s="33" t="str">
        <f>IFERROR(VLOOKUP(H_Aout[[#This Row],[Service]],Codes[],4,0),"")</f>
        <v/>
      </c>
      <c r="L16" s="30">
        <f>IF(H_Aout[[#This Row],[PNP Début]]=0,0,IF(H_Aout[[#This Row],[PNP Début]]&lt;H_Aout[[#This Row],[début]],1,0)+H_Aout[[#This Row],[PNP Début]])</f>
        <v>0</v>
      </c>
      <c r="M16" s="30">
        <f>IF(H_Aout[[#This Row],[PNP Fin]]=0,0,IF(H_Aout[[#This Row],[PNP Fin]]&lt;H_Aout[[#This Row],[début]],1,0)+H_Aout[[#This Row],[PNP Fin]])</f>
        <v>0</v>
      </c>
      <c r="N16" s="34">
        <f>IF(H_Aout[[#This Row],[Fin]]&lt;H_Aout[[#This Row],[début]],1,0)+H_Aout[[#This Row],[Fin]]</f>
        <v>0</v>
      </c>
      <c r="O16" s="31">
        <f>IF(H_Aout[[#This Row],[Fin]]&lt;H_Aout[[#This Row],[début]],MAX(0,MIN(H_Aout[[#This Row],[Fin corrigée si nuit]],fin_nuit)-MAX(H_Aout[[#This Row],[début]],deb_nuit))*24,(MAX(deb_nuit,H_Aout[[#This Row],[Fin]])-MAX(deb_nuit,H_Aout[[#This Row],[début]])+MAX(MIN(fin_nuit-1,H_Aout[[#This Row],[Fin]])-MIN(fin_nuit-1,H_Aout[[#This Row],[début]]),0))*24)</f>
        <v>0</v>
      </c>
      <c r="P16" s="35">
        <f>(MAX(0,MIN(H_Aout[[#This Row],[Fin corrigée si nuit]],fin_nuit)-MAX(H_Aout[[#This Row],[début]],deb_nuit))-IF(H_Aout[[#This Row],[PNP Début]]=0,0,MIN(H_Aout[[#This Row],[PNP Fin corrigée]],fin_nuit)-MAX(H_Aout[[#This Row],[PNP Début corrigé]],deb_nuit)))*24</f>
        <v>0</v>
      </c>
      <c r="Q16" s="35">
        <f>(IF(WEEKDAY(H_Aout[[#This Row],[Date]],2)=7,MAX(0,MIN(fin_dimJF,H_Aout[[#This Row],[Fin corrigée si nuit]])-MAX(deb_dimJF,H_Aout[[#This Row],[début]])),0)+IF(WEEKDAY(H_Aout[[#This Row],[Date]],2)=6,MAX(0,H_Aout[[#This Row],[Fin corrigée si nuit]]-(1+deb_dimJF)),0))*24</f>
        <v>0</v>
      </c>
      <c r="R16" s="3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16" s="36">
        <f>(IF(COUNTIF(JF,H_Aout[[#This Row],[Date]]),MAX(0,MIN(fin_dimJF,H_Aout[[#This Row],[Fin corrigée si nuit]])-MAX(deb_dimJF,H_Aout[[#This Row],[début]])),0)+IF(COUNTIF(JF,H_Aout[[#This Row],[Date]]+1),MAX(0,H_Aout[[#This Row],[Fin corrigée si nuit]]-(1+deb_dimJF)),0))*24</f>
        <v>0</v>
      </c>
      <c r="T16" s="36">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c r="V16" s="127" t="s">
        <v>135</v>
      </c>
      <c r="W16" s="128">
        <f>'Juillet 18'!Z16</f>
        <v>20.100000000000001</v>
      </c>
      <c r="X16" s="128">
        <f>I50</f>
        <v>0</v>
      </c>
      <c r="Y16" s="128"/>
      <c r="Z16" s="128">
        <f>W16+X16-Y16</f>
        <v>20.100000000000001</v>
      </c>
    </row>
    <row r="17" spans="1:20" x14ac:dyDescent="0.3">
      <c r="A17" s="4"/>
      <c r="B17" s="1"/>
      <c r="C17" s="2"/>
      <c r="D17" s="2"/>
      <c r="E17" s="3"/>
      <c r="F17" s="3"/>
      <c r="G17" s="9"/>
      <c r="H17" s="9"/>
      <c r="I17" s="37">
        <f>0.1*(H_Aout[[#This Row],[Heures de nuit]]+IF(H_Aout[[#This Row],[majoration dim &amp; JF]]="non",0,H_Aout[[#This Row],[heures jour dimanche]]+H_Aout[[#This Row],[heures jour fériés]]))</f>
        <v>0</v>
      </c>
      <c r="J17" s="38">
        <f>(MOD(H_Aout[[#This Row],[Fin]]-H_Aout[[#This Row],[début]],1)-MOD(H_Aout[[#This Row],[PNP Fin]]-H_Aout[[#This Row],[PNP Début]],1))*24</f>
        <v>0</v>
      </c>
      <c r="K17" s="122" t="str">
        <f>IFERROR(VLOOKUP(H_Aout[[#This Row],[Service]],Codes[],4,0),"")</f>
        <v/>
      </c>
      <c r="L17" s="39">
        <f>IF(H_Aout[[#This Row],[PNP Début]]=0,0,IF(H_Aout[[#This Row],[PNP Début]]&lt;H_Aout[[#This Row],[début]],1,0)+H_Aout[[#This Row],[PNP Début]])</f>
        <v>0</v>
      </c>
      <c r="M17" s="40">
        <f>IF(H_Aout[[#This Row],[PNP Fin]]=0,0,IF(H_Aout[[#This Row],[PNP Fin]]&lt;H_Aout[[#This Row],[début]],1,0)+H_Aout[[#This Row],[PNP Fin]])</f>
        <v>0</v>
      </c>
      <c r="N17" s="40">
        <f>IF(H_Aout[[#This Row],[Fin]]&lt;H_Aout[[#This Row],[début]],1,0)+H_Aout[[#This Row],[Fin]]</f>
        <v>0</v>
      </c>
      <c r="O17" s="31">
        <f>IF(H_Aout[[#This Row],[Fin]]&lt;H_Aout[[#This Row],[début]],MAX(0,MIN(H_Aout[[#This Row],[Fin corrigée si nuit]],fin_nuit)-MAX(H_Aout[[#This Row],[début]],deb_nuit))*24,(MAX(deb_nuit,H_Aout[[#This Row],[Fin]])-MAX(deb_nuit,H_Aout[[#This Row],[début]])+MAX(MIN(fin_nuit-1,H_Aout[[#This Row],[Fin]])-MIN(fin_nuit-1,H_Aout[[#This Row],[début]]),0))*24)</f>
        <v>0</v>
      </c>
      <c r="P17" s="41">
        <f>(MAX(0,MIN(H_Aout[[#This Row],[Fin corrigée si nuit]],fin_nuit)-MAX(H_Aout[[#This Row],[début]],deb_nuit))-IF(H_Aout[[#This Row],[PNP Début]]=0,0,MIN(H_Aout[[#This Row],[PNP Fin corrigée]],fin_nuit)-MAX(H_Aout[[#This Row],[PNP Début corrigé]],deb_nuit)))*24</f>
        <v>0</v>
      </c>
      <c r="Q17" s="41">
        <f>(IF(WEEKDAY(H_Aout[[#This Row],[Date]],2)=7,MAX(0,MIN(fin_dimJF,H_Aout[[#This Row],[Fin corrigée si nuit]])-MAX(deb_dimJF,H_Aout[[#This Row],[début]])),0)+IF(WEEKDAY(H_Aout[[#This Row],[Date]],2)=6,MAX(0,H_Aout[[#This Row],[Fin corrigée si nuit]]-(1+deb_dimJF)),0))*24</f>
        <v>0</v>
      </c>
      <c r="R17" s="4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17" s="41">
        <f>(IF(COUNTIF(JF,H_Aout[[#This Row],[Date]]),MAX(0,MIN(fin_dimJF,H_Aout[[#This Row],[Fin corrigée si nuit]])-MAX(deb_dimJF,H_Aout[[#This Row],[début]])),0)+IF(COUNTIF(JF,H_Aout[[#This Row],[Date]]+1),MAX(0,H_Aout[[#This Row],[Fin corrigée si nuit]]-(1+deb_dimJF)),0))*24</f>
        <v>0</v>
      </c>
      <c r="T17" s="4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18" spans="1:20" x14ac:dyDescent="0.3">
      <c r="A18" s="4"/>
      <c r="B18" s="1"/>
      <c r="C18" s="2"/>
      <c r="D18" s="2"/>
      <c r="E18" s="9"/>
      <c r="F18" s="9"/>
      <c r="G18" s="9"/>
      <c r="H18" s="9"/>
      <c r="I18" s="37">
        <f>0.1*(H_Aout[[#This Row],[Heures de nuit]]+IF(H_Aout[[#This Row],[majoration dim &amp; JF]]="non",0,H_Aout[[#This Row],[heures jour dimanche]]+H_Aout[[#This Row],[heures jour fériés]]))</f>
        <v>0</v>
      </c>
      <c r="J18" s="38">
        <f>(MOD(H_Aout[[#This Row],[Fin]]-H_Aout[[#This Row],[début]],1)-MOD(H_Aout[[#This Row],[PNP Fin]]-H_Aout[[#This Row],[PNP Début]],1))*24</f>
        <v>0</v>
      </c>
      <c r="K18" s="122" t="str">
        <f>IFERROR(VLOOKUP(H_Aout[[#This Row],[Service]],Codes[],4,0),"")</f>
        <v/>
      </c>
      <c r="L18" s="39">
        <f>IF(H_Aout[[#This Row],[PNP Début]]=0,0,IF(H_Aout[[#This Row],[PNP Début]]&lt;H_Aout[[#This Row],[début]],1,0)+H_Aout[[#This Row],[PNP Début]])</f>
        <v>0</v>
      </c>
      <c r="M18" s="40">
        <f>IF(H_Aout[[#This Row],[PNP Fin]]=0,0,IF(H_Aout[[#This Row],[PNP Fin]]&lt;H_Aout[[#This Row],[début]],1,0)+H_Aout[[#This Row],[PNP Fin]])</f>
        <v>0</v>
      </c>
      <c r="N18" s="40">
        <f>IF(H_Aout[[#This Row],[Fin]]&lt;H_Aout[[#This Row],[début]],1,0)+H_Aout[[#This Row],[Fin]]</f>
        <v>0</v>
      </c>
      <c r="O18" s="31">
        <f>IF(H_Aout[[#This Row],[Fin]]&lt;H_Aout[[#This Row],[début]],MAX(0,MIN(H_Aout[[#This Row],[Fin corrigée si nuit]],fin_nuit)-MAX(H_Aout[[#This Row],[début]],deb_nuit))*24,(MAX(deb_nuit,H_Aout[[#This Row],[Fin]])-MAX(deb_nuit,H_Aout[[#This Row],[début]])+MAX(MIN(fin_nuit-1,H_Aout[[#This Row],[Fin]])-MIN(fin_nuit-1,H_Aout[[#This Row],[début]]),0))*24)</f>
        <v>0</v>
      </c>
      <c r="P18" s="41">
        <f>(MAX(0,MIN(H_Aout[[#This Row],[Fin corrigée si nuit]],fin_nuit)-MAX(H_Aout[[#This Row],[début]],deb_nuit))-IF(H_Aout[[#This Row],[PNP Début]]=0,0,MIN(H_Aout[[#This Row],[PNP Fin corrigée]],fin_nuit)-MAX(H_Aout[[#This Row],[PNP Début corrigé]],deb_nuit)))*24</f>
        <v>0</v>
      </c>
      <c r="Q18" s="41">
        <f>(IF(WEEKDAY(H_Aout[[#This Row],[Date]],2)=7,MAX(0,MIN(fin_dimJF,H_Aout[[#This Row],[Fin corrigée si nuit]])-MAX(deb_dimJF,H_Aout[[#This Row],[début]])),0)+IF(WEEKDAY(H_Aout[[#This Row],[Date]],2)=6,MAX(0,H_Aout[[#This Row],[Fin corrigée si nuit]]-(1+deb_dimJF)),0))*24</f>
        <v>0</v>
      </c>
      <c r="R18" s="4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18" s="41">
        <f>(IF(COUNTIF(JF,H_Aout[[#This Row],[Date]]),MAX(0,MIN(fin_dimJF,H_Aout[[#This Row],[Fin corrigée si nuit]])-MAX(deb_dimJF,H_Aout[[#This Row],[début]])),0)+IF(COUNTIF(JF,H_Aout[[#This Row],[Date]]+1),MAX(0,H_Aout[[#This Row],[Fin corrigée si nuit]]-(1+deb_dimJF)),0))*24</f>
        <v>0</v>
      </c>
      <c r="T18" s="4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19" spans="1:20" x14ac:dyDescent="0.3">
      <c r="A19" s="4"/>
      <c r="B19" s="1"/>
      <c r="C19" s="2"/>
      <c r="D19" s="2"/>
      <c r="E19" s="3"/>
      <c r="F19" s="3"/>
      <c r="G19" s="9"/>
      <c r="H19" s="9"/>
      <c r="I19" s="37">
        <f>0.1*(H_Aout[[#This Row],[Heures de nuit]]+IF(H_Aout[[#This Row],[majoration dim &amp; JF]]="non",0,H_Aout[[#This Row],[heures jour dimanche]]+H_Aout[[#This Row],[heures jour fériés]]))</f>
        <v>0</v>
      </c>
      <c r="J19" s="38">
        <f>(MOD(H_Aout[[#This Row],[Fin]]-H_Aout[[#This Row],[début]],1)-MOD(H_Aout[[#This Row],[PNP Fin]]-H_Aout[[#This Row],[PNP Début]],1))*24</f>
        <v>0</v>
      </c>
      <c r="K19" s="122" t="str">
        <f>IFERROR(VLOOKUP(H_Aout[[#This Row],[Service]],Codes[],4,0),"")</f>
        <v/>
      </c>
      <c r="L19" s="39">
        <f>IF(H_Aout[[#This Row],[PNP Début]]=0,0,IF(H_Aout[[#This Row],[PNP Début]]&lt;H_Aout[[#This Row],[début]],1,0)+H_Aout[[#This Row],[PNP Début]])</f>
        <v>0</v>
      </c>
      <c r="M19" s="40">
        <f>IF(H_Aout[[#This Row],[PNP Fin]]=0,0,IF(H_Aout[[#This Row],[PNP Fin]]&lt;H_Aout[[#This Row],[début]],1,0)+H_Aout[[#This Row],[PNP Fin]])</f>
        <v>0</v>
      </c>
      <c r="N19" s="40">
        <f>IF(H_Aout[[#This Row],[Fin]]&lt;H_Aout[[#This Row],[début]],1,0)+H_Aout[[#This Row],[Fin]]</f>
        <v>0</v>
      </c>
      <c r="O19" s="31">
        <f>IF(H_Aout[[#This Row],[Fin]]&lt;H_Aout[[#This Row],[début]],MAX(0,MIN(H_Aout[[#This Row],[Fin corrigée si nuit]],fin_nuit)-MAX(H_Aout[[#This Row],[début]],deb_nuit))*24,(MAX(deb_nuit,H_Aout[[#This Row],[Fin]])-MAX(deb_nuit,H_Aout[[#This Row],[début]])+MAX(MIN(fin_nuit-1,H_Aout[[#This Row],[Fin]])-MIN(fin_nuit-1,H_Aout[[#This Row],[début]]),0))*24)</f>
        <v>0</v>
      </c>
      <c r="P19" s="41">
        <f>(MAX(0,MIN(H_Aout[[#This Row],[Fin corrigée si nuit]],fin_nuit)-MAX(H_Aout[[#This Row],[début]],deb_nuit))-IF(H_Aout[[#This Row],[PNP Début]]=0,0,MIN(H_Aout[[#This Row],[PNP Fin corrigée]],fin_nuit)-MAX(H_Aout[[#This Row],[PNP Début corrigé]],deb_nuit)))*24</f>
        <v>0</v>
      </c>
      <c r="Q19" s="41">
        <f>(IF(WEEKDAY(H_Aout[[#This Row],[Date]],2)=7,MAX(0,MIN(fin_dimJF,H_Aout[[#This Row],[Fin corrigée si nuit]])-MAX(deb_dimJF,H_Aout[[#This Row],[début]])),0)+IF(WEEKDAY(H_Aout[[#This Row],[Date]],2)=6,MAX(0,H_Aout[[#This Row],[Fin corrigée si nuit]]-(1+deb_dimJF)),0))*24</f>
        <v>0</v>
      </c>
      <c r="R19" s="4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19" s="41">
        <f>(IF(COUNTIF(JF,H_Aout[[#This Row],[Date]]),MAX(0,MIN(fin_dimJF,H_Aout[[#This Row],[Fin corrigée si nuit]])-MAX(deb_dimJF,H_Aout[[#This Row],[début]])),0)+IF(COUNTIF(JF,H_Aout[[#This Row],[Date]]+1),MAX(0,H_Aout[[#This Row],[Fin corrigée si nuit]]-(1+deb_dimJF)),0))*24</f>
        <v>0</v>
      </c>
      <c r="T19" s="4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0" spans="1:20" x14ac:dyDescent="0.3">
      <c r="A20" s="4"/>
      <c r="B20" s="1"/>
      <c r="C20" s="2"/>
      <c r="D20" s="2"/>
      <c r="E20" s="9"/>
      <c r="F20" s="9"/>
      <c r="G20" s="9"/>
      <c r="H20" s="9"/>
      <c r="I20" s="37">
        <f>0.1*(H_Aout[[#This Row],[Heures de nuit]]+IF(H_Aout[[#This Row],[majoration dim &amp; JF]]="non",0,H_Aout[[#This Row],[heures jour dimanche]]+H_Aout[[#This Row],[heures jour fériés]]))</f>
        <v>0</v>
      </c>
      <c r="J20" s="38">
        <f>(MOD(H_Aout[[#This Row],[Fin]]-H_Aout[[#This Row],[début]],1)-MOD(H_Aout[[#This Row],[PNP Fin]]-H_Aout[[#This Row],[PNP Début]],1))*24</f>
        <v>0</v>
      </c>
      <c r="K20" s="122" t="str">
        <f>IFERROR(VLOOKUP(H_Aout[[#This Row],[Service]],Codes[],4,0),"")</f>
        <v/>
      </c>
      <c r="L20" s="39">
        <f>IF(H_Aout[[#This Row],[PNP Début]]=0,0,IF(H_Aout[[#This Row],[PNP Début]]&lt;H_Aout[[#This Row],[début]],1,0)+H_Aout[[#This Row],[PNP Début]])</f>
        <v>0</v>
      </c>
      <c r="M20" s="40">
        <f>IF(H_Aout[[#This Row],[PNP Fin]]=0,0,IF(H_Aout[[#This Row],[PNP Fin]]&lt;H_Aout[[#This Row],[début]],1,0)+H_Aout[[#This Row],[PNP Fin]])</f>
        <v>0</v>
      </c>
      <c r="N20" s="40">
        <f>IF(H_Aout[[#This Row],[Fin]]&lt;H_Aout[[#This Row],[début]],1,0)+H_Aout[[#This Row],[Fin]]</f>
        <v>0</v>
      </c>
      <c r="O20" s="31">
        <f>IF(H_Aout[[#This Row],[Fin]]&lt;H_Aout[[#This Row],[début]],MAX(0,MIN(H_Aout[[#This Row],[Fin corrigée si nuit]],fin_nuit)-MAX(H_Aout[[#This Row],[début]],deb_nuit))*24,(MAX(deb_nuit,H_Aout[[#This Row],[Fin]])-MAX(deb_nuit,H_Aout[[#This Row],[début]])+MAX(MIN(fin_nuit-1,H_Aout[[#This Row],[Fin]])-MIN(fin_nuit-1,H_Aout[[#This Row],[début]]),0))*24)</f>
        <v>0</v>
      </c>
      <c r="P20" s="41">
        <f>(MAX(0,MIN(H_Aout[[#This Row],[Fin corrigée si nuit]],fin_nuit)-MAX(H_Aout[[#This Row],[début]],deb_nuit))-IF(H_Aout[[#This Row],[PNP Début]]=0,0,MIN(H_Aout[[#This Row],[PNP Fin corrigée]],fin_nuit)-MAX(H_Aout[[#This Row],[PNP Début corrigé]],deb_nuit)))*24</f>
        <v>0</v>
      </c>
      <c r="Q20" s="41">
        <f>(IF(WEEKDAY(H_Aout[[#This Row],[Date]],2)=7,MAX(0,MIN(fin_dimJF,H_Aout[[#This Row],[Fin corrigée si nuit]])-MAX(deb_dimJF,H_Aout[[#This Row],[début]])),0)+IF(WEEKDAY(H_Aout[[#This Row],[Date]],2)=6,MAX(0,H_Aout[[#This Row],[Fin corrigée si nuit]]-(1+deb_dimJF)),0))*24</f>
        <v>0</v>
      </c>
      <c r="R20" s="4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0" s="41">
        <f>(IF(COUNTIF(JF,H_Aout[[#This Row],[Date]]),MAX(0,MIN(fin_dimJF,H_Aout[[#This Row],[Fin corrigée si nuit]])-MAX(deb_dimJF,H_Aout[[#This Row],[début]])),0)+IF(COUNTIF(JF,H_Aout[[#This Row],[Date]]+1),MAX(0,H_Aout[[#This Row],[Fin corrigée si nuit]]-(1+deb_dimJF)),0))*24</f>
        <v>0</v>
      </c>
      <c r="T20" s="4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1" spans="1:20" x14ac:dyDescent="0.3">
      <c r="A21" s="4"/>
      <c r="B21" s="1"/>
      <c r="C21" s="2"/>
      <c r="D21" s="2"/>
      <c r="E21" s="3"/>
      <c r="F21" s="3"/>
      <c r="G21" s="10"/>
      <c r="H21" s="10"/>
      <c r="I21" s="42">
        <f>0.1*(H_Aout[[#This Row],[Heures de nuit]]+IF(H_Aout[[#This Row],[majoration dim &amp; JF]]="non",0,H_Aout[[#This Row],[heures jour dimanche]]+H_Aout[[#This Row],[heures jour fériés]]))</f>
        <v>0</v>
      </c>
      <c r="J21" s="43">
        <f>(MOD(H_Aout[[#This Row],[Fin]]-H_Aout[[#This Row],[début]],1)-MOD(H_Aout[[#This Row],[PNP Fin]]-H_Aout[[#This Row],[PNP Début]],1))*24</f>
        <v>0</v>
      </c>
      <c r="K21" s="123" t="str">
        <f>IFERROR(VLOOKUP(H_Aout[[#This Row],[Service]],Codes[],4,0),"")</f>
        <v/>
      </c>
      <c r="L21" s="44">
        <f>IF(H_Aout[[#This Row],[PNP Début]]=0,0,IF(H_Aout[[#This Row],[PNP Début]]&lt;H_Aout[[#This Row],[début]],1,0)+H_Aout[[#This Row],[PNP Début]])</f>
        <v>0</v>
      </c>
      <c r="M21" s="45">
        <f>IF(H_Aout[[#This Row],[PNP Fin]]=0,0,IF(H_Aout[[#This Row],[PNP Fin]]&lt;H_Aout[[#This Row],[début]],1,0)+H_Aout[[#This Row],[PNP Fin]])</f>
        <v>0</v>
      </c>
      <c r="N21" s="45">
        <f>IF(H_Aout[[#This Row],[Fin]]&lt;H_Aout[[#This Row],[début]],1,0)+H_Aout[[#This Row],[Fin]]</f>
        <v>0</v>
      </c>
      <c r="O21" s="31">
        <f>IF(H_Aout[[#This Row],[Fin]]&lt;H_Aout[[#This Row],[début]],MAX(0,MIN(H_Aout[[#This Row],[Fin corrigée si nuit]],fin_nuit)-MAX(H_Aout[[#This Row],[début]],deb_nuit))*24,(MAX(deb_nuit,H_Aout[[#This Row],[Fin]])-MAX(deb_nuit,H_Aout[[#This Row],[début]])+MAX(MIN(fin_nuit-1,H_Aout[[#This Row],[Fin]])-MIN(fin_nuit-1,H_Aout[[#This Row],[début]]),0))*24)</f>
        <v>0</v>
      </c>
      <c r="P21" s="46">
        <f>(MAX(0,MIN(H_Aout[[#This Row],[Fin corrigée si nuit]],fin_nuit)-MAX(H_Aout[[#This Row],[début]],deb_nuit))-IF(H_Aout[[#This Row],[PNP Début]]=0,0,MIN(H_Aout[[#This Row],[PNP Fin corrigée]],fin_nuit)-MAX(H_Aout[[#This Row],[PNP Début corrigé]],deb_nuit)))*24</f>
        <v>0</v>
      </c>
      <c r="Q21" s="46">
        <f>(IF(WEEKDAY(H_Aout[[#This Row],[Date]],2)=7,MAX(0,MIN(fin_dimJF,H_Aout[[#This Row],[Fin corrigée si nuit]])-MAX(deb_dimJF,H_Aout[[#This Row],[début]])),0)+IF(WEEKDAY(H_Aout[[#This Row],[Date]],2)=6,MAX(0,H_Aout[[#This Row],[Fin corrigée si nuit]]-(1+deb_dimJF)),0))*24</f>
        <v>0</v>
      </c>
      <c r="R21" s="46">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1" s="46">
        <f>(IF(COUNTIF(JF,H_Aout[[#This Row],[Date]]),MAX(0,MIN(fin_dimJF,H_Aout[[#This Row],[Fin corrigée si nuit]])-MAX(deb_dimJF,H_Aout[[#This Row],[début]])),0)+IF(COUNTIF(JF,H_Aout[[#This Row],[Date]]+1),MAX(0,H_Aout[[#This Row],[Fin corrigée si nuit]]-(1+deb_dimJF)),0))*24</f>
        <v>0</v>
      </c>
      <c r="T21" s="46">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2" spans="1:20" x14ac:dyDescent="0.3">
      <c r="A22" s="4"/>
      <c r="B22" s="1"/>
      <c r="C22" s="2"/>
      <c r="D22" s="2"/>
      <c r="E22" s="3"/>
      <c r="F22" s="3"/>
      <c r="G22" s="3"/>
      <c r="H22" s="3"/>
      <c r="I22" s="47">
        <f>0.1*(H_Aout[[#This Row],[Heures de nuit]]+IF(H_Aout[[#This Row],[majoration dim &amp; JF]]="non",0,H_Aout[[#This Row],[heures jour dimanche]]+H_Aout[[#This Row],[heures jour fériés]]))</f>
        <v>0</v>
      </c>
      <c r="J22" s="48">
        <f>(MOD(H_Aout[[#This Row],[Fin]]-H_Aout[[#This Row],[début]],1)-MOD(H_Aout[[#This Row],[PNP Fin]]-H_Aout[[#This Row],[PNP Début]],1))*24</f>
        <v>0</v>
      </c>
      <c r="K22" s="119" t="str">
        <f>IFERROR(VLOOKUP(H_Aout[[#This Row],[Service]],Codes[],4,0),"")</f>
        <v/>
      </c>
      <c r="L22" s="49">
        <f>IF(H_Aout[[#This Row],[PNP Début]]=0,0,IF(H_Aout[[#This Row],[PNP Début]]&lt;H_Aout[[#This Row],[début]],1,0)+H_Aout[[#This Row],[PNP Début]])</f>
        <v>0</v>
      </c>
      <c r="M22" s="50">
        <f>IF(H_Aout[[#This Row],[PNP Fin]]=0,0,IF(H_Aout[[#This Row],[PNP Fin]]&lt;H_Aout[[#This Row],[début]],1,0)+H_Aout[[#This Row],[PNP Fin]])</f>
        <v>0</v>
      </c>
      <c r="N22" s="50">
        <f>IF(H_Aout[[#This Row],[Fin]]&lt;H_Aout[[#This Row],[début]],1,0)+H_Aout[[#This Row],[Fin]]</f>
        <v>0</v>
      </c>
      <c r="O22" s="31">
        <f>IF(H_Aout[[#This Row],[Fin]]&lt;H_Aout[[#This Row],[début]],MAX(0,MIN(H_Aout[[#This Row],[Fin corrigée si nuit]],fin_nuit)-MAX(H_Aout[[#This Row],[début]],deb_nuit))*24,(MAX(deb_nuit,H_Aout[[#This Row],[Fin]])-MAX(deb_nuit,H_Aout[[#This Row],[début]])+MAX(MIN(fin_nuit-1,H_Aout[[#This Row],[Fin]])-MIN(fin_nuit-1,H_Aout[[#This Row],[début]]),0))*24)</f>
        <v>0</v>
      </c>
      <c r="P22" s="51">
        <f>(MAX(0,MIN(H_Aout[[#This Row],[Fin corrigée si nuit]],fin_nuit)-MAX(H_Aout[[#This Row],[début]],deb_nuit))-IF(H_Aout[[#This Row],[PNP Début]]=0,0,MIN(H_Aout[[#This Row],[PNP Fin corrigée]],fin_nuit)-MAX(H_Aout[[#This Row],[PNP Début corrigé]],deb_nuit)))*24</f>
        <v>0</v>
      </c>
      <c r="Q22" s="51">
        <f>(IF(WEEKDAY(H_Aout[[#This Row],[Date]],2)=7,MAX(0,MIN(fin_dimJF,H_Aout[[#This Row],[Fin corrigée si nuit]])-MAX(deb_dimJF,H_Aout[[#This Row],[début]])),0)+IF(WEEKDAY(H_Aout[[#This Row],[Date]],2)=6,MAX(0,H_Aout[[#This Row],[Fin corrigée si nuit]]-(1+deb_dimJF)),0))*24</f>
        <v>0</v>
      </c>
      <c r="R22"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2" s="51">
        <f>(IF(COUNTIF(JF,H_Aout[[#This Row],[Date]]),MAX(0,MIN(fin_dimJF,H_Aout[[#This Row],[Fin corrigée si nuit]])-MAX(deb_dimJF,H_Aout[[#This Row],[début]])),0)+IF(COUNTIF(JF,H_Aout[[#This Row],[Date]]+1),MAX(0,H_Aout[[#This Row],[Fin corrigée si nuit]]-(1+deb_dimJF)),0))*24</f>
        <v>0</v>
      </c>
      <c r="T22"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3" spans="1:20" x14ac:dyDescent="0.3">
      <c r="A23" s="4"/>
      <c r="B23" s="1"/>
      <c r="C23" s="2"/>
      <c r="D23" s="2"/>
      <c r="E23" s="3"/>
      <c r="F23" s="3"/>
      <c r="G23" s="3"/>
      <c r="H23" s="3"/>
      <c r="I23" s="47">
        <f>0.1*(H_Aout[[#This Row],[Heures de nuit]]+IF(H_Aout[[#This Row],[majoration dim &amp; JF]]="non",0,H_Aout[[#This Row],[heures jour dimanche]]+H_Aout[[#This Row],[heures jour fériés]]))</f>
        <v>0</v>
      </c>
      <c r="J23" s="48">
        <f>(MOD(H_Aout[[#This Row],[Fin]]-H_Aout[[#This Row],[début]],1)-MOD(H_Aout[[#This Row],[PNP Fin]]-H_Aout[[#This Row],[PNP Début]],1))*24</f>
        <v>0</v>
      </c>
      <c r="K23" s="119" t="str">
        <f>IFERROR(VLOOKUP(H_Aout[[#This Row],[Service]],Codes[],4,0),"")</f>
        <v/>
      </c>
      <c r="L23" s="49">
        <f>IF(H_Aout[[#This Row],[PNP Début]]=0,0,IF(H_Aout[[#This Row],[PNP Début]]&lt;H_Aout[[#This Row],[début]],1,0)+H_Aout[[#This Row],[PNP Début]])</f>
        <v>0</v>
      </c>
      <c r="M23" s="50">
        <f>IF(H_Aout[[#This Row],[PNP Fin]]=0,0,IF(H_Aout[[#This Row],[PNP Fin]]&lt;H_Aout[[#This Row],[début]],1,0)+H_Aout[[#This Row],[PNP Fin]])</f>
        <v>0</v>
      </c>
      <c r="N23" s="50">
        <f>IF(H_Aout[[#This Row],[Fin]]&lt;H_Aout[[#This Row],[début]],1,0)+H_Aout[[#This Row],[Fin]]</f>
        <v>0</v>
      </c>
      <c r="O23" s="31">
        <f>IF(H_Aout[[#This Row],[Fin]]&lt;H_Aout[[#This Row],[début]],MAX(0,MIN(H_Aout[[#This Row],[Fin corrigée si nuit]],fin_nuit)-MAX(H_Aout[[#This Row],[début]],deb_nuit))*24,(MAX(deb_nuit,H_Aout[[#This Row],[Fin]])-MAX(deb_nuit,H_Aout[[#This Row],[début]])+MAX(MIN(fin_nuit-1,H_Aout[[#This Row],[Fin]])-MIN(fin_nuit-1,H_Aout[[#This Row],[début]]),0))*24)</f>
        <v>0</v>
      </c>
      <c r="P23" s="51">
        <f>(MAX(0,MIN(H_Aout[[#This Row],[Fin corrigée si nuit]],fin_nuit)-MAX(H_Aout[[#This Row],[début]],deb_nuit))-IF(H_Aout[[#This Row],[PNP Début]]=0,0,MIN(H_Aout[[#This Row],[PNP Fin corrigée]],fin_nuit)-MAX(H_Aout[[#This Row],[PNP Début corrigé]],deb_nuit)))*24</f>
        <v>0</v>
      </c>
      <c r="Q23" s="51">
        <f>(IF(WEEKDAY(H_Aout[[#This Row],[Date]],2)=7,MAX(0,MIN(fin_dimJF,H_Aout[[#This Row],[Fin corrigée si nuit]])-MAX(deb_dimJF,H_Aout[[#This Row],[début]])),0)+IF(WEEKDAY(H_Aout[[#This Row],[Date]],2)=6,MAX(0,H_Aout[[#This Row],[Fin corrigée si nuit]]-(1+deb_dimJF)),0))*24</f>
        <v>0</v>
      </c>
      <c r="R23"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3" s="51">
        <f>(IF(COUNTIF(JF,H_Aout[[#This Row],[Date]]),MAX(0,MIN(fin_dimJF,H_Aout[[#This Row],[Fin corrigée si nuit]])-MAX(deb_dimJF,H_Aout[[#This Row],[début]])),0)+IF(COUNTIF(JF,H_Aout[[#This Row],[Date]]+1),MAX(0,H_Aout[[#This Row],[Fin corrigée si nuit]]-(1+deb_dimJF)),0))*24</f>
        <v>0</v>
      </c>
      <c r="T23"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4" spans="1:20" x14ac:dyDescent="0.3">
      <c r="A24" s="4"/>
      <c r="B24" s="1"/>
      <c r="C24" s="2"/>
      <c r="D24" s="2"/>
      <c r="E24" s="3"/>
      <c r="F24" s="3"/>
      <c r="G24" s="3"/>
      <c r="H24" s="3"/>
      <c r="I24" s="47">
        <f>0.1*(H_Aout[[#This Row],[Heures de nuit]]+IF(H_Aout[[#This Row],[majoration dim &amp; JF]]="non",0,H_Aout[[#This Row],[heures jour dimanche]]+H_Aout[[#This Row],[heures jour fériés]]))</f>
        <v>0</v>
      </c>
      <c r="J24" s="48">
        <f>(MOD(H_Aout[[#This Row],[Fin]]-H_Aout[[#This Row],[début]],1)-MOD(H_Aout[[#This Row],[PNP Fin]]-H_Aout[[#This Row],[PNP Début]],1))*24</f>
        <v>0</v>
      </c>
      <c r="K24" s="119" t="str">
        <f>IFERROR(VLOOKUP(H_Aout[[#This Row],[Service]],Codes[],4,0),"")</f>
        <v/>
      </c>
      <c r="L24" s="49">
        <f>IF(H_Aout[[#This Row],[PNP Début]]=0,0,IF(H_Aout[[#This Row],[PNP Début]]&lt;H_Aout[[#This Row],[début]],1,0)+H_Aout[[#This Row],[PNP Début]])</f>
        <v>0</v>
      </c>
      <c r="M24" s="50">
        <f>IF(H_Aout[[#This Row],[PNP Fin]]=0,0,IF(H_Aout[[#This Row],[PNP Fin]]&lt;H_Aout[[#This Row],[début]],1,0)+H_Aout[[#This Row],[PNP Fin]])</f>
        <v>0</v>
      </c>
      <c r="N24" s="50">
        <f>IF(H_Aout[[#This Row],[Fin]]&lt;H_Aout[[#This Row],[début]],1,0)+H_Aout[[#This Row],[Fin]]</f>
        <v>0</v>
      </c>
      <c r="O24" s="31">
        <f>IF(H_Aout[[#This Row],[Fin]]&lt;H_Aout[[#This Row],[début]],MAX(0,MIN(H_Aout[[#This Row],[Fin corrigée si nuit]],fin_nuit)-MAX(H_Aout[[#This Row],[début]],deb_nuit))*24,(MAX(deb_nuit,H_Aout[[#This Row],[Fin]])-MAX(deb_nuit,H_Aout[[#This Row],[début]])+MAX(MIN(fin_nuit-1,H_Aout[[#This Row],[Fin]])-MIN(fin_nuit-1,H_Aout[[#This Row],[début]]),0))*24)</f>
        <v>0</v>
      </c>
      <c r="P24" s="51">
        <f>(MAX(0,MIN(H_Aout[[#This Row],[Fin corrigée si nuit]],fin_nuit)-MAX(H_Aout[[#This Row],[début]],deb_nuit))-IF(H_Aout[[#This Row],[PNP Début]]=0,0,MIN(H_Aout[[#This Row],[PNP Fin corrigée]],fin_nuit)-MAX(H_Aout[[#This Row],[PNP Début corrigé]],deb_nuit)))*24</f>
        <v>0</v>
      </c>
      <c r="Q24" s="51">
        <f>(IF(WEEKDAY(H_Aout[[#This Row],[Date]],2)=7,MAX(0,MIN(fin_dimJF,H_Aout[[#This Row],[Fin corrigée si nuit]])-MAX(deb_dimJF,H_Aout[[#This Row],[début]])),0)+IF(WEEKDAY(H_Aout[[#This Row],[Date]],2)=6,MAX(0,H_Aout[[#This Row],[Fin corrigée si nuit]]-(1+deb_dimJF)),0))*24</f>
        <v>0</v>
      </c>
      <c r="R24"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4" s="51">
        <f>(IF(COUNTIF(JF,H_Aout[[#This Row],[Date]]),MAX(0,MIN(fin_dimJF,H_Aout[[#This Row],[Fin corrigée si nuit]])-MAX(deb_dimJF,H_Aout[[#This Row],[début]])),0)+IF(COUNTIF(JF,H_Aout[[#This Row],[Date]]+1),MAX(0,H_Aout[[#This Row],[Fin corrigée si nuit]]-(1+deb_dimJF)),0))*24</f>
        <v>0</v>
      </c>
      <c r="T24"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5" spans="1:20" x14ac:dyDescent="0.3">
      <c r="A25" s="4"/>
      <c r="B25" s="1"/>
      <c r="C25" s="2"/>
      <c r="D25" s="2"/>
      <c r="E25" s="3"/>
      <c r="F25" s="3"/>
      <c r="G25" s="3"/>
      <c r="H25" s="3"/>
      <c r="I25" s="47">
        <f>0.1*(H_Aout[[#This Row],[Heures de nuit]]+IF(H_Aout[[#This Row],[majoration dim &amp; JF]]="non",0,H_Aout[[#This Row],[heures jour dimanche]]+H_Aout[[#This Row],[heures jour fériés]]))</f>
        <v>0</v>
      </c>
      <c r="J25" s="48">
        <f>(MOD(H_Aout[[#This Row],[Fin]]-H_Aout[[#This Row],[début]],1)-MOD(H_Aout[[#This Row],[PNP Fin]]-H_Aout[[#This Row],[PNP Début]],1))*24</f>
        <v>0</v>
      </c>
      <c r="K25" s="119" t="str">
        <f>IFERROR(VLOOKUP(H_Aout[[#This Row],[Service]],Codes[],4,0),"")</f>
        <v/>
      </c>
      <c r="L25" s="49">
        <f>IF(H_Aout[[#This Row],[PNP Début]]=0,0,IF(H_Aout[[#This Row],[PNP Début]]&lt;H_Aout[[#This Row],[début]],1,0)+H_Aout[[#This Row],[PNP Début]])</f>
        <v>0</v>
      </c>
      <c r="M25" s="50">
        <f>IF(H_Aout[[#This Row],[PNP Fin]]=0,0,IF(H_Aout[[#This Row],[PNP Fin]]&lt;H_Aout[[#This Row],[début]],1,0)+H_Aout[[#This Row],[PNP Fin]])</f>
        <v>0</v>
      </c>
      <c r="N25" s="50">
        <f>IF(H_Aout[[#This Row],[Fin]]&lt;H_Aout[[#This Row],[début]],1,0)+H_Aout[[#This Row],[Fin]]</f>
        <v>0</v>
      </c>
      <c r="O25" s="31">
        <f>IF(H_Aout[[#This Row],[Fin]]&lt;H_Aout[[#This Row],[début]],MAX(0,MIN(H_Aout[[#This Row],[Fin corrigée si nuit]],fin_nuit)-MAX(H_Aout[[#This Row],[début]],deb_nuit))*24,(MAX(deb_nuit,H_Aout[[#This Row],[Fin]])-MAX(deb_nuit,H_Aout[[#This Row],[début]])+MAX(MIN(fin_nuit-1,H_Aout[[#This Row],[Fin]])-MIN(fin_nuit-1,H_Aout[[#This Row],[début]]),0))*24)</f>
        <v>0</v>
      </c>
      <c r="P25" s="51">
        <f>(MAX(0,MIN(H_Aout[[#This Row],[Fin corrigée si nuit]],fin_nuit)-MAX(H_Aout[[#This Row],[début]],deb_nuit))-IF(H_Aout[[#This Row],[PNP Début]]=0,0,MIN(H_Aout[[#This Row],[PNP Fin corrigée]],fin_nuit)-MAX(H_Aout[[#This Row],[PNP Début corrigé]],deb_nuit)))*24</f>
        <v>0</v>
      </c>
      <c r="Q25" s="51">
        <f>(IF(WEEKDAY(H_Aout[[#This Row],[Date]],2)=7,MAX(0,MIN(fin_dimJF,H_Aout[[#This Row],[Fin corrigée si nuit]])-MAX(deb_dimJF,H_Aout[[#This Row],[début]])),0)+IF(WEEKDAY(H_Aout[[#This Row],[Date]],2)=6,MAX(0,H_Aout[[#This Row],[Fin corrigée si nuit]]-(1+deb_dimJF)),0))*24</f>
        <v>0</v>
      </c>
      <c r="R25"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5" s="51">
        <f>(IF(COUNTIF(JF,H_Aout[[#This Row],[Date]]),MAX(0,MIN(fin_dimJF,H_Aout[[#This Row],[Fin corrigée si nuit]])-MAX(deb_dimJF,H_Aout[[#This Row],[début]])),0)+IF(COUNTIF(JF,H_Aout[[#This Row],[Date]]+1),MAX(0,H_Aout[[#This Row],[Fin corrigée si nuit]]-(1+deb_dimJF)),0))*24</f>
        <v>0</v>
      </c>
      <c r="T25"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6" spans="1:20" ht="14.4" customHeight="1" x14ac:dyDescent="0.3">
      <c r="A26" s="4"/>
      <c r="B26" s="1"/>
      <c r="C26" s="2"/>
      <c r="D26" s="2"/>
      <c r="E26" s="3"/>
      <c r="F26" s="3"/>
      <c r="G26" s="3"/>
      <c r="H26" s="3"/>
      <c r="I26" s="47">
        <f>0.1*(H_Aout[[#This Row],[Heures de nuit]]+IF(H_Aout[[#This Row],[majoration dim &amp; JF]]="non",0,H_Aout[[#This Row],[heures jour dimanche]]+H_Aout[[#This Row],[heures jour fériés]]))</f>
        <v>0</v>
      </c>
      <c r="J26" s="48">
        <f>(MOD(H_Aout[[#This Row],[Fin]]-H_Aout[[#This Row],[début]],1)-MOD(H_Aout[[#This Row],[PNP Fin]]-H_Aout[[#This Row],[PNP Début]],1))*24</f>
        <v>0</v>
      </c>
      <c r="K26" s="119" t="str">
        <f>IFERROR(VLOOKUP(H_Aout[[#This Row],[Service]],Codes[],4,0),"")</f>
        <v/>
      </c>
      <c r="L26" s="49">
        <f>IF(H_Aout[[#This Row],[PNP Début]]=0,0,IF(H_Aout[[#This Row],[PNP Début]]&lt;H_Aout[[#This Row],[début]],1,0)+H_Aout[[#This Row],[PNP Début]])</f>
        <v>0</v>
      </c>
      <c r="M26" s="50">
        <f>IF(H_Aout[[#This Row],[PNP Fin]]=0,0,IF(H_Aout[[#This Row],[PNP Fin]]&lt;H_Aout[[#This Row],[début]],1,0)+H_Aout[[#This Row],[PNP Fin]])</f>
        <v>0</v>
      </c>
      <c r="N26" s="50">
        <f>IF(H_Aout[[#This Row],[Fin]]&lt;H_Aout[[#This Row],[début]],1,0)+H_Aout[[#This Row],[Fin]]</f>
        <v>0</v>
      </c>
      <c r="O26" s="31">
        <f>IF(H_Aout[[#This Row],[Fin]]&lt;H_Aout[[#This Row],[début]],MAX(0,MIN(H_Aout[[#This Row],[Fin corrigée si nuit]],fin_nuit)-MAX(H_Aout[[#This Row],[début]],deb_nuit))*24,(MAX(deb_nuit,H_Aout[[#This Row],[Fin]])-MAX(deb_nuit,H_Aout[[#This Row],[début]])+MAX(MIN(fin_nuit-1,H_Aout[[#This Row],[Fin]])-MIN(fin_nuit-1,H_Aout[[#This Row],[début]]),0))*24)</f>
        <v>0</v>
      </c>
      <c r="P26" s="51">
        <f>(MAX(0,MIN(H_Aout[[#This Row],[Fin corrigée si nuit]],fin_nuit)-MAX(H_Aout[[#This Row],[début]],deb_nuit))-IF(H_Aout[[#This Row],[PNP Début]]=0,0,MIN(H_Aout[[#This Row],[PNP Fin corrigée]],fin_nuit)-MAX(H_Aout[[#This Row],[PNP Début corrigé]],deb_nuit)))*24</f>
        <v>0</v>
      </c>
      <c r="Q26" s="51">
        <f>(IF(WEEKDAY(H_Aout[[#This Row],[Date]],2)=7,MAX(0,MIN(fin_dimJF,H_Aout[[#This Row],[Fin corrigée si nuit]])-MAX(deb_dimJF,H_Aout[[#This Row],[début]])),0)+IF(WEEKDAY(H_Aout[[#This Row],[Date]],2)=6,MAX(0,H_Aout[[#This Row],[Fin corrigée si nuit]]-(1+deb_dimJF)),0))*24</f>
        <v>0</v>
      </c>
      <c r="R26"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6" s="51">
        <f>(IF(COUNTIF(JF,H_Aout[[#This Row],[Date]]),MAX(0,MIN(fin_dimJF,H_Aout[[#This Row],[Fin corrigée si nuit]])-MAX(deb_dimJF,H_Aout[[#This Row],[début]])),0)+IF(COUNTIF(JF,H_Aout[[#This Row],[Date]]+1),MAX(0,H_Aout[[#This Row],[Fin corrigée si nuit]]-(1+deb_dimJF)),0))*24</f>
        <v>0</v>
      </c>
      <c r="T26"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7" spans="1:20" x14ac:dyDescent="0.3">
      <c r="A27" s="4"/>
      <c r="B27" s="1"/>
      <c r="C27" s="2"/>
      <c r="D27" s="2"/>
      <c r="E27" s="3"/>
      <c r="F27" s="3"/>
      <c r="G27" s="3"/>
      <c r="H27" s="3"/>
      <c r="I27" s="47">
        <f>0.1*(H_Aout[[#This Row],[Heures de nuit]]+IF(H_Aout[[#This Row],[majoration dim &amp; JF]]="non",0,H_Aout[[#This Row],[heures jour dimanche]]+H_Aout[[#This Row],[heures jour fériés]]))</f>
        <v>0</v>
      </c>
      <c r="J27" s="48">
        <f>(MOD(H_Aout[[#This Row],[Fin]]-H_Aout[[#This Row],[début]],1)-MOD(H_Aout[[#This Row],[PNP Fin]]-H_Aout[[#This Row],[PNP Début]],1))*24</f>
        <v>0</v>
      </c>
      <c r="K27" s="119" t="str">
        <f>IFERROR(VLOOKUP(H_Aout[[#This Row],[Service]],Codes[],4,0),"")</f>
        <v/>
      </c>
      <c r="L27" s="49">
        <f>IF(H_Aout[[#This Row],[PNP Début]]=0,0,IF(H_Aout[[#This Row],[PNP Début]]&lt;H_Aout[[#This Row],[début]],1,0)+H_Aout[[#This Row],[PNP Début]])</f>
        <v>0</v>
      </c>
      <c r="M27" s="50">
        <f>IF(H_Aout[[#This Row],[PNP Fin]]=0,0,IF(H_Aout[[#This Row],[PNP Fin]]&lt;H_Aout[[#This Row],[début]],1,0)+H_Aout[[#This Row],[PNP Fin]])</f>
        <v>0</v>
      </c>
      <c r="N27" s="50">
        <f>IF(H_Aout[[#This Row],[Fin]]&lt;H_Aout[[#This Row],[début]],1,0)+H_Aout[[#This Row],[Fin]]</f>
        <v>0</v>
      </c>
      <c r="O27" s="31">
        <f>IF(H_Aout[[#This Row],[Fin]]&lt;H_Aout[[#This Row],[début]],MAX(0,MIN(H_Aout[[#This Row],[Fin corrigée si nuit]],fin_nuit)-MAX(H_Aout[[#This Row],[début]],deb_nuit))*24,(MAX(deb_nuit,H_Aout[[#This Row],[Fin]])-MAX(deb_nuit,H_Aout[[#This Row],[début]])+MAX(MIN(fin_nuit-1,H_Aout[[#This Row],[Fin]])-MIN(fin_nuit-1,H_Aout[[#This Row],[début]]),0))*24)</f>
        <v>0</v>
      </c>
      <c r="P27" s="51">
        <f>(MAX(0,MIN(H_Aout[[#This Row],[Fin corrigée si nuit]],fin_nuit)-MAX(H_Aout[[#This Row],[début]],deb_nuit))-IF(H_Aout[[#This Row],[PNP Début]]=0,0,MIN(H_Aout[[#This Row],[PNP Fin corrigée]],fin_nuit)-MAX(H_Aout[[#This Row],[PNP Début corrigé]],deb_nuit)))*24</f>
        <v>0</v>
      </c>
      <c r="Q27" s="51">
        <f>(IF(WEEKDAY(H_Aout[[#This Row],[Date]],2)=7,MAX(0,MIN(fin_dimJF,H_Aout[[#This Row],[Fin corrigée si nuit]])-MAX(deb_dimJF,H_Aout[[#This Row],[début]])),0)+IF(WEEKDAY(H_Aout[[#This Row],[Date]],2)=6,MAX(0,H_Aout[[#This Row],[Fin corrigée si nuit]]-(1+deb_dimJF)),0))*24</f>
        <v>0</v>
      </c>
      <c r="R27"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7" s="51">
        <f>(IF(COUNTIF(JF,H_Aout[[#This Row],[Date]]),MAX(0,MIN(fin_dimJF,H_Aout[[#This Row],[Fin corrigée si nuit]])-MAX(deb_dimJF,H_Aout[[#This Row],[début]])),0)+IF(COUNTIF(JF,H_Aout[[#This Row],[Date]]+1),MAX(0,H_Aout[[#This Row],[Fin corrigée si nuit]]-(1+deb_dimJF)),0))*24</f>
        <v>0</v>
      </c>
      <c r="T27"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8" spans="1:20" x14ac:dyDescent="0.3">
      <c r="A28" s="4"/>
      <c r="B28" s="1"/>
      <c r="C28" s="2"/>
      <c r="D28" s="2"/>
      <c r="E28" s="3"/>
      <c r="F28" s="3"/>
      <c r="G28" s="3"/>
      <c r="H28" s="3"/>
      <c r="I28" s="47">
        <f>0.1*(H_Aout[[#This Row],[Heures de nuit]]+IF(H_Aout[[#This Row],[majoration dim &amp; JF]]="non",0,H_Aout[[#This Row],[heures jour dimanche]]+H_Aout[[#This Row],[heures jour fériés]]))</f>
        <v>0</v>
      </c>
      <c r="J28" s="48">
        <f>(MOD(H_Aout[[#This Row],[Fin]]-H_Aout[[#This Row],[début]],1)-MOD(H_Aout[[#This Row],[PNP Fin]]-H_Aout[[#This Row],[PNP Début]],1))*24</f>
        <v>0</v>
      </c>
      <c r="K28" s="119" t="str">
        <f>IFERROR(VLOOKUP(H_Aout[[#This Row],[Service]],Codes[],4,0),"")</f>
        <v/>
      </c>
      <c r="L28" s="49">
        <f>IF(H_Aout[[#This Row],[PNP Début]]=0,0,IF(H_Aout[[#This Row],[PNP Début]]&lt;H_Aout[[#This Row],[début]],1,0)+H_Aout[[#This Row],[PNP Début]])</f>
        <v>0</v>
      </c>
      <c r="M28" s="50">
        <f>IF(H_Aout[[#This Row],[PNP Fin]]=0,0,IF(H_Aout[[#This Row],[PNP Fin]]&lt;H_Aout[[#This Row],[début]],1,0)+H_Aout[[#This Row],[PNP Fin]])</f>
        <v>0</v>
      </c>
      <c r="N28" s="50">
        <f>IF(H_Aout[[#This Row],[Fin]]&lt;H_Aout[[#This Row],[début]],1,0)+H_Aout[[#This Row],[Fin]]</f>
        <v>0</v>
      </c>
      <c r="O28" s="31">
        <f>IF(H_Aout[[#This Row],[Fin]]&lt;H_Aout[[#This Row],[début]],MAX(0,MIN(H_Aout[[#This Row],[Fin corrigée si nuit]],fin_nuit)-MAX(H_Aout[[#This Row],[début]],deb_nuit))*24,(MAX(deb_nuit,H_Aout[[#This Row],[Fin]])-MAX(deb_nuit,H_Aout[[#This Row],[début]])+MAX(MIN(fin_nuit-1,H_Aout[[#This Row],[Fin]])-MIN(fin_nuit-1,H_Aout[[#This Row],[début]]),0))*24)</f>
        <v>0</v>
      </c>
      <c r="P28" s="51">
        <f>(MAX(0,MIN(H_Aout[[#This Row],[Fin corrigée si nuit]],fin_nuit)-MAX(H_Aout[[#This Row],[début]],deb_nuit))-IF(H_Aout[[#This Row],[PNP Début]]=0,0,MIN(H_Aout[[#This Row],[PNP Fin corrigée]],fin_nuit)-MAX(H_Aout[[#This Row],[PNP Début corrigé]],deb_nuit)))*24</f>
        <v>0</v>
      </c>
      <c r="Q28" s="51">
        <f>(IF(WEEKDAY(H_Aout[[#This Row],[Date]],2)=7,MAX(0,MIN(fin_dimJF,H_Aout[[#This Row],[Fin corrigée si nuit]])-MAX(deb_dimJF,H_Aout[[#This Row],[début]])),0)+IF(WEEKDAY(H_Aout[[#This Row],[Date]],2)=6,MAX(0,H_Aout[[#This Row],[Fin corrigée si nuit]]-(1+deb_dimJF)),0))*24</f>
        <v>0</v>
      </c>
      <c r="R28"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8" s="51">
        <f>(IF(COUNTIF(JF,H_Aout[[#This Row],[Date]]),MAX(0,MIN(fin_dimJF,H_Aout[[#This Row],[Fin corrigée si nuit]])-MAX(deb_dimJF,H_Aout[[#This Row],[début]])),0)+IF(COUNTIF(JF,H_Aout[[#This Row],[Date]]+1),MAX(0,H_Aout[[#This Row],[Fin corrigée si nuit]]-(1+deb_dimJF)),0))*24</f>
        <v>0</v>
      </c>
      <c r="T28"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29" spans="1:20" x14ac:dyDescent="0.3">
      <c r="A29" s="4"/>
      <c r="B29" s="1"/>
      <c r="C29" s="2"/>
      <c r="D29" s="2"/>
      <c r="E29" s="3"/>
      <c r="F29" s="3"/>
      <c r="G29" s="3"/>
      <c r="H29" s="3"/>
      <c r="I29" s="47">
        <f>0.1*(H_Aout[[#This Row],[Heures de nuit]]+IF(H_Aout[[#This Row],[majoration dim &amp; JF]]="non",0,H_Aout[[#This Row],[heures jour dimanche]]+H_Aout[[#This Row],[heures jour fériés]]))</f>
        <v>0</v>
      </c>
      <c r="J29" s="48">
        <f>(MOD(H_Aout[[#This Row],[Fin]]-H_Aout[[#This Row],[début]],1)-MOD(H_Aout[[#This Row],[PNP Fin]]-H_Aout[[#This Row],[PNP Début]],1))*24</f>
        <v>0</v>
      </c>
      <c r="K29" s="119" t="str">
        <f>IFERROR(VLOOKUP(H_Aout[[#This Row],[Service]],Codes[],4,0),"")</f>
        <v/>
      </c>
      <c r="L29" s="49">
        <f>IF(H_Aout[[#This Row],[PNP Début]]=0,0,IF(H_Aout[[#This Row],[PNP Début]]&lt;H_Aout[[#This Row],[début]],1,0)+H_Aout[[#This Row],[PNP Début]])</f>
        <v>0</v>
      </c>
      <c r="M29" s="50">
        <f>IF(H_Aout[[#This Row],[PNP Fin]]=0,0,IF(H_Aout[[#This Row],[PNP Fin]]&lt;H_Aout[[#This Row],[début]],1,0)+H_Aout[[#This Row],[PNP Fin]])</f>
        <v>0</v>
      </c>
      <c r="N29" s="50">
        <f>IF(H_Aout[[#This Row],[Fin]]&lt;H_Aout[[#This Row],[début]],1,0)+H_Aout[[#This Row],[Fin]]</f>
        <v>0</v>
      </c>
      <c r="O29" s="31">
        <f>IF(H_Aout[[#This Row],[Fin]]&lt;H_Aout[[#This Row],[début]],MAX(0,MIN(H_Aout[[#This Row],[Fin corrigée si nuit]],fin_nuit)-MAX(H_Aout[[#This Row],[début]],deb_nuit))*24,(MAX(deb_nuit,H_Aout[[#This Row],[Fin]])-MAX(deb_nuit,H_Aout[[#This Row],[début]])+MAX(MIN(fin_nuit-1,H_Aout[[#This Row],[Fin]])-MIN(fin_nuit-1,H_Aout[[#This Row],[début]]),0))*24)</f>
        <v>0</v>
      </c>
      <c r="P29" s="51">
        <f>(MAX(0,MIN(H_Aout[[#This Row],[Fin corrigée si nuit]],fin_nuit)-MAX(H_Aout[[#This Row],[début]],deb_nuit))-IF(H_Aout[[#This Row],[PNP Début]]=0,0,MIN(H_Aout[[#This Row],[PNP Fin corrigée]],fin_nuit)-MAX(H_Aout[[#This Row],[PNP Début corrigé]],deb_nuit)))*24</f>
        <v>0</v>
      </c>
      <c r="Q29" s="51">
        <f>(IF(WEEKDAY(H_Aout[[#This Row],[Date]],2)=7,MAX(0,MIN(fin_dimJF,H_Aout[[#This Row],[Fin corrigée si nuit]])-MAX(deb_dimJF,H_Aout[[#This Row],[début]])),0)+IF(WEEKDAY(H_Aout[[#This Row],[Date]],2)=6,MAX(0,H_Aout[[#This Row],[Fin corrigée si nuit]]-(1+deb_dimJF)),0))*24</f>
        <v>0</v>
      </c>
      <c r="R29"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29" s="51">
        <f>(IF(COUNTIF(JF,H_Aout[[#This Row],[Date]]),MAX(0,MIN(fin_dimJF,H_Aout[[#This Row],[Fin corrigée si nuit]])-MAX(deb_dimJF,H_Aout[[#This Row],[début]])),0)+IF(COUNTIF(JF,H_Aout[[#This Row],[Date]]+1),MAX(0,H_Aout[[#This Row],[Fin corrigée si nuit]]-(1+deb_dimJF)),0))*24</f>
        <v>0</v>
      </c>
      <c r="T29"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0" spans="1:20" x14ac:dyDescent="0.3">
      <c r="A30" s="4"/>
      <c r="B30" s="1"/>
      <c r="C30" s="2"/>
      <c r="D30" s="2"/>
      <c r="E30" s="3"/>
      <c r="F30" s="3"/>
      <c r="G30" s="3"/>
      <c r="H30" s="3"/>
      <c r="I30" s="47">
        <f>0.1*(H_Aout[[#This Row],[Heures de nuit]]+IF(H_Aout[[#This Row],[majoration dim &amp; JF]]="non",0,H_Aout[[#This Row],[heures jour dimanche]]+H_Aout[[#This Row],[heures jour fériés]]))</f>
        <v>0</v>
      </c>
      <c r="J30" s="48">
        <f>(MOD(H_Aout[[#This Row],[Fin]]-H_Aout[[#This Row],[début]],1)-MOD(H_Aout[[#This Row],[PNP Fin]]-H_Aout[[#This Row],[PNP Début]],1))*24</f>
        <v>0</v>
      </c>
      <c r="K30" s="119" t="str">
        <f>IFERROR(VLOOKUP(H_Aout[[#This Row],[Service]],Codes[],4,0),"")</f>
        <v/>
      </c>
      <c r="L30" s="49">
        <f>IF(H_Aout[[#This Row],[PNP Début]]=0,0,IF(H_Aout[[#This Row],[PNP Début]]&lt;H_Aout[[#This Row],[début]],1,0)+H_Aout[[#This Row],[PNP Début]])</f>
        <v>0</v>
      </c>
      <c r="M30" s="50">
        <f>IF(H_Aout[[#This Row],[PNP Fin]]=0,0,IF(H_Aout[[#This Row],[PNP Fin]]&lt;H_Aout[[#This Row],[début]],1,0)+H_Aout[[#This Row],[PNP Fin]])</f>
        <v>0</v>
      </c>
      <c r="N30" s="50">
        <f>IF(H_Aout[[#This Row],[Fin]]&lt;H_Aout[[#This Row],[début]],1,0)+H_Aout[[#This Row],[Fin]]</f>
        <v>0</v>
      </c>
      <c r="O30" s="31">
        <f>IF(H_Aout[[#This Row],[Fin]]&lt;H_Aout[[#This Row],[début]],MAX(0,MIN(H_Aout[[#This Row],[Fin corrigée si nuit]],fin_nuit)-MAX(H_Aout[[#This Row],[début]],deb_nuit))*24,(MAX(deb_nuit,H_Aout[[#This Row],[Fin]])-MAX(deb_nuit,H_Aout[[#This Row],[début]])+MAX(MIN(fin_nuit-1,H_Aout[[#This Row],[Fin]])-MIN(fin_nuit-1,H_Aout[[#This Row],[début]]),0))*24)</f>
        <v>0</v>
      </c>
      <c r="P30" s="51">
        <f>(MAX(0,MIN(H_Aout[[#This Row],[Fin corrigée si nuit]],fin_nuit)-MAX(H_Aout[[#This Row],[début]],deb_nuit))-IF(H_Aout[[#This Row],[PNP Début]]=0,0,MIN(H_Aout[[#This Row],[PNP Fin corrigée]],fin_nuit)-MAX(H_Aout[[#This Row],[PNP Début corrigé]],deb_nuit)))*24</f>
        <v>0</v>
      </c>
      <c r="Q30" s="51">
        <f>(IF(WEEKDAY(H_Aout[[#This Row],[Date]],2)=7,MAX(0,MIN(fin_dimJF,H_Aout[[#This Row],[Fin corrigée si nuit]])-MAX(deb_dimJF,H_Aout[[#This Row],[début]])),0)+IF(WEEKDAY(H_Aout[[#This Row],[Date]],2)=6,MAX(0,H_Aout[[#This Row],[Fin corrigée si nuit]]-(1+deb_dimJF)),0))*24</f>
        <v>0</v>
      </c>
      <c r="R30"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0" s="51">
        <f>(IF(COUNTIF(JF,H_Aout[[#This Row],[Date]]),MAX(0,MIN(fin_dimJF,H_Aout[[#This Row],[Fin corrigée si nuit]])-MAX(deb_dimJF,H_Aout[[#This Row],[début]])),0)+IF(COUNTIF(JF,H_Aout[[#This Row],[Date]]+1),MAX(0,H_Aout[[#This Row],[Fin corrigée si nuit]]-(1+deb_dimJF)),0))*24</f>
        <v>0</v>
      </c>
      <c r="T30"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1" spans="1:20" x14ac:dyDescent="0.3">
      <c r="A31" s="4"/>
      <c r="B31" s="1"/>
      <c r="C31" s="2"/>
      <c r="D31" s="2"/>
      <c r="E31" s="3"/>
      <c r="F31" s="3"/>
      <c r="G31" s="3"/>
      <c r="H31" s="3"/>
      <c r="I31" s="47">
        <f>0.1*(H_Aout[[#This Row],[Heures de nuit]]+IF(H_Aout[[#This Row],[majoration dim &amp; JF]]="non",0,H_Aout[[#This Row],[heures jour dimanche]]+H_Aout[[#This Row],[heures jour fériés]]))</f>
        <v>0</v>
      </c>
      <c r="J31" s="48">
        <f>(MOD(H_Aout[[#This Row],[Fin]]-H_Aout[[#This Row],[début]],1)-MOD(H_Aout[[#This Row],[PNP Fin]]-H_Aout[[#This Row],[PNP Début]],1))*24</f>
        <v>0</v>
      </c>
      <c r="K31" s="119" t="str">
        <f>IFERROR(VLOOKUP(H_Aout[[#This Row],[Service]],Codes[],4,0),"")</f>
        <v/>
      </c>
      <c r="L31" s="49">
        <f>IF(H_Aout[[#This Row],[PNP Début]]=0,0,IF(H_Aout[[#This Row],[PNP Début]]&lt;H_Aout[[#This Row],[début]],1,0)+H_Aout[[#This Row],[PNP Début]])</f>
        <v>0</v>
      </c>
      <c r="M31" s="50">
        <f>IF(H_Aout[[#This Row],[PNP Fin]]=0,0,IF(H_Aout[[#This Row],[PNP Fin]]&lt;H_Aout[[#This Row],[début]],1,0)+H_Aout[[#This Row],[PNP Fin]])</f>
        <v>0</v>
      </c>
      <c r="N31" s="50">
        <f>IF(H_Aout[[#This Row],[Fin]]&lt;H_Aout[[#This Row],[début]],1,0)+H_Aout[[#This Row],[Fin]]</f>
        <v>0</v>
      </c>
      <c r="O31" s="31">
        <f>IF(H_Aout[[#This Row],[Fin]]&lt;H_Aout[[#This Row],[début]],MAX(0,MIN(H_Aout[[#This Row],[Fin corrigée si nuit]],fin_nuit)-MAX(H_Aout[[#This Row],[début]],deb_nuit))*24,(MAX(deb_nuit,H_Aout[[#This Row],[Fin]])-MAX(deb_nuit,H_Aout[[#This Row],[début]])+MAX(MIN(fin_nuit-1,H_Aout[[#This Row],[Fin]])-MIN(fin_nuit-1,H_Aout[[#This Row],[début]]),0))*24)</f>
        <v>0</v>
      </c>
      <c r="P31" s="51">
        <f>(MAX(0,MIN(H_Aout[[#This Row],[Fin corrigée si nuit]],fin_nuit)-MAX(H_Aout[[#This Row],[début]],deb_nuit))-IF(H_Aout[[#This Row],[PNP Début]]=0,0,MIN(H_Aout[[#This Row],[PNP Fin corrigée]],fin_nuit)-MAX(H_Aout[[#This Row],[PNP Début corrigé]],deb_nuit)))*24</f>
        <v>0</v>
      </c>
      <c r="Q31" s="51">
        <f>(IF(WEEKDAY(H_Aout[[#This Row],[Date]],2)=7,MAX(0,MIN(fin_dimJF,H_Aout[[#This Row],[Fin corrigée si nuit]])-MAX(deb_dimJF,H_Aout[[#This Row],[début]])),0)+IF(WEEKDAY(H_Aout[[#This Row],[Date]],2)=6,MAX(0,H_Aout[[#This Row],[Fin corrigée si nuit]]-(1+deb_dimJF)),0))*24</f>
        <v>0</v>
      </c>
      <c r="R31"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1" s="51">
        <f>(IF(COUNTIF(JF,H_Aout[[#This Row],[Date]]),MAX(0,MIN(fin_dimJF,H_Aout[[#This Row],[Fin corrigée si nuit]])-MAX(deb_dimJF,H_Aout[[#This Row],[début]])),0)+IF(COUNTIF(JF,H_Aout[[#This Row],[Date]]+1),MAX(0,H_Aout[[#This Row],[Fin corrigée si nuit]]-(1+deb_dimJF)),0))*24</f>
        <v>0</v>
      </c>
      <c r="T31"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2" spans="1:20" ht="14.55" customHeight="1" x14ac:dyDescent="0.3">
      <c r="A32" s="4"/>
      <c r="B32" s="1"/>
      <c r="C32" s="2"/>
      <c r="D32" s="2"/>
      <c r="E32" s="3"/>
      <c r="F32" s="3"/>
      <c r="G32" s="3"/>
      <c r="H32" s="3"/>
      <c r="I32" s="47">
        <f>0.1*(H_Aout[[#This Row],[Heures de nuit]]+IF(H_Aout[[#This Row],[majoration dim &amp; JF]]="non",0,H_Aout[[#This Row],[heures jour dimanche]]+H_Aout[[#This Row],[heures jour fériés]]))</f>
        <v>0</v>
      </c>
      <c r="J32" s="48">
        <f>(MOD(H_Aout[[#This Row],[Fin]]-H_Aout[[#This Row],[début]],1)-MOD(H_Aout[[#This Row],[PNP Fin]]-H_Aout[[#This Row],[PNP Début]],1))*24</f>
        <v>0</v>
      </c>
      <c r="K32" s="119" t="str">
        <f>IFERROR(VLOOKUP(H_Aout[[#This Row],[Service]],Codes[],4,0),"")</f>
        <v/>
      </c>
      <c r="L32" s="49">
        <f>IF(H_Aout[[#This Row],[PNP Début]]=0,0,IF(H_Aout[[#This Row],[PNP Début]]&lt;H_Aout[[#This Row],[début]],1,0)+H_Aout[[#This Row],[PNP Début]])</f>
        <v>0</v>
      </c>
      <c r="M32" s="50">
        <f>IF(H_Aout[[#This Row],[PNP Fin]]=0,0,IF(H_Aout[[#This Row],[PNP Fin]]&lt;H_Aout[[#This Row],[début]],1,0)+H_Aout[[#This Row],[PNP Fin]])</f>
        <v>0</v>
      </c>
      <c r="N32" s="50">
        <f>IF(H_Aout[[#This Row],[Fin]]&lt;H_Aout[[#This Row],[début]],1,0)+H_Aout[[#This Row],[Fin]]</f>
        <v>0</v>
      </c>
      <c r="O32" s="31">
        <f>IF(H_Aout[[#This Row],[Fin]]&lt;H_Aout[[#This Row],[début]],MAX(0,MIN(H_Aout[[#This Row],[Fin corrigée si nuit]],fin_nuit)-MAX(H_Aout[[#This Row],[début]],deb_nuit))*24,(MAX(deb_nuit,H_Aout[[#This Row],[Fin]])-MAX(deb_nuit,H_Aout[[#This Row],[début]])+MAX(MIN(fin_nuit-1,H_Aout[[#This Row],[Fin]])-MIN(fin_nuit-1,H_Aout[[#This Row],[début]]),0))*24)</f>
        <v>0</v>
      </c>
      <c r="P32" s="51">
        <f>(MAX(0,MIN(H_Aout[[#This Row],[Fin corrigée si nuit]],fin_nuit)-MAX(H_Aout[[#This Row],[début]],deb_nuit))-IF(H_Aout[[#This Row],[PNP Début]]=0,0,MIN(H_Aout[[#This Row],[PNP Fin corrigée]],fin_nuit)-MAX(H_Aout[[#This Row],[PNP Début corrigé]],deb_nuit)))*24</f>
        <v>0</v>
      </c>
      <c r="Q32" s="51">
        <f>(IF(WEEKDAY(H_Aout[[#This Row],[Date]],2)=7,MAX(0,MIN(fin_dimJF,H_Aout[[#This Row],[Fin corrigée si nuit]])-MAX(deb_dimJF,H_Aout[[#This Row],[début]])),0)+IF(WEEKDAY(H_Aout[[#This Row],[Date]],2)=6,MAX(0,H_Aout[[#This Row],[Fin corrigée si nuit]]-(1+deb_dimJF)),0))*24</f>
        <v>0</v>
      </c>
      <c r="R32"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2" s="51">
        <f>(IF(COUNTIF(JF,H_Aout[[#This Row],[Date]]),MAX(0,MIN(fin_dimJF,H_Aout[[#This Row],[Fin corrigée si nuit]])-MAX(deb_dimJF,H_Aout[[#This Row],[début]])),0)+IF(COUNTIF(JF,H_Aout[[#This Row],[Date]]+1),MAX(0,H_Aout[[#This Row],[Fin corrigée si nuit]]-(1+deb_dimJF)),0))*24</f>
        <v>0</v>
      </c>
      <c r="T32"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3" spans="1:20" x14ac:dyDescent="0.3">
      <c r="A33" s="4"/>
      <c r="B33" s="1"/>
      <c r="C33" s="2"/>
      <c r="D33" s="2"/>
      <c r="E33" s="3"/>
      <c r="F33" s="3"/>
      <c r="G33" s="3"/>
      <c r="H33" s="3"/>
      <c r="I33" s="47">
        <f>0.1*(H_Aout[[#This Row],[Heures de nuit]]+IF(H_Aout[[#This Row],[majoration dim &amp; JF]]="non",0,H_Aout[[#This Row],[heures jour dimanche]]+H_Aout[[#This Row],[heures jour fériés]]))</f>
        <v>0</v>
      </c>
      <c r="J33" s="48">
        <f>(MOD(H_Aout[[#This Row],[Fin]]-H_Aout[[#This Row],[début]],1)-MOD(H_Aout[[#This Row],[PNP Fin]]-H_Aout[[#This Row],[PNP Début]],1))*24</f>
        <v>0</v>
      </c>
      <c r="K33" s="119" t="str">
        <f>IFERROR(VLOOKUP(H_Aout[[#This Row],[Service]],Codes[],4,0),"")</f>
        <v/>
      </c>
      <c r="L33" s="49">
        <f>IF(H_Aout[[#This Row],[PNP Début]]=0,0,IF(H_Aout[[#This Row],[PNP Début]]&lt;H_Aout[[#This Row],[début]],1,0)+H_Aout[[#This Row],[PNP Début]])</f>
        <v>0</v>
      </c>
      <c r="M33" s="50">
        <f>IF(H_Aout[[#This Row],[PNP Fin]]=0,0,IF(H_Aout[[#This Row],[PNP Fin]]&lt;H_Aout[[#This Row],[début]],1,0)+H_Aout[[#This Row],[PNP Fin]])</f>
        <v>0</v>
      </c>
      <c r="N33" s="50">
        <f>IF(H_Aout[[#This Row],[Fin]]&lt;H_Aout[[#This Row],[début]],1,0)+H_Aout[[#This Row],[Fin]]</f>
        <v>0</v>
      </c>
      <c r="O33" s="31">
        <f>IF(H_Aout[[#This Row],[Fin]]&lt;H_Aout[[#This Row],[début]],MAX(0,MIN(H_Aout[[#This Row],[Fin corrigée si nuit]],fin_nuit)-MAX(H_Aout[[#This Row],[début]],deb_nuit))*24,(MAX(deb_nuit,H_Aout[[#This Row],[Fin]])-MAX(deb_nuit,H_Aout[[#This Row],[début]])+MAX(MIN(fin_nuit-1,H_Aout[[#This Row],[Fin]])-MIN(fin_nuit-1,H_Aout[[#This Row],[début]]),0))*24)</f>
        <v>0</v>
      </c>
      <c r="P33" s="51">
        <f>(MAX(0,MIN(H_Aout[[#This Row],[Fin corrigée si nuit]],fin_nuit)-MAX(H_Aout[[#This Row],[début]],deb_nuit))-IF(H_Aout[[#This Row],[PNP Début]]=0,0,MIN(H_Aout[[#This Row],[PNP Fin corrigée]],fin_nuit)-MAX(H_Aout[[#This Row],[PNP Début corrigé]],deb_nuit)))*24</f>
        <v>0</v>
      </c>
      <c r="Q33" s="51">
        <f>(IF(WEEKDAY(H_Aout[[#This Row],[Date]],2)=7,MAX(0,MIN(fin_dimJF,H_Aout[[#This Row],[Fin corrigée si nuit]])-MAX(deb_dimJF,H_Aout[[#This Row],[début]])),0)+IF(WEEKDAY(H_Aout[[#This Row],[Date]],2)=6,MAX(0,H_Aout[[#This Row],[Fin corrigée si nuit]]-(1+deb_dimJF)),0))*24</f>
        <v>0</v>
      </c>
      <c r="R33"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3" s="51">
        <f>(IF(COUNTIF(JF,H_Aout[[#This Row],[Date]]),MAX(0,MIN(fin_dimJF,H_Aout[[#This Row],[Fin corrigée si nuit]])-MAX(deb_dimJF,H_Aout[[#This Row],[début]])),0)+IF(COUNTIF(JF,H_Aout[[#This Row],[Date]]+1),MAX(0,H_Aout[[#This Row],[Fin corrigée si nuit]]-(1+deb_dimJF)),0))*24</f>
        <v>0</v>
      </c>
      <c r="T33"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4" spans="1:20" x14ac:dyDescent="0.3">
      <c r="A34" s="4"/>
      <c r="B34" s="1"/>
      <c r="C34" s="2"/>
      <c r="D34" s="2"/>
      <c r="E34" s="3"/>
      <c r="F34" s="3"/>
      <c r="G34" s="3"/>
      <c r="H34" s="3"/>
      <c r="I34" s="47">
        <f>0.1*(H_Aout[[#This Row],[Heures de nuit]]+IF(H_Aout[[#This Row],[majoration dim &amp; JF]]="non",0,H_Aout[[#This Row],[heures jour dimanche]]+H_Aout[[#This Row],[heures jour fériés]]))</f>
        <v>0</v>
      </c>
      <c r="J34" s="48">
        <f>(MOD(H_Aout[[#This Row],[Fin]]-H_Aout[[#This Row],[début]],1)-MOD(H_Aout[[#This Row],[PNP Fin]]-H_Aout[[#This Row],[PNP Début]],1))*24</f>
        <v>0</v>
      </c>
      <c r="K34" s="119" t="str">
        <f>IFERROR(VLOOKUP(H_Aout[[#This Row],[Service]],Codes[],4,0),"")</f>
        <v/>
      </c>
      <c r="L34" s="49">
        <f>IF(H_Aout[[#This Row],[PNP Début]]=0,0,IF(H_Aout[[#This Row],[PNP Début]]&lt;H_Aout[[#This Row],[début]],1,0)+H_Aout[[#This Row],[PNP Début]])</f>
        <v>0</v>
      </c>
      <c r="M34" s="50">
        <f>IF(H_Aout[[#This Row],[PNP Fin]]=0,0,IF(H_Aout[[#This Row],[PNP Fin]]&lt;H_Aout[[#This Row],[début]],1,0)+H_Aout[[#This Row],[PNP Fin]])</f>
        <v>0</v>
      </c>
      <c r="N34" s="50">
        <f>IF(H_Aout[[#This Row],[Fin]]&lt;H_Aout[[#This Row],[début]],1,0)+H_Aout[[#This Row],[Fin]]</f>
        <v>0</v>
      </c>
      <c r="O34" s="31">
        <f>IF(H_Aout[[#This Row],[Fin]]&lt;H_Aout[[#This Row],[début]],MAX(0,MIN(H_Aout[[#This Row],[Fin corrigée si nuit]],fin_nuit)-MAX(H_Aout[[#This Row],[début]],deb_nuit))*24,(MAX(deb_nuit,H_Aout[[#This Row],[Fin]])-MAX(deb_nuit,H_Aout[[#This Row],[début]])+MAX(MIN(fin_nuit-1,H_Aout[[#This Row],[Fin]])-MIN(fin_nuit-1,H_Aout[[#This Row],[début]]),0))*24)</f>
        <v>0</v>
      </c>
      <c r="P34" s="51">
        <f>(MAX(0,MIN(H_Aout[[#This Row],[Fin corrigée si nuit]],fin_nuit)-MAX(H_Aout[[#This Row],[début]],deb_nuit))-IF(H_Aout[[#This Row],[PNP Début]]=0,0,MIN(H_Aout[[#This Row],[PNP Fin corrigée]],fin_nuit)-MAX(H_Aout[[#This Row],[PNP Début corrigé]],deb_nuit)))*24</f>
        <v>0</v>
      </c>
      <c r="Q34" s="51">
        <f>(IF(WEEKDAY(H_Aout[[#This Row],[Date]],2)=7,MAX(0,MIN(fin_dimJF,H_Aout[[#This Row],[Fin corrigée si nuit]])-MAX(deb_dimJF,H_Aout[[#This Row],[début]])),0)+IF(WEEKDAY(H_Aout[[#This Row],[Date]],2)=6,MAX(0,H_Aout[[#This Row],[Fin corrigée si nuit]]-(1+deb_dimJF)),0))*24</f>
        <v>0</v>
      </c>
      <c r="R34"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4" s="51">
        <f>(IF(COUNTIF(JF,H_Aout[[#This Row],[Date]]),MAX(0,MIN(fin_dimJF,H_Aout[[#This Row],[Fin corrigée si nuit]])-MAX(deb_dimJF,H_Aout[[#This Row],[début]])),0)+IF(COUNTIF(JF,H_Aout[[#This Row],[Date]]+1),MAX(0,H_Aout[[#This Row],[Fin corrigée si nuit]]-(1+deb_dimJF)),0))*24</f>
        <v>0</v>
      </c>
      <c r="T34"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5" spans="1:20" x14ac:dyDescent="0.3">
      <c r="A35" s="4"/>
      <c r="B35" s="1"/>
      <c r="C35" s="2"/>
      <c r="D35" s="2"/>
      <c r="E35" s="3"/>
      <c r="F35" s="3"/>
      <c r="G35" s="3"/>
      <c r="H35" s="3"/>
      <c r="I35" s="47">
        <f>0.1*(H_Aout[[#This Row],[Heures de nuit]]+IF(H_Aout[[#This Row],[majoration dim &amp; JF]]="non",0,H_Aout[[#This Row],[heures jour dimanche]]+H_Aout[[#This Row],[heures jour fériés]]))</f>
        <v>0</v>
      </c>
      <c r="J35" s="48">
        <f>(MOD(H_Aout[[#This Row],[Fin]]-H_Aout[[#This Row],[début]],1)-MOD(H_Aout[[#This Row],[PNP Fin]]-H_Aout[[#This Row],[PNP Début]],1))*24</f>
        <v>0</v>
      </c>
      <c r="K35" s="119" t="str">
        <f>IFERROR(VLOOKUP(H_Aout[[#This Row],[Service]],Codes[],4,0),"")</f>
        <v/>
      </c>
      <c r="L35" s="49">
        <f>IF(H_Aout[[#This Row],[PNP Début]]=0,0,IF(H_Aout[[#This Row],[PNP Début]]&lt;H_Aout[[#This Row],[début]],1,0)+H_Aout[[#This Row],[PNP Début]])</f>
        <v>0</v>
      </c>
      <c r="M35" s="50">
        <f>IF(H_Aout[[#This Row],[PNP Fin]]=0,0,IF(H_Aout[[#This Row],[PNP Fin]]&lt;H_Aout[[#This Row],[début]],1,0)+H_Aout[[#This Row],[PNP Fin]])</f>
        <v>0</v>
      </c>
      <c r="N35" s="50">
        <f>IF(H_Aout[[#This Row],[Fin]]&lt;H_Aout[[#This Row],[début]],1,0)+H_Aout[[#This Row],[Fin]]</f>
        <v>0</v>
      </c>
      <c r="O35" s="31">
        <f>IF(H_Aout[[#This Row],[Fin]]&lt;H_Aout[[#This Row],[début]],MAX(0,MIN(H_Aout[[#This Row],[Fin corrigée si nuit]],fin_nuit)-MAX(H_Aout[[#This Row],[début]],deb_nuit))*24,(MAX(deb_nuit,H_Aout[[#This Row],[Fin]])-MAX(deb_nuit,H_Aout[[#This Row],[début]])+MAX(MIN(fin_nuit-1,H_Aout[[#This Row],[Fin]])-MIN(fin_nuit-1,H_Aout[[#This Row],[début]]),0))*24)</f>
        <v>0</v>
      </c>
      <c r="P35" s="51">
        <f>(MAX(0,MIN(H_Aout[[#This Row],[Fin corrigée si nuit]],fin_nuit)-MAX(H_Aout[[#This Row],[début]],deb_nuit))-IF(H_Aout[[#This Row],[PNP Début]]=0,0,MIN(H_Aout[[#This Row],[PNP Fin corrigée]],fin_nuit)-MAX(H_Aout[[#This Row],[PNP Début corrigé]],deb_nuit)))*24</f>
        <v>0</v>
      </c>
      <c r="Q35" s="51">
        <f>(IF(WEEKDAY(H_Aout[[#This Row],[Date]],2)=7,MAX(0,MIN(fin_dimJF,H_Aout[[#This Row],[Fin corrigée si nuit]])-MAX(deb_dimJF,H_Aout[[#This Row],[début]])),0)+IF(WEEKDAY(H_Aout[[#This Row],[Date]],2)=6,MAX(0,H_Aout[[#This Row],[Fin corrigée si nuit]]-(1+deb_dimJF)),0))*24</f>
        <v>0</v>
      </c>
      <c r="R35"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5" s="51">
        <f>(IF(COUNTIF(JF,H_Aout[[#This Row],[Date]]),MAX(0,MIN(fin_dimJF,H_Aout[[#This Row],[Fin corrigée si nuit]])-MAX(deb_dimJF,H_Aout[[#This Row],[début]])),0)+IF(COUNTIF(JF,H_Aout[[#This Row],[Date]]+1),MAX(0,H_Aout[[#This Row],[Fin corrigée si nuit]]-(1+deb_dimJF)),0))*24</f>
        <v>0</v>
      </c>
      <c r="T35"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6" spans="1:20" x14ac:dyDescent="0.3">
      <c r="A36" s="4"/>
      <c r="B36" s="1"/>
      <c r="C36" s="2"/>
      <c r="D36" s="2"/>
      <c r="E36" s="3"/>
      <c r="F36" s="3"/>
      <c r="G36" s="3"/>
      <c r="H36" s="3"/>
      <c r="I36" s="47">
        <f>0.1*(H_Aout[[#This Row],[Heures de nuit]]+IF(H_Aout[[#This Row],[majoration dim &amp; JF]]="non",0,H_Aout[[#This Row],[heures jour dimanche]]+H_Aout[[#This Row],[heures jour fériés]]))</f>
        <v>0</v>
      </c>
      <c r="J36" s="48">
        <f>(MOD(H_Aout[[#This Row],[Fin]]-H_Aout[[#This Row],[début]],1)-MOD(H_Aout[[#This Row],[PNP Fin]]-H_Aout[[#This Row],[PNP Début]],1))*24</f>
        <v>0</v>
      </c>
      <c r="K36" s="119" t="str">
        <f>IFERROR(VLOOKUP(H_Aout[[#This Row],[Service]],Codes[],4,0),"")</f>
        <v/>
      </c>
      <c r="L36" s="49">
        <f>IF(H_Aout[[#This Row],[PNP Début]]=0,0,IF(H_Aout[[#This Row],[PNP Début]]&lt;H_Aout[[#This Row],[début]],1,0)+H_Aout[[#This Row],[PNP Début]])</f>
        <v>0</v>
      </c>
      <c r="M36" s="50">
        <f>IF(H_Aout[[#This Row],[PNP Fin]]=0,0,IF(H_Aout[[#This Row],[PNP Fin]]&lt;H_Aout[[#This Row],[début]],1,0)+H_Aout[[#This Row],[PNP Fin]])</f>
        <v>0</v>
      </c>
      <c r="N36" s="50">
        <f>IF(H_Aout[[#This Row],[Fin]]&lt;H_Aout[[#This Row],[début]],1,0)+H_Aout[[#This Row],[Fin]]</f>
        <v>0</v>
      </c>
      <c r="O36" s="31">
        <f>IF(H_Aout[[#This Row],[Fin]]&lt;H_Aout[[#This Row],[début]],MAX(0,MIN(H_Aout[[#This Row],[Fin corrigée si nuit]],fin_nuit)-MAX(H_Aout[[#This Row],[début]],deb_nuit))*24,(MAX(deb_nuit,H_Aout[[#This Row],[Fin]])-MAX(deb_nuit,H_Aout[[#This Row],[début]])+MAX(MIN(fin_nuit-1,H_Aout[[#This Row],[Fin]])-MIN(fin_nuit-1,H_Aout[[#This Row],[début]]),0))*24)</f>
        <v>0</v>
      </c>
      <c r="P36" s="51">
        <f>(MAX(0,MIN(H_Aout[[#This Row],[Fin corrigée si nuit]],fin_nuit)-MAX(H_Aout[[#This Row],[début]],deb_nuit))-IF(H_Aout[[#This Row],[PNP Début]]=0,0,MIN(H_Aout[[#This Row],[PNP Fin corrigée]],fin_nuit)-MAX(H_Aout[[#This Row],[PNP Début corrigé]],deb_nuit)))*24</f>
        <v>0</v>
      </c>
      <c r="Q36" s="51">
        <f>(IF(WEEKDAY(H_Aout[[#This Row],[Date]],2)=7,MAX(0,MIN(fin_dimJF,H_Aout[[#This Row],[Fin corrigée si nuit]])-MAX(deb_dimJF,H_Aout[[#This Row],[début]])),0)+IF(WEEKDAY(H_Aout[[#This Row],[Date]],2)=6,MAX(0,H_Aout[[#This Row],[Fin corrigée si nuit]]-(1+deb_dimJF)),0))*24</f>
        <v>0</v>
      </c>
      <c r="R36"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6" s="51">
        <f>(IF(COUNTIF(JF,H_Aout[[#This Row],[Date]]),MAX(0,MIN(fin_dimJF,H_Aout[[#This Row],[Fin corrigée si nuit]])-MAX(deb_dimJF,H_Aout[[#This Row],[début]])),0)+IF(COUNTIF(JF,H_Aout[[#This Row],[Date]]+1),MAX(0,H_Aout[[#This Row],[Fin corrigée si nuit]]-(1+deb_dimJF)),0))*24</f>
        <v>0</v>
      </c>
      <c r="T36"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7" spans="1:20" x14ac:dyDescent="0.3">
      <c r="A37" s="4"/>
      <c r="B37" s="1"/>
      <c r="C37" s="2"/>
      <c r="D37" s="2"/>
      <c r="E37" s="3"/>
      <c r="F37" s="3"/>
      <c r="G37" s="3"/>
      <c r="H37" s="3"/>
      <c r="I37" s="47">
        <f>0.1*(H_Aout[[#This Row],[Heures de nuit]]+IF(H_Aout[[#This Row],[majoration dim &amp; JF]]="non",0,H_Aout[[#This Row],[heures jour dimanche]]+H_Aout[[#This Row],[heures jour fériés]]))</f>
        <v>0</v>
      </c>
      <c r="J37" s="48">
        <f>(MOD(H_Aout[[#This Row],[Fin]]-H_Aout[[#This Row],[début]],1)-MOD(H_Aout[[#This Row],[PNP Fin]]-H_Aout[[#This Row],[PNP Début]],1))*24</f>
        <v>0</v>
      </c>
      <c r="K37" s="119" t="str">
        <f>IFERROR(VLOOKUP(H_Aout[[#This Row],[Service]],Codes[],4,0),"")</f>
        <v/>
      </c>
      <c r="L37" s="49">
        <f>IF(H_Aout[[#This Row],[PNP Début]]=0,0,IF(H_Aout[[#This Row],[PNP Début]]&lt;H_Aout[[#This Row],[début]],1,0)+H_Aout[[#This Row],[PNP Début]])</f>
        <v>0</v>
      </c>
      <c r="M37" s="50">
        <f>IF(H_Aout[[#This Row],[PNP Fin]]=0,0,IF(H_Aout[[#This Row],[PNP Fin]]&lt;H_Aout[[#This Row],[début]],1,0)+H_Aout[[#This Row],[PNP Fin]])</f>
        <v>0</v>
      </c>
      <c r="N37" s="50">
        <f>IF(H_Aout[[#This Row],[Fin]]&lt;H_Aout[[#This Row],[début]],1,0)+H_Aout[[#This Row],[Fin]]</f>
        <v>0</v>
      </c>
      <c r="O37" s="31">
        <f>IF(H_Aout[[#This Row],[Fin]]&lt;H_Aout[[#This Row],[début]],MAX(0,MIN(H_Aout[[#This Row],[Fin corrigée si nuit]],fin_nuit)-MAX(H_Aout[[#This Row],[début]],deb_nuit))*24,(MAX(deb_nuit,H_Aout[[#This Row],[Fin]])-MAX(deb_nuit,H_Aout[[#This Row],[début]])+MAX(MIN(fin_nuit-1,H_Aout[[#This Row],[Fin]])-MIN(fin_nuit-1,H_Aout[[#This Row],[début]]),0))*24)</f>
        <v>0</v>
      </c>
      <c r="P37" s="51">
        <f>(MAX(0,MIN(H_Aout[[#This Row],[Fin corrigée si nuit]],fin_nuit)-MAX(H_Aout[[#This Row],[début]],deb_nuit))-IF(H_Aout[[#This Row],[PNP Début]]=0,0,MIN(H_Aout[[#This Row],[PNP Fin corrigée]],fin_nuit)-MAX(H_Aout[[#This Row],[PNP Début corrigé]],deb_nuit)))*24</f>
        <v>0</v>
      </c>
      <c r="Q37" s="51">
        <f>(IF(WEEKDAY(H_Aout[[#This Row],[Date]],2)=7,MAX(0,MIN(fin_dimJF,H_Aout[[#This Row],[Fin corrigée si nuit]])-MAX(deb_dimJF,H_Aout[[#This Row],[début]])),0)+IF(WEEKDAY(H_Aout[[#This Row],[Date]],2)=6,MAX(0,H_Aout[[#This Row],[Fin corrigée si nuit]]-(1+deb_dimJF)),0))*24</f>
        <v>0</v>
      </c>
      <c r="R37"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7" s="51">
        <f>(IF(COUNTIF(JF,H_Aout[[#This Row],[Date]]),MAX(0,MIN(fin_dimJF,H_Aout[[#This Row],[Fin corrigée si nuit]])-MAX(deb_dimJF,H_Aout[[#This Row],[début]])),0)+IF(COUNTIF(JF,H_Aout[[#This Row],[Date]]+1),MAX(0,H_Aout[[#This Row],[Fin corrigée si nuit]]-(1+deb_dimJF)),0))*24</f>
        <v>0</v>
      </c>
      <c r="T37"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8" spans="1:20" x14ac:dyDescent="0.3">
      <c r="A38" s="4"/>
      <c r="B38" s="1"/>
      <c r="C38" s="2"/>
      <c r="D38" s="2"/>
      <c r="E38" s="3"/>
      <c r="F38" s="3"/>
      <c r="G38" s="3"/>
      <c r="H38" s="3"/>
      <c r="I38" s="47">
        <f>0.1*(H_Aout[[#This Row],[Heures de nuit]]+IF(H_Aout[[#This Row],[majoration dim &amp; JF]]="non",0,H_Aout[[#This Row],[heures jour dimanche]]+H_Aout[[#This Row],[heures jour fériés]]))</f>
        <v>0</v>
      </c>
      <c r="J38" s="48">
        <f>(MOD(H_Aout[[#This Row],[Fin]]-H_Aout[[#This Row],[début]],1)-MOD(H_Aout[[#This Row],[PNP Fin]]-H_Aout[[#This Row],[PNP Début]],1))*24</f>
        <v>0</v>
      </c>
      <c r="K38" s="119" t="str">
        <f>IFERROR(VLOOKUP(H_Aout[[#This Row],[Service]],Codes[],4,0),"")</f>
        <v/>
      </c>
      <c r="L38" s="49">
        <f>IF(H_Aout[[#This Row],[PNP Début]]=0,0,IF(H_Aout[[#This Row],[PNP Début]]&lt;H_Aout[[#This Row],[début]],1,0)+H_Aout[[#This Row],[PNP Début]])</f>
        <v>0</v>
      </c>
      <c r="M38" s="50">
        <f>IF(H_Aout[[#This Row],[PNP Fin]]=0,0,IF(H_Aout[[#This Row],[PNP Fin]]&lt;H_Aout[[#This Row],[début]],1,0)+H_Aout[[#This Row],[PNP Fin]])</f>
        <v>0</v>
      </c>
      <c r="N38" s="50">
        <f>IF(H_Aout[[#This Row],[Fin]]&lt;H_Aout[[#This Row],[début]],1,0)+H_Aout[[#This Row],[Fin]]</f>
        <v>0</v>
      </c>
      <c r="O38" s="31">
        <f>IF(H_Aout[[#This Row],[Fin]]&lt;H_Aout[[#This Row],[début]],MAX(0,MIN(H_Aout[[#This Row],[Fin corrigée si nuit]],fin_nuit)-MAX(H_Aout[[#This Row],[début]],deb_nuit))*24,(MAX(deb_nuit,H_Aout[[#This Row],[Fin]])-MAX(deb_nuit,H_Aout[[#This Row],[début]])+MAX(MIN(fin_nuit-1,H_Aout[[#This Row],[Fin]])-MIN(fin_nuit-1,H_Aout[[#This Row],[début]]),0))*24)</f>
        <v>0</v>
      </c>
      <c r="P38" s="51">
        <f>(MAX(0,MIN(H_Aout[[#This Row],[Fin corrigée si nuit]],fin_nuit)-MAX(H_Aout[[#This Row],[début]],deb_nuit))-IF(H_Aout[[#This Row],[PNP Début]]=0,0,MIN(H_Aout[[#This Row],[PNP Fin corrigée]],fin_nuit)-MAX(H_Aout[[#This Row],[PNP Début corrigé]],deb_nuit)))*24</f>
        <v>0</v>
      </c>
      <c r="Q38" s="51">
        <f>(IF(WEEKDAY(H_Aout[[#This Row],[Date]],2)=7,MAX(0,MIN(fin_dimJF,H_Aout[[#This Row],[Fin corrigée si nuit]])-MAX(deb_dimJF,H_Aout[[#This Row],[début]])),0)+IF(WEEKDAY(H_Aout[[#This Row],[Date]],2)=6,MAX(0,H_Aout[[#This Row],[Fin corrigée si nuit]]-(1+deb_dimJF)),0))*24</f>
        <v>0</v>
      </c>
      <c r="R38"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8" s="51">
        <f>(IF(COUNTIF(JF,H_Aout[[#This Row],[Date]]),MAX(0,MIN(fin_dimJF,H_Aout[[#This Row],[Fin corrigée si nuit]])-MAX(deb_dimJF,H_Aout[[#This Row],[début]])),0)+IF(COUNTIF(JF,H_Aout[[#This Row],[Date]]+1),MAX(0,H_Aout[[#This Row],[Fin corrigée si nuit]]-(1+deb_dimJF)),0))*24</f>
        <v>0</v>
      </c>
      <c r="T38"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39" spans="1:20" x14ac:dyDescent="0.3">
      <c r="A39" s="4"/>
      <c r="B39" s="1"/>
      <c r="C39" s="2"/>
      <c r="D39" s="2"/>
      <c r="E39" s="3"/>
      <c r="F39" s="3"/>
      <c r="G39" s="3"/>
      <c r="H39" s="3"/>
      <c r="I39" s="47">
        <f>0.1*(H_Aout[[#This Row],[Heures de nuit]]+IF(H_Aout[[#This Row],[majoration dim &amp; JF]]="non",0,H_Aout[[#This Row],[heures jour dimanche]]+H_Aout[[#This Row],[heures jour fériés]]))</f>
        <v>0</v>
      </c>
      <c r="J39" s="48">
        <f>(MOD(H_Aout[[#This Row],[Fin]]-H_Aout[[#This Row],[début]],1)-MOD(H_Aout[[#This Row],[PNP Fin]]-H_Aout[[#This Row],[PNP Début]],1))*24</f>
        <v>0</v>
      </c>
      <c r="K39" s="119" t="str">
        <f>IFERROR(VLOOKUP(H_Aout[[#This Row],[Service]],Codes[],4,0),"")</f>
        <v/>
      </c>
      <c r="L39" s="49">
        <f>IF(H_Aout[[#This Row],[PNP Début]]=0,0,IF(H_Aout[[#This Row],[PNP Début]]&lt;H_Aout[[#This Row],[début]],1,0)+H_Aout[[#This Row],[PNP Début]])</f>
        <v>0</v>
      </c>
      <c r="M39" s="50">
        <f>IF(H_Aout[[#This Row],[PNP Fin]]=0,0,IF(H_Aout[[#This Row],[PNP Fin]]&lt;H_Aout[[#This Row],[début]],1,0)+H_Aout[[#This Row],[PNP Fin]])</f>
        <v>0</v>
      </c>
      <c r="N39" s="50">
        <f>IF(H_Aout[[#This Row],[Fin]]&lt;H_Aout[[#This Row],[début]],1,0)+H_Aout[[#This Row],[Fin]]</f>
        <v>0</v>
      </c>
      <c r="O39" s="31">
        <f>IF(H_Aout[[#This Row],[Fin]]&lt;H_Aout[[#This Row],[début]],MAX(0,MIN(H_Aout[[#This Row],[Fin corrigée si nuit]],fin_nuit)-MAX(H_Aout[[#This Row],[début]],deb_nuit))*24,(MAX(deb_nuit,H_Aout[[#This Row],[Fin]])-MAX(deb_nuit,H_Aout[[#This Row],[début]])+MAX(MIN(fin_nuit-1,H_Aout[[#This Row],[Fin]])-MIN(fin_nuit-1,H_Aout[[#This Row],[début]]),0))*24)</f>
        <v>0</v>
      </c>
      <c r="P39" s="51">
        <f>(MAX(0,MIN(H_Aout[[#This Row],[Fin corrigée si nuit]],fin_nuit)-MAX(H_Aout[[#This Row],[début]],deb_nuit))-IF(H_Aout[[#This Row],[PNP Début]]=0,0,MIN(H_Aout[[#This Row],[PNP Fin corrigée]],fin_nuit)-MAX(H_Aout[[#This Row],[PNP Début corrigé]],deb_nuit)))*24</f>
        <v>0</v>
      </c>
      <c r="Q39" s="51">
        <f>(IF(WEEKDAY(H_Aout[[#This Row],[Date]],2)=7,MAX(0,MIN(fin_dimJF,H_Aout[[#This Row],[Fin corrigée si nuit]])-MAX(deb_dimJF,H_Aout[[#This Row],[début]])),0)+IF(WEEKDAY(H_Aout[[#This Row],[Date]],2)=6,MAX(0,H_Aout[[#This Row],[Fin corrigée si nuit]]-(1+deb_dimJF)),0))*24</f>
        <v>0</v>
      </c>
      <c r="R39"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39" s="51">
        <f>(IF(COUNTIF(JF,H_Aout[[#This Row],[Date]]),MAX(0,MIN(fin_dimJF,H_Aout[[#This Row],[Fin corrigée si nuit]])-MAX(deb_dimJF,H_Aout[[#This Row],[début]])),0)+IF(COUNTIF(JF,H_Aout[[#This Row],[Date]]+1),MAX(0,H_Aout[[#This Row],[Fin corrigée si nuit]]-(1+deb_dimJF)),0))*24</f>
        <v>0</v>
      </c>
      <c r="T39"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0" spans="1:20" x14ac:dyDescent="0.3">
      <c r="A40" s="4"/>
      <c r="B40" s="1"/>
      <c r="C40" s="2"/>
      <c r="D40" s="2"/>
      <c r="E40" s="3"/>
      <c r="F40" s="3"/>
      <c r="G40" s="3"/>
      <c r="H40" s="3"/>
      <c r="I40" s="47">
        <f>0.1*(H_Aout[[#This Row],[Heures de nuit]]+IF(H_Aout[[#This Row],[majoration dim &amp; JF]]="non",0,H_Aout[[#This Row],[heures jour dimanche]]+H_Aout[[#This Row],[heures jour fériés]]))</f>
        <v>0</v>
      </c>
      <c r="J40" s="48">
        <f>(MOD(H_Aout[[#This Row],[Fin]]-H_Aout[[#This Row],[début]],1)-MOD(H_Aout[[#This Row],[PNP Fin]]-H_Aout[[#This Row],[PNP Début]],1))*24</f>
        <v>0</v>
      </c>
      <c r="K40" s="119" t="str">
        <f>IFERROR(VLOOKUP(H_Aout[[#This Row],[Service]],Codes[],4,0),"")</f>
        <v/>
      </c>
      <c r="L40" s="49">
        <f>IF(H_Aout[[#This Row],[PNP Début]]=0,0,IF(H_Aout[[#This Row],[PNP Début]]&lt;H_Aout[[#This Row],[début]],1,0)+H_Aout[[#This Row],[PNP Début]])</f>
        <v>0</v>
      </c>
      <c r="M40" s="50">
        <f>IF(H_Aout[[#This Row],[PNP Fin]]=0,0,IF(H_Aout[[#This Row],[PNP Fin]]&lt;H_Aout[[#This Row],[début]],1,0)+H_Aout[[#This Row],[PNP Fin]])</f>
        <v>0</v>
      </c>
      <c r="N40" s="50">
        <f>IF(H_Aout[[#This Row],[Fin]]&lt;H_Aout[[#This Row],[début]],1,0)+H_Aout[[#This Row],[Fin]]</f>
        <v>0</v>
      </c>
      <c r="O40" s="31">
        <f>IF(H_Aout[[#This Row],[Fin]]&lt;H_Aout[[#This Row],[début]],MAX(0,MIN(H_Aout[[#This Row],[Fin corrigée si nuit]],fin_nuit)-MAX(H_Aout[[#This Row],[début]],deb_nuit))*24,(MAX(deb_nuit,H_Aout[[#This Row],[Fin]])-MAX(deb_nuit,H_Aout[[#This Row],[début]])+MAX(MIN(fin_nuit-1,H_Aout[[#This Row],[Fin]])-MIN(fin_nuit-1,H_Aout[[#This Row],[début]]),0))*24)</f>
        <v>0</v>
      </c>
      <c r="P40" s="51">
        <f>(MAX(0,MIN(H_Aout[[#This Row],[Fin corrigée si nuit]],fin_nuit)-MAX(H_Aout[[#This Row],[début]],deb_nuit))-IF(H_Aout[[#This Row],[PNP Début]]=0,0,MIN(H_Aout[[#This Row],[PNP Fin corrigée]],fin_nuit)-MAX(H_Aout[[#This Row],[PNP Début corrigé]],deb_nuit)))*24</f>
        <v>0</v>
      </c>
      <c r="Q40" s="51">
        <f>(IF(WEEKDAY(H_Aout[[#This Row],[Date]],2)=7,MAX(0,MIN(fin_dimJF,H_Aout[[#This Row],[Fin corrigée si nuit]])-MAX(deb_dimJF,H_Aout[[#This Row],[début]])),0)+IF(WEEKDAY(H_Aout[[#This Row],[Date]],2)=6,MAX(0,H_Aout[[#This Row],[Fin corrigée si nuit]]-(1+deb_dimJF)),0))*24</f>
        <v>0</v>
      </c>
      <c r="R40"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0" s="51">
        <f>(IF(COUNTIF(JF,H_Aout[[#This Row],[Date]]),MAX(0,MIN(fin_dimJF,H_Aout[[#This Row],[Fin corrigée si nuit]])-MAX(deb_dimJF,H_Aout[[#This Row],[début]])),0)+IF(COUNTIF(JF,H_Aout[[#This Row],[Date]]+1),MAX(0,H_Aout[[#This Row],[Fin corrigée si nuit]]-(1+deb_dimJF)),0))*24</f>
        <v>0</v>
      </c>
      <c r="T40"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1" spans="1:20" x14ac:dyDescent="0.3">
      <c r="A41" s="4"/>
      <c r="B41" s="1"/>
      <c r="C41" s="2"/>
      <c r="D41" s="2"/>
      <c r="E41" s="3"/>
      <c r="F41" s="3"/>
      <c r="G41" s="3"/>
      <c r="H41" s="3"/>
      <c r="I41" s="47">
        <f>0.1*(H_Aout[[#This Row],[Heures de nuit]]+IF(H_Aout[[#This Row],[majoration dim &amp; JF]]="non",0,H_Aout[[#This Row],[heures jour dimanche]]+H_Aout[[#This Row],[heures jour fériés]]))</f>
        <v>0</v>
      </c>
      <c r="J41" s="48">
        <f>(MOD(H_Aout[[#This Row],[Fin]]-H_Aout[[#This Row],[début]],1)-MOD(H_Aout[[#This Row],[PNP Fin]]-H_Aout[[#This Row],[PNP Début]],1))*24</f>
        <v>0</v>
      </c>
      <c r="K41" s="119" t="str">
        <f>IFERROR(VLOOKUP(H_Aout[[#This Row],[Service]],Codes[],4,0),"")</f>
        <v/>
      </c>
      <c r="L41" s="49">
        <f>IF(H_Aout[[#This Row],[PNP Début]]=0,0,IF(H_Aout[[#This Row],[PNP Début]]&lt;H_Aout[[#This Row],[début]],1,0)+H_Aout[[#This Row],[PNP Début]])</f>
        <v>0</v>
      </c>
      <c r="M41" s="50">
        <f>IF(H_Aout[[#This Row],[PNP Fin]]=0,0,IF(H_Aout[[#This Row],[PNP Fin]]&lt;H_Aout[[#This Row],[début]],1,0)+H_Aout[[#This Row],[PNP Fin]])</f>
        <v>0</v>
      </c>
      <c r="N41" s="50">
        <f>IF(H_Aout[[#This Row],[Fin]]&lt;H_Aout[[#This Row],[début]],1,0)+H_Aout[[#This Row],[Fin]]</f>
        <v>0</v>
      </c>
      <c r="O41" s="31">
        <f>IF(H_Aout[[#This Row],[Fin]]&lt;H_Aout[[#This Row],[début]],MAX(0,MIN(H_Aout[[#This Row],[Fin corrigée si nuit]],fin_nuit)-MAX(H_Aout[[#This Row],[début]],deb_nuit))*24,(MAX(deb_nuit,H_Aout[[#This Row],[Fin]])-MAX(deb_nuit,H_Aout[[#This Row],[début]])+MAX(MIN(fin_nuit-1,H_Aout[[#This Row],[Fin]])-MIN(fin_nuit-1,H_Aout[[#This Row],[début]]),0))*24)</f>
        <v>0</v>
      </c>
      <c r="P41" s="51">
        <f>(MAX(0,MIN(H_Aout[[#This Row],[Fin corrigée si nuit]],fin_nuit)-MAX(H_Aout[[#This Row],[début]],deb_nuit))-IF(H_Aout[[#This Row],[PNP Début]]=0,0,MIN(H_Aout[[#This Row],[PNP Fin corrigée]],fin_nuit)-MAX(H_Aout[[#This Row],[PNP Début corrigé]],deb_nuit)))*24</f>
        <v>0</v>
      </c>
      <c r="Q41" s="51">
        <f>(IF(WEEKDAY(H_Aout[[#This Row],[Date]],2)=7,MAX(0,MIN(fin_dimJF,H_Aout[[#This Row],[Fin corrigée si nuit]])-MAX(deb_dimJF,H_Aout[[#This Row],[début]])),0)+IF(WEEKDAY(H_Aout[[#This Row],[Date]],2)=6,MAX(0,H_Aout[[#This Row],[Fin corrigée si nuit]]-(1+deb_dimJF)),0))*24</f>
        <v>0</v>
      </c>
      <c r="R41"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1" s="51">
        <f>(IF(COUNTIF(JF,H_Aout[[#This Row],[Date]]),MAX(0,MIN(fin_dimJF,H_Aout[[#This Row],[Fin corrigée si nuit]])-MAX(deb_dimJF,H_Aout[[#This Row],[début]])),0)+IF(COUNTIF(JF,H_Aout[[#This Row],[Date]]+1),MAX(0,H_Aout[[#This Row],[Fin corrigée si nuit]]-(1+deb_dimJF)),0))*24</f>
        <v>0</v>
      </c>
      <c r="T41"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2" spans="1:20" x14ac:dyDescent="0.3">
      <c r="A42" s="4"/>
      <c r="B42" s="1"/>
      <c r="C42" s="2"/>
      <c r="D42" s="2"/>
      <c r="E42" s="3"/>
      <c r="F42" s="3"/>
      <c r="G42" s="3"/>
      <c r="H42" s="3"/>
      <c r="I42" s="47">
        <f>0.1*(H_Aout[[#This Row],[Heures de nuit]]+IF(H_Aout[[#This Row],[majoration dim &amp; JF]]="non",0,H_Aout[[#This Row],[heures jour dimanche]]+H_Aout[[#This Row],[heures jour fériés]]))</f>
        <v>0</v>
      </c>
      <c r="J42" s="48">
        <f>(MOD(H_Aout[[#This Row],[Fin]]-H_Aout[[#This Row],[début]],1)-MOD(H_Aout[[#This Row],[PNP Fin]]-H_Aout[[#This Row],[PNP Début]],1))*24</f>
        <v>0</v>
      </c>
      <c r="K42" s="119" t="str">
        <f>IFERROR(VLOOKUP(H_Aout[[#This Row],[Service]],Codes[],4,0),"")</f>
        <v/>
      </c>
      <c r="L42" s="49">
        <f>IF(H_Aout[[#This Row],[PNP Début]]=0,0,IF(H_Aout[[#This Row],[PNP Début]]&lt;H_Aout[[#This Row],[début]],1,0)+H_Aout[[#This Row],[PNP Début]])</f>
        <v>0</v>
      </c>
      <c r="M42" s="50">
        <f>IF(H_Aout[[#This Row],[PNP Fin]]=0,0,IF(H_Aout[[#This Row],[PNP Fin]]&lt;H_Aout[[#This Row],[début]],1,0)+H_Aout[[#This Row],[PNP Fin]])</f>
        <v>0</v>
      </c>
      <c r="N42" s="50">
        <f>IF(H_Aout[[#This Row],[Fin]]&lt;H_Aout[[#This Row],[début]],1,0)+H_Aout[[#This Row],[Fin]]</f>
        <v>0</v>
      </c>
      <c r="O42" s="31">
        <f>IF(H_Aout[[#This Row],[Fin]]&lt;H_Aout[[#This Row],[début]],MAX(0,MIN(H_Aout[[#This Row],[Fin corrigée si nuit]],fin_nuit)-MAX(H_Aout[[#This Row],[début]],deb_nuit))*24,(MAX(deb_nuit,H_Aout[[#This Row],[Fin]])-MAX(deb_nuit,H_Aout[[#This Row],[début]])+MAX(MIN(fin_nuit-1,H_Aout[[#This Row],[Fin]])-MIN(fin_nuit-1,H_Aout[[#This Row],[début]]),0))*24)</f>
        <v>0</v>
      </c>
      <c r="P42" s="51">
        <f>(MAX(0,MIN(H_Aout[[#This Row],[Fin corrigée si nuit]],fin_nuit)-MAX(H_Aout[[#This Row],[début]],deb_nuit))-IF(H_Aout[[#This Row],[PNP Début]]=0,0,MIN(H_Aout[[#This Row],[PNP Fin corrigée]],fin_nuit)-MAX(H_Aout[[#This Row],[PNP Début corrigé]],deb_nuit)))*24</f>
        <v>0</v>
      </c>
      <c r="Q42" s="51">
        <f>(IF(WEEKDAY(H_Aout[[#This Row],[Date]],2)=7,MAX(0,MIN(fin_dimJF,H_Aout[[#This Row],[Fin corrigée si nuit]])-MAX(deb_dimJF,H_Aout[[#This Row],[début]])),0)+IF(WEEKDAY(H_Aout[[#This Row],[Date]],2)=6,MAX(0,H_Aout[[#This Row],[Fin corrigée si nuit]]-(1+deb_dimJF)),0))*24</f>
        <v>0</v>
      </c>
      <c r="R42"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2" s="51">
        <f>(IF(COUNTIF(JF,H_Aout[[#This Row],[Date]]),MAX(0,MIN(fin_dimJF,H_Aout[[#This Row],[Fin corrigée si nuit]])-MAX(deb_dimJF,H_Aout[[#This Row],[début]])),0)+IF(COUNTIF(JF,H_Aout[[#This Row],[Date]]+1),MAX(0,H_Aout[[#This Row],[Fin corrigée si nuit]]-(1+deb_dimJF)),0))*24</f>
        <v>0</v>
      </c>
      <c r="T42"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3" spans="1:20" x14ac:dyDescent="0.3">
      <c r="A43" s="4"/>
      <c r="B43" s="1"/>
      <c r="C43" s="2"/>
      <c r="D43" s="2"/>
      <c r="E43" s="3"/>
      <c r="F43" s="3"/>
      <c r="G43" s="3"/>
      <c r="H43" s="3"/>
      <c r="I43" s="47">
        <f>0.1*(H_Aout[[#This Row],[Heures de nuit]]+IF(H_Aout[[#This Row],[majoration dim &amp; JF]]="non",0,H_Aout[[#This Row],[heures jour dimanche]]+H_Aout[[#This Row],[heures jour fériés]]))</f>
        <v>0</v>
      </c>
      <c r="J43" s="48">
        <f>(MOD(H_Aout[[#This Row],[Fin]]-H_Aout[[#This Row],[début]],1)-MOD(H_Aout[[#This Row],[PNP Fin]]-H_Aout[[#This Row],[PNP Début]],1))*24</f>
        <v>0</v>
      </c>
      <c r="K43" s="119" t="str">
        <f>IFERROR(VLOOKUP(H_Aout[[#This Row],[Service]],Codes[],4,0),"")</f>
        <v/>
      </c>
      <c r="L43" s="49">
        <f>IF(H_Aout[[#This Row],[PNP Début]]=0,0,IF(H_Aout[[#This Row],[PNP Début]]&lt;H_Aout[[#This Row],[début]],1,0)+H_Aout[[#This Row],[PNP Début]])</f>
        <v>0</v>
      </c>
      <c r="M43" s="50">
        <f>IF(H_Aout[[#This Row],[PNP Fin]]=0,0,IF(H_Aout[[#This Row],[PNP Fin]]&lt;H_Aout[[#This Row],[début]],1,0)+H_Aout[[#This Row],[PNP Fin]])</f>
        <v>0</v>
      </c>
      <c r="N43" s="50">
        <f>IF(H_Aout[[#This Row],[Fin]]&lt;H_Aout[[#This Row],[début]],1,0)+H_Aout[[#This Row],[Fin]]</f>
        <v>0</v>
      </c>
      <c r="O43" s="31">
        <f>IF(H_Aout[[#This Row],[Fin]]&lt;H_Aout[[#This Row],[début]],MAX(0,MIN(H_Aout[[#This Row],[Fin corrigée si nuit]],fin_nuit)-MAX(H_Aout[[#This Row],[début]],deb_nuit))*24,(MAX(deb_nuit,H_Aout[[#This Row],[Fin]])-MAX(deb_nuit,H_Aout[[#This Row],[début]])+MAX(MIN(fin_nuit-1,H_Aout[[#This Row],[Fin]])-MIN(fin_nuit-1,H_Aout[[#This Row],[début]]),0))*24)</f>
        <v>0</v>
      </c>
      <c r="P43" s="51">
        <f>(MAX(0,MIN(H_Aout[[#This Row],[Fin corrigée si nuit]],fin_nuit)-MAX(H_Aout[[#This Row],[début]],deb_nuit))-IF(H_Aout[[#This Row],[PNP Début]]=0,0,MIN(H_Aout[[#This Row],[PNP Fin corrigée]],fin_nuit)-MAX(H_Aout[[#This Row],[PNP Début corrigé]],deb_nuit)))*24</f>
        <v>0</v>
      </c>
      <c r="Q43" s="51">
        <f>(IF(WEEKDAY(H_Aout[[#This Row],[Date]],2)=7,MAX(0,MIN(fin_dimJF,H_Aout[[#This Row],[Fin corrigée si nuit]])-MAX(deb_dimJF,H_Aout[[#This Row],[début]])),0)+IF(WEEKDAY(H_Aout[[#This Row],[Date]],2)=6,MAX(0,H_Aout[[#This Row],[Fin corrigée si nuit]]-(1+deb_dimJF)),0))*24</f>
        <v>0</v>
      </c>
      <c r="R43"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3" s="51">
        <f>(IF(COUNTIF(JF,H_Aout[[#This Row],[Date]]),MAX(0,MIN(fin_dimJF,H_Aout[[#This Row],[Fin corrigée si nuit]])-MAX(deb_dimJF,H_Aout[[#This Row],[début]])),0)+IF(COUNTIF(JF,H_Aout[[#This Row],[Date]]+1),MAX(0,H_Aout[[#This Row],[Fin corrigée si nuit]]-(1+deb_dimJF)),0))*24</f>
        <v>0</v>
      </c>
      <c r="T43"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4" spans="1:20" x14ac:dyDescent="0.3">
      <c r="A44" s="4"/>
      <c r="B44" s="1"/>
      <c r="C44" s="2"/>
      <c r="D44" s="2"/>
      <c r="E44" s="3"/>
      <c r="F44" s="3"/>
      <c r="G44" s="3"/>
      <c r="H44" s="3"/>
      <c r="I44" s="47">
        <f>0.1*(H_Aout[[#This Row],[Heures de nuit]]+IF(H_Aout[[#This Row],[majoration dim &amp; JF]]="non",0,H_Aout[[#This Row],[heures jour dimanche]]+H_Aout[[#This Row],[heures jour fériés]]))</f>
        <v>0</v>
      </c>
      <c r="J44" s="48">
        <f>(MOD(H_Aout[[#This Row],[Fin]]-H_Aout[[#This Row],[début]],1)-MOD(H_Aout[[#This Row],[PNP Fin]]-H_Aout[[#This Row],[PNP Début]],1))*24</f>
        <v>0</v>
      </c>
      <c r="K44" s="119" t="str">
        <f>IFERROR(VLOOKUP(H_Aout[[#This Row],[Service]],Codes[],4,0),"")</f>
        <v/>
      </c>
      <c r="L44" s="49">
        <f>IF(H_Aout[[#This Row],[PNP Début]]=0,0,IF(H_Aout[[#This Row],[PNP Début]]&lt;H_Aout[[#This Row],[début]],1,0)+H_Aout[[#This Row],[PNP Début]])</f>
        <v>0</v>
      </c>
      <c r="M44" s="50">
        <f>IF(H_Aout[[#This Row],[PNP Fin]]=0,0,IF(H_Aout[[#This Row],[PNP Fin]]&lt;H_Aout[[#This Row],[début]],1,0)+H_Aout[[#This Row],[PNP Fin]])</f>
        <v>0</v>
      </c>
      <c r="N44" s="50">
        <f>IF(H_Aout[[#This Row],[Fin]]&lt;H_Aout[[#This Row],[début]],1,0)+H_Aout[[#This Row],[Fin]]</f>
        <v>0</v>
      </c>
      <c r="O44" s="31">
        <f>IF(H_Aout[[#This Row],[Fin]]&lt;H_Aout[[#This Row],[début]],MAX(0,MIN(H_Aout[[#This Row],[Fin corrigée si nuit]],fin_nuit)-MAX(H_Aout[[#This Row],[début]],deb_nuit))*24,(MAX(deb_nuit,H_Aout[[#This Row],[Fin]])-MAX(deb_nuit,H_Aout[[#This Row],[début]])+MAX(MIN(fin_nuit-1,H_Aout[[#This Row],[Fin]])-MIN(fin_nuit-1,H_Aout[[#This Row],[début]]),0))*24)</f>
        <v>0</v>
      </c>
      <c r="P44" s="51">
        <f>(MAX(0,MIN(H_Aout[[#This Row],[Fin corrigée si nuit]],fin_nuit)-MAX(H_Aout[[#This Row],[début]],deb_nuit))-IF(H_Aout[[#This Row],[PNP Début]]=0,0,MIN(H_Aout[[#This Row],[PNP Fin corrigée]],fin_nuit)-MAX(H_Aout[[#This Row],[PNP Début corrigé]],deb_nuit)))*24</f>
        <v>0</v>
      </c>
      <c r="Q44" s="51">
        <f>(IF(WEEKDAY(H_Aout[[#This Row],[Date]],2)=7,MAX(0,MIN(fin_dimJF,H_Aout[[#This Row],[Fin corrigée si nuit]])-MAX(deb_dimJF,H_Aout[[#This Row],[début]])),0)+IF(WEEKDAY(H_Aout[[#This Row],[Date]],2)=6,MAX(0,H_Aout[[#This Row],[Fin corrigée si nuit]]-(1+deb_dimJF)),0))*24</f>
        <v>0</v>
      </c>
      <c r="R44"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4" s="51">
        <f>(IF(COUNTIF(JF,H_Aout[[#This Row],[Date]]),MAX(0,MIN(fin_dimJF,H_Aout[[#This Row],[Fin corrigée si nuit]])-MAX(deb_dimJF,H_Aout[[#This Row],[début]])),0)+IF(COUNTIF(JF,H_Aout[[#This Row],[Date]]+1),MAX(0,H_Aout[[#This Row],[Fin corrigée si nuit]]-(1+deb_dimJF)),0))*24</f>
        <v>0</v>
      </c>
      <c r="T44"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5" spans="1:20" x14ac:dyDescent="0.3">
      <c r="A45" s="4"/>
      <c r="B45" s="1"/>
      <c r="C45" s="2"/>
      <c r="D45" s="2"/>
      <c r="E45" s="3"/>
      <c r="F45" s="3"/>
      <c r="G45" s="3"/>
      <c r="H45" s="3"/>
      <c r="I45" s="47">
        <f>0.1*(H_Aout[[#This Row],[Heures de nuit]]+IF(H_Aout[[#This Row],[majoration dim &amp; JF]]="non",0,H_Aout[[#This Row],[heures jour dimanche]]+H_Aout[[#This Row],[heures jour fériés]]))</f>
        <v>0</v>
      </c>
      <c r="J45" s="48">
        <f>(MOD(H_Aout[[#This Row],[Fin]]-H_Aout[[#This Row],[début]],1)-MOD(H_Aout[[#This Row],[PNP Fin]]-H_Aout[[#This Row],[PNP Début]],1))*24</f>
        <v>0</v>
      </c>
      <c r="K45" s="119" t="str">
        <f>IFERROR(VLOOKUP(H_Aout[[#This Row],[Service]],Codes[],4,0),"")</f>
        <v/>
      </c>
      <c r="L45" s="49">
        <f>IF(H_Aout[[#This Row],[PNP Début]]=0,0,IF(H_Aout[[#This Row],[PNP Début]]&lt;H_Aout[[#This Row],[début]],1,0)+H_Aout[[#This Row],[PNP Début]])</f>
        <v>0</v>
      </c>
      <c r="M45" s="50">
        <f>IF(H_Aout[[#This Row],[PNP Fin]]=0,0,IF(H_Aout[[#This Row],[PNP Fin]]&lt;H_Aout[[#This Row],[début]],1,0)+H_Aout[[#This Row],[PNP Fin]])</f>
        <v>0</v>
      </c>
      <c r="N45" s="50">
        <f>IF(H_Aout[[#This Row],[Fin]]&lt;H_Aout[[#This Row],[début]],1,0)+H_Aout[[#This Row],[Fin]]</f>
        <v>0</v>
      </c>
      <c r="O45" s="31">
        <f>IF(H_Aout[[#This Row],[Fin]]&lt;H_Aout[[#This Row],[début]],MAX(0,MIN(H_Aout[[#This Row],[Fin corrigée si nuit]],fin_nuit)-MAX(H_Aout[[#This Row],[début]],deb_nuit))*24,(MAX(deb_nuit,H_Aout[[#This Row],[Fin]])-MAX(deb_nuit,H_Aout[[#This Row],[début]])+MAX(MIN(fin_nuit-1,H_Aout[[#This Row],[Fin]])-MIN(fin_nuit-1,H_Aout[[#This Row],[début]]),0))*24)</f>
        <v>0</v>
      </c>
      <c r="P45" s="51">
        <f>(MAX(0,MIN(H_Aout[[#This Row],[Fin corrigée si nuit]],fin_nuit)-MAX(H_Aout[[#This Row],[début]],deb_nuit))-IF(H_Aout[[#This Row],[PNP Début]]=0,0,MIN(H_Aout[[#This Row],[PNP Fin corrigée]],fin_nuit)-MAX(H_Aout[[#This Row],[PNP Début corrigé]],deb_nuit)))*24</f>
        <v>0</v>
      </c>
      <c r="Q45" s="51">
        <f>(IF(WEEKDAY(H_Aout[[#This Row],[Date]],2)=7,MAX(0,MIN(fin_dimJF,H_Aout[[#This Row],[Fin corrigée si nuit]])-MAX(deb_dimJF,H_Aout[[#This Row],[début]])),0)+IF(WEEKDAY(H_Aout[[#This Row],[Date]],2)=6,MAX(0,H_Aout[[#This Row],[Fin corrigée si nuit]]-(1+deb_dimJF)),0))*24</f>
        <v>0</v>
      </c>
      <c r="R45"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5" s="51">
        <f>(IF(COUNTIF(JF,H_Aout[[#This Row],[Date]]),MAX(0,MIN(fin_dimJF,H_Aout[[#This Row],[Fin corrigée si nuit]])-MAX(deb_dimJF,H_Aout[[#This Row],[début]])),0)+IF(COUNTIF(JF,H_Aout[[#This Row],[Date]]+1),MAX(0,H_Aout[[#This Row],[Fin corrigée si nuit]]-(1+deb_dimJF)),0))*24</f>
        <v>0</v>
      </c>
      <c r="T45"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6" spans="1:20" x14ac:dyDescent="0.3">
      <c r="A46" s="4"/>
      <c r="B46" s="1"/>
      <c r="C46" s="2"/>
      <c r="D46" s="2"/>
      <c r="E46" s="3"/>
      <c r="F46" s="3"/>
      <c r="G46" s="3"/>
      <c r="H46" s="3"/>
      <c r="I46" s="47">
        <f>0.1*(H_Aout[[#This Row],[Heures de nuit]]+IF(H_Aout[[#This Row],[majoration dim &amp; JF]]="non",0,H_Aout[[#This Row],[heures jour dimanche]]+H_Aout[[#This Row],[heures jour fériés]]))</f>
        <v>0</v>
      </c>
      <c r="J46" s="48">
        <f>(MOD(H_Aout[[#This Row],[Fin]]-H_Aout[[#This Row],[début]],1)-MOD(H_Aout[[#This Row],[PNP Fin]]-H_Aout[[#This Row],[PNP Début]],1))*24</f>
        <v>0</v>
      </c>
      <c r="K46" s="119" t="str">
        <f>IFERROR(VLOOKUP(H_Aout[[#This Row],[Service]],Codes[],4,0),"")</f>
        <v/>
      </c>
      <c r="L46" s="49">
        <f>IF(H_Aout[[#This Row],[PNP Début]]=0,0,IF(H_Aout[[#This Row],[PNP Début]]&lt;H_Aout[[#This Row],[début]],1,0)+H_Aout[[#This Row],[PNP Début]])</f>
        <v>0</v>
      </c>
      <c r="M46" s="50">
        <f>IF(H_Aout[[#This Row],[PNP Fin]]=0,0,IF(H_Aout[[#This Row],[PNP Fin]]&lt;H_Aout[[#This Row],[début]],1,0)+H_Aout[[#This Row],[PNP Fin]])</f>
        <v>0</v>
      </c>
      <c r="N46" s="50">
        <f>IF(H_Aout[[#This Row],[Fin]]&lt;H_Aout[[#This Row],[début]],1,0)+H_Aout[[#This Row],[Fin]]</f>
        <v>0</v>
      </c>
      <c r="O46" s="31">
        <f>IF(H_Aout[[#This Row],[Fin]]&lt;H_Aout[[#This Row],[début]],MAX(0,MIN(H_Aout[[#This Row],[Fin corrigée si nuit]],fin_nuit)-MAX(H_Aout[[#This Row],[début]],deb_nuit))*24,(MAX(deb_nuit,H_Aout[[#This Row],[Fin]])-MAX(deb_nuit,H_Aout[[#This Row],[début]])+MAX(MIN(fin_nuit-1,H_Aout[[#This Row],[Fin]])-MIN(fin_nuit-1,H_Aout[[#This Row],[début]]),0))*24)</f>
        <v>0</v>
      </c>
      <c r="P46" s="51">
        <f>(MAX(0,MIN(H_Aout[[#This Row],[Fin corrigée si nuit]],fin_nuit)-MAX(H_Aout[[#This Row],[début]],deb_nuit))-IF(H_Aout[[#This Row],[PNP Début]]=0,0,MIN(H_Aout[[#This Row],[PNP Fin corrigée]],fin_nuit)-MAX(H_Aout[[#This Row],[PNP Début corrigé]],deb_nuit)))*24</f>
        <v>0</v>
      </c>
      <c r="Q46" s="51">
        <f>(IF(WEEKDAY(H_Aout[[#This Row],[Date]],2)=7,MAX(0,MIN(fin_dimJF,H_Aout[[#This Row],[Fin corrigée si nuit]])-MAX(deb_dimJF,H_Aout[[#This Row],[début]])),0)+IF(WEEKDAY(H_Aout[[#This Row],[Date]],2)=6,MAX(0,H_Aout[[#This Row],[Fin corrigée si nuit]]-(1+deb_dimJF)),0))*24</f>
        <v>0</v>
      </c>
      <c r="R46"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6" s="51">
        <f>(IF(COUNTIF(JF,H_Aout[[#This Row],[Date]]),MAX(0,MIN(fin_dimJF,H_Aout[[#This Row],[Fin corrigée si nuit]])-MAX(deb_dimJF,H_Aout[[#This Row],[début]])),0)+IF(COUNTIF(JF,H_Aout[[#This Row],[Date]]+1),MAX(0,H_Aout[[#This Row],[Fin corrigée si nuit]]-(1+deb_dimJF)),0))*24</f>
        <v>0</v>
      </c>
      <c r="T46"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7" spans="1:20" x14ac:dyDescent="0.3">
      <c r="A47" s="4"/>
      <c r="B47" s="1"/>
      <c r="C47" s="2"/>
      <c r="D47" s="2"/>
      <c r="E47" s="3"/>
      <c r="F47" s="3"/>
      <c r="G47" s="3"/>
      <c r="H47" s="3"/>
      <c r="I47" s="47">
        <f>0.1*(H_Aout[[#This Row],[Heures de nuit]]+IF(H_Aout[[#This Row],[majoration dim &amp; JF]]="non",0,H_Aout[[#This Row],[heures jour dimanche]]+H_Aout[[#This Row],[heures jour fériés]]))</f>
        <v>0</v>
      </c>
      <c r="J47" s="48">
        <f>(MOD(H_Aout[[#This Row],[Fin]]-H_Aout[[#This Row],[début]],1)-MOD(H_Aout[[#This Row],[PNP Fin]]-H_Aout[[#This Row],[PNP Début]],1))*24</f>
        <v>0</v>
      </c>
      <c r="K47" s="119" t="str">
        <f>IFERROR(VLOOKUP(H_Aout[[#This Row],[Service]],Codes[],4,0),"")</f>
        <v/>
      </c>
      <c r="L47" s="49">
        <f>IF(H_Aout[[#This Row],[PNP Début]]=0,0,IF(H_Aout[[#This Row],[PNP Début]]&lt;H_Aout[[#This Row],[début]],1,0)+H_Aout[[#This Row],[PNP Début]])</f>
        <v>0</v>
      </c>
      <c r="M47" s="50">
        <f>IF(H_Aout[[#This Row],[PNP Fin]]=0,0,IF(H_Aout[[#This Row],[PNP Fin]]&lt;H_Aout[[#This Row],[début]],1,0)+H_Aout[[#This Row],[PNP Fin]])</f>
        <v>0</v>
      </c>
      <c r="N47" s="50">
        <f>IF(H_Aout[[#This Row],[Fin]]&lt;H_Aout[[#This Row],[début]],1,0)+H_Aout[[#This Row],[Fin]]</f>
        <v>0</v>
      </c>
      <c r="O47" s="31">
        <f>IF(H_Aout[[#This Row],[Fin]]&lt;H_Aout[[#This Row],[début]],MAX(0,MIN(H_Aout[[#This Row],[Fin corrigée si nuit]],fin_nuit)-MAX(H_Aout[[#This Row],[début]],deb_nuit))*24,(MAX(deb_nuit,H_Aout[[#This Row],[Fin]])-MAX(deb_nuit,H_Aout[[#This Row],[début]])+MAX(MIN(fin_nuit-1,H_Aout[[#This Row],[Fin]])-MIN(fin_nuit-1,H_Aout[[#This Row],[début]]),0))*24)</f>
        <v>0</v>
      </c>
      <c r="P47" s="51">
        <f>(MAX(0,MIN(H_Aout[[#This Row],[Fin corrigée si nuit]],fin_nuit)-MAX(H_Aout[[#This Row],[début]],deb_nuit))-IF(H_Aout[[#This Row],[PNP Début]]=0,0,MIN(H_Aout[[#This Row],[PNP Fin corrigée]],fin_nuit)-MAX(H_Aout[[#This Row],[PNP Début corrigé]],deb_nuit)))*24</f>
        <v>0</v>
      </c>
      <c r="Q47" s="51">
        <f>(IF(WEEKDAY(H_Aout[[#This Row],[Date]],2)=7,MAX(0,MIN(fin_dimJF,H_Aout[[#This Row],[Fin corrigée si nuit]])-MAX(deb_dimJF,H_Aout[[#This Row],[début]])),0)+IF(WEEKDAY(H_Aout[[#This Row],[Date]],2)=6,MAX(0,H_Aout[[#This Row],[Fin corrigée si nuit]]-(1+deb_dimJF)),0))*24</f>
        <v>0</v>
      </c>
      <c r="R47"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7" s="51">
        <f>(IF(COUNTIF(JF,H_Aout[[#This Row],[Date]]),MAX(0,MIN(fin_dimJF,H_Aout[[#This Row],[Fin corrigée si nuit]])-MAX(deb_dimJF,H_Aout[[#This Row],[début]])),0)+IF(COUNTIF(JF,H_Aout[[#This Row],[Date]]+1),MAX(0,H_Aout[[#This Row],[Fin corrigée si nuit]]-(1+deb_dimJF)),0))*24</f>
        <v>0</v>
      </c>
      <c r="T47"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8" spans="1:20" x14ac:dyDescent="0.3">
      <c r="A48" s="4"/>
      <c r="B48" s="1"/>
      <c r="C48" s="2"/>
      <c r="D48" s="2"/>
      <c r="E48" s="3"/>
      <c r="F48" s="3"/>
      <c r="G48" s="3"/>
      <c r="H48" s="3"/>
      <c r="I48" s="47">
        <f>0.1*(H_Aout[[#This Row],[Heures de nuit]]+IF(H_Aout[[#This Row],[majoration dim &amp; JF]]="non",0,H_Aout[[#This Row],[heures jour dimanche]]+H_Aout[[#This Row],[heures jour fériés]]))</f>
        <v>0</v>
      </c>
      <c r="J48" s="48">
        <f>(MOD(H_Aout[[#This Row],[Fin]]-H_Aout[[#This Row],[début]],1)-MOD(H_Aout[[#This Row],[PNP Fin]]-H_Aout[[#This Row],[PNP Début]],1))*24</f>
        <v>0</v>
      </c>
      <c r="K48" s="119" t="str">
        <f>IFERROR(VLOOKUP(H_Aout[[#This Row],[Service]],Codes[],4,0),"")</f>
        <v/>
      </c>
      <c r="L48" s="49">
        <f>IF(H_Aout[[#This Row],[PNP Début]]=0,0,IF(H_Aout[[#This Row],[PNP Début]]&lt;H_Aout[[#This Row],[début]],1,0)+H_Aout[[#This Row],[PNP Début]])</f>
        <v>0</v>
      </c>
      <c r="M48" s="50">
        <f>IF(H_Aout[[#This Row],[PNP Fin]]=0,0,IF(H_Aout[[#This Row],[PNP Fin]]&lt;H_Aout[[#This Row],[début]],1,0)+H_Aout[[#This Row],[PNP Fin]])</f>
        <v>0</v>
      </c>
      <c r="N48" s="50">
        <f>IF(H_Aout[[#This Row],[Fin]]&lt;H_Aout[[#This Row],[début]],1,0)+H_Aout[[#This Row],[Fin]]</f>
        <v>0</v>
      </c>
      <c r="O48" s="31">
        <f>IF(H_Aout[[#This Row],[Fin]]&lt;H_Aout[[#This Row],[début]],MAX(0,MIN(H_Aout[[#This Row],[Fin corrigée si nuit]],fin_nuit)-MAX(H_Aout[[#This Row],[début]],deb_nuit))*24,(MAX(deb_nuit,H_Aout[[#This Row],[Fin]])-MAX(deb_nuit,H_Aout[[#This Row],[début]])+MAX(MIN(fin_nuit-1,H_Aout[[#This Row],[Fin]])-MIN(fin_nuit-1,H_Aout[[#This Row],[début]]),0))*24)</f>
        <v>0</v>
      </c>
      <c r="P48" s="51">
        <f>(MAX(0,MIN(H_Aout[[#This Row],[Fin corrigée si nuit]],fin_nuit)-MAX(H_Aout[[#This Row],[début]],deb_nuit))-IF(H_Aout[[#This Row],[PNP Début]]=0,0,MIN(H_Aout[[#This Row],[PNP Fin corrigée]],fin_nuit)-MAX(H_Aout[[#This Row],[PNP Début corrigé]],deb_nuit)))*24</f>
        <v>0</v>
      </c>
      <c r="Q48" s="51">
        <f>(IF(WEEKDAY(H_Aout[[#This Row],[Date]],2)=7,MAX(0,MIN(fin_dimJF,H_Aout[[#This Row],[Fin corrigée si nuit]])-MAX(deb_dimJF,H_Aout[[#This Row],[début]])),0)+IF(WEEKDAY(H_Aout[[#This Row],[Date]],2)=6,MAX(0,H_Aout[[#This Row],[Fin corrigée si nuit]]-(1+deb_dimJF)),0))*24</f>
        <v>0</v>
      </c>
      <c r="R48"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8" s="51">
        <f>(IF(COUNTIF(JF,H_Aout[[#This Row],[Date]]),MAX(0,MIN(fin_dimJF,H_Aout[[#This Row],[Fin corrigée si nuit]])-MAX(deb_dimJF,H_Aout[[#This Row],[début]])),0)+IF(COUNTIF(JF,H_Aout[[#This Row],[Date]]+1),MAX(0,H_Aout[[#This Row],[Fin corrigée si nuit]]-(1+deb_dimJF)),0))*24</f>
        <v>0</v>
      </c>
      <c r="T48"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49" spans="1:20" ht="15" thickBot="1" x14ac:dyDescent="0.35">
      <c r="A49" s="4"/>
      <c r="B49" s="1"/>
      <c r="C49" s="2"/>
      <c r="D49" s="2"/>
      <c r="E49" s="3"/>
      <c r="F49" s="3"/>
      <c r="G49" s="3"/>
      <c r="H49" s="3"/>
      <c r="I49" s="47">
        <f>0.1*(H_Aout[[#This Row],[Heures de nuit]]+IF(H_Aout[[#This Row],[majoration dim &amp; JF]]="non",0,H_Aout[[#This Row],[heures jour dimanche]]+H_Aout[[#This Row],[heures jour fériés]]))</f>
        <v>0</v>
      </c>
      <c r="J49" s="48">
        <f>(MOD(H_Aout[[#This Row],[Fin]]-H_Aout[[#This Row],[début]],1)-MOD(H_Aout[[#This Row],[PNP Fin]]-H_Aout[[#This Row],[PNP Début]],1))*24</f>
        <v>0</v>
      </c>
      <c r="K49" s="119" t="str">
        <f>IFERROR(VLOOKUP(H_Aout[[#This Row],[Service]],Codes[],4,0),"")</f>
        <v/>
      </c>
      <c r="L49" s="49">
        <f>IF(H_Aout[[#This Row],[PNP Début]]=0,0,IF(H_Aout[[#This Row],[PNP Début]]&lt;H_Aout[[#This Row],[début]],1,0)+H_Aout[[#This Row],[PNP Début]])</f>
        <v>0</v>
      </c>
      <c r="M49" s="50">
        <f>IF(H_Aout[[#This Row],[PNP Fin]]=0,0,IF(H_Aout[[#This Row],[PNP Fin]]&lt;H_Aout[[#This Row],[début]],1,0)+H_Aout[[#This Row],[PNP Fin]])</f>
        <v>0</v>
      </c>
      <c r="N49" s="50">
        <f>IF(H_Aout[[#This Row],[Fin]]&lt;H_Aout[[#This Row],[début]],1,0)+H_Aout[[#This Row],[Fin]]</f>
        <v>0</v>
      </c>
      <c r="O49" s="31">
        <f>IF(H_Aout[[#This Row],[Fin]]&lt;H_Aout[[#This Row],[début]],MAX(0,MIN(H_Aout[[#This Row],[Fin corrigée si nuit]],fin_nuit)-MAX(H_Aout[[#This Row],[début]],deb_nuit))*24,(MAX(deb_nuit,H_Aout[[#This Row],[Fin]])-MAX(deb_nuit,H_Aout[[#This Row],[début]])+MAX(MIN(fin_nuit-1,H_Aout[[#This Row],[Fin]])-MIN(fin_nuit-1,H_Aout[[#This Row],[début]]),0))*24)</f>
        <v>0</v>
      </c>
      <c r="P49" s="51">
        <f>(MAX(0,MIN(H_Aout[[#This Row],[Fin corrigée si nuit]],fin_nuit)-MAX(H_Aout[[#This Row],[début]],deb_nuit))-IF(H_Aout[[#This Row],[PNP Début]]=0,0,MIN(H_Aout[[#This Row],[PNP Fin corrigée]],fin_nuit)-MAX(H_Aout[[#This Row],[PNP Début corrigé]],deb_nuit)))*24</f>
        <v>0</v>
      </c>
      <c r="Q49" s="51">
        <f>(IF(WEEKDAY(H_Aout[[#This Row],[Date]],2)=7,MAX(0,MIN(fin_dimJF,H_Aout[[#This Row],[Fin corrigée si nuit]])-MAX(deb_dimJF,H_Aout[[#This Row],[début]])),0)+IF(WEEKDAY(H_Aout[[#This Row],[Date]],2)=6,MAX(0,H_Aout[[#This Row],[Fin corrigée si nuit]]-(1+deb_dimJF)),0))*24</f>
        <v>0</v>
      </c>
      <c r="R49" s="51">
        <f>(IF(WEEKDAY(H_Aout[[#This Row],[Date]],2)=7,MAX(0,MIN(fin_dimJF,H_Aout[[#This Row],[Fin corrigée si nuit]])-MAX(deb_dimJF,H_Aout[[#This Row],[début]])),0)+IF(WEEKDAY(H_Aout[[#This Row],[Date]],2)=6,MAX(0,H_Aout[[#This Row],[Fin corrigée si nuit]]-(1+deb_dimJF)),0))*24-
(IF(WEEKDAY(H_Aout[[#This Row],[Date]],2)=7,MAX(0,MIN(fin_dimJF,H_Aout[[#This Row],[PNP Fin corrigée]])-MAX(deb_dimJF,H_Aout[[#This Row],[PNP Début corrigé]])),0)+IF(WEEKDAY(H_Aout[[#This Row],[Date]],2)=6,MAX(0,H_Aout[[#This Row],[PNP Fin corrigée]]-(1+deb_dimJF)),0))*24</f>
        <v>0</v>
      </c>
      <c r="S49" s="51">
        <f>(IF(COUNTIF(JF,H_Aout[[#This Row],[Date]]),MAX(0,MIN(fin_dimJF,H_Aout[[#This Row],[Fin corrigée si nuit]])-MAX(deb_dimJF,H_Aout[[#This Row],[début]])),0)+IF(COUNTIF(JF,H_Aout[[#This Row],[Date]]+1),MAX(0,H_Aout[[#This Row],[Fin corrigée si nuit]]-(1+deb_dimJF)),0))*24</f>
        <v>0</v>
      </c>
      <c r="T49" s="51">
        <f>(IF(COUNTIF(JF,H_Aout[[#This Row],[Date]]),MAX(0,MIN(fin_dimJF,H_Aout[[#This Row],[Fin corrigée si nuit]])-MAX(deb_dimJF,H_Aout[[#This Row],[début]])),0)+IF(COUNTIF(JF,H_Aout[[#This Row],[Date]]+1),MAX(0,H_Aout[[#This Row],[Fin corrigée si nuit]]-(1+deb_dimJF)),0))*24-
(IF(COUNTIF(JF,H_Aout[[#This Row],[Date]]),MAX(0,MIN(fin_dimJF,H_Aout[[#This Row],[PNP Fin corrigée]])-MAX(deb_dimJF,H_Aout[[#This Row],[PNP Début corrigé]])),0)+IF(COUNTIF(JF,H_Aout[[#This Row],[Date]]+1),MAX(0,H_Aout[[#This Row],[PNP Fin corrigée]]-(1+deb_dimJF)),0))*24</f>
        <v>0</v>
      </c>
    </row>
    <row r="50" spans="1:20" ht="16.2" thickBot="1" x14ac:dyDescent="0.35">
      <c r="A50" s="52"/>
      <c r="B50" s="15"/>
      <c r="C50" s="15"/>
      <c r="D50" s="15"/>
      <c r="E50" s="144" t="s">
        <v>29</v>
      </c>
      <c r="F50" s="145"/>
      <c r="G50" s="145"/>
      <c r="H50" s="146"/>
      <c r="I50" s="53">
        <f>SUM(H_Aout[Majoration])</f>
        <v>0</v>
      </c>
      <c r="J50" s="54">
        <f>SUM(H_Aout[Heures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129" priority="1">
      <formula>$K13="non"</formula>
    </cfRule>
  </conditionalFormatting>
  <dataValidations count="3">
    <dataValidation allowBlank="1" showInputMessage="1" showErrorMessage="1" error="Tapez les heures sous le format_x000a_00:00" sqref="L12:O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J5:K5">
      <formula1>42736</formula1>
    </dataValidation>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11265" r:id="rId4" name="CommandButton1">
          <controlPr defaultSize="0" print="0" autoLine="0" r:id="rId5">
            <anchor moveWithCells="1">
              <from>
                <xdr:col>9</xdr:col>
                <xdr:colOff>449580</xdr:colOff>
                <xdr:row>0</xdr:row>
                <xdr:rowOff>83820</xdr:rowOff>
              </from>
              <to>
                <xdr:col>9</xdr:col>
                <xdr:colOff>1234440</xdr:colOff>
                <xdr:row>3</xdr:row>
                <xdr:rowOff>198120</xdr:rowOff>
              </to>
            </anchor>
          </controlPr>
        </control>
      </mc:Choice>
      <mc:Fallback>
        <control shapeId="11265"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Z60"/>
  <sheetViews>
    <sheetView topLeftCell="A5" zoomScale="80" zoomScaleNormal="80" zoomScalePageLayoutView="40" workbookViewId="0">
      <selection activeCell="X17" sqref="X17"/>
    </sheetView>
  </sheetViews>
  <sheetFormatPr baseColWidth="10" defaultRowHeight="14.4" x14ac:dyDescent="0.3"/>
  <cols>
    <col min="1" max="1" width="20.4414062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9.8867187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Septembre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0.1*(H_Sept[[#This Row],[Heures de nuit]]+IF(H_Sept[[#This Row],[majoration dim &amp; JF]]="non",0,H_Sept[[#This Row],[heures jour dimanche]]+H_Sept[[#This Row],[heures jour fériés]]))</f>
        <v>0</v>
      </c>
      <c r="J13" s="29">
        <f>(MOD(H_Sept[[#This Row],[Fin]]-H_Sept[[#This Row],[début]],1)-MOD(H_Sept[[#This Row],[PNP Fin]]-H_Sept[[#This Row],[PNP Début]],1))*24</f>
        <v>0</v>
      </c>
      <c r="K13" s="29" t="str">
        <f>IFERROR(VLOOKUP(H_Sept[[#This Row],[Service]],Codes[],4,0),"")</f>
        <v/>
      </c>
      <c r="L13" s="30">
        <f>IF(H_Sept[[#This Row],[PNP Début]]=0,0,IF(H_Sept[[#This Row],[PNP Début]]&lt;H_Sept[[#This Row],[début]],1,0)+H_Sept[[#This Row],[PNP Début]])</f>
        <v>0</v>
      </c>
      <c r="M13" s="30">
        <f>IF(H_Sept[[#This Row],[PNP Fin]]=0,0,IF(H_Sept[[#This Row],[PNP Fin]]&lt;H_Sept[[#This Row],[début]],1,0)+H_Sept[[#This Row],[PNP Fin]])</f>
        <v>0</v>
      </c>
      <c r="N13" s="30">
        <f>IF(H_Sept[[#This Row],[Fin]]&lt;H_Sept[[#This Row],[début]],1,0)+H_Sept[[#This Row],[Fin]]</f>
        <v>0</v>
      </c>
      <c r="O13" s="31">
        <f>IF(H_Sept[[#This Row],[Fin]]&lt;H_Sept[[#This Row],[début]],MAX(0,MIN(H_Sept[[#This Row],[Fin corrigée si nuit]],fin_nuit)-MAX(H_Sept[[#This Row],[début]],deb_nuit))*24,(MAX(deb_nuit,H_Sept[[#This Row],[Fin]])-MAX(deb_nuit,H_Sept[[#This Row],[début]])+MAX(MIN(fin_nuit-1,H_Sept[[#This Row],[Fin]])-MIN(fin_nuit-1,H_Sept[[#This Row],[début]]),0))*24)</f>
        <v>0</v>
      </c>
      <c r="P13" s="31">
        <f>(MAX(0,MIN(H_Sept[[#This Row],[Fin corrigée si nuit]],fin_nuit)-MAX(H_Sept[[#This Row],[début]],deb_nuit))-IF(H_Sept[[#This Row],[PNP Début]]=0,0,MIN(H_Sept[[#This Row],[PNP Fin corrigée]],fin_nuit)-MAX(H_Sept[[#This Row],[PNP Début corrigé]],deb_nuit)))*24</f>
        <v>0</v>
      </c>
      <c r="Q13" s="31">
        <f>(IF(WEEKDAY(H_Sept[[#This Row],[Date]],2)=7,MAX(0,MIN(fin_dimJF,H_Sept[[#This Row],[Fin corrigée si nuit]])-MAX(deb_dimJF,H_Sept[[#This Row],[début]])),0)+IF(WEEKDAY(H_Sept[[#This Row],[Date]],2)=6,MAX(0,H_Sept[[#This Row],[Fin corrigée si nuit]]-(1+deb_dimJF)),0))*24</f>
        <v>0</v>
      </c>
      <c r="R13" s="3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13" s="32">
        <f>(IF(COUNTIF(JF,H_Sept[[#This Row],[Date]]),MAX(0,MIN(fin_dimJF,H_Sept[[#This Row],[Fin corrigée si nuit]])-MAX(deb_dimJF,H_Sept[[#This Row],[début]])),0)+IF(COUNTIF(JF,H_Sept[[#This Row],[Date]]+1),MAX(0,H_Sept[[#This Row],[Fin corrigée si nuit]]-(1+deb_dimJF)),0))*24</f>
        <v>0</v>
      </c>
      <c r="T13" s="32">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c r="V13" s="124"/>
      <c r="W13" s="124"/>
      <c r="X13" s="124"/>
      <c r="Y13" s="124"/>
      <c r="Z13" s="124"/>
    </row>
    <row r="14" spans="1:26" x14ac:dyDescent="0.3">
      <c r="A14" s="4"/>
      <c r="B14" s="1"/>
      <c r="C14" s="113"/>
      <c r="D14" s="113"/>
      <c r="E14" s="3"/>
      <c r="F14" s="3"/>
      <c r="G14" s="3"/>
      <c r="H14" s="3"/>
      <c r="I14" s="28">
        <f>0.1*(H_Sept[[#This Row],[Heures de nuit]]+IF(H_Sept[[#This Row],[majoration dim &amp; JF]]="non",0,H_Sept[[#This Row],[heures jour dimanche]]+H_Sept[[#This Row],[heures jour fériés]]))</f>
        <v>0</v>
      </c>
      <c r="J14" s="29">
        <f>(MOD(H_Sept[[#This Row],[Fin]]-H_Sept[[#This Row],[début]],1)-MOD(H_Sept[[#This Row],[PNP Fin]]-H_Sept[[#This Row],[PNP Début]],1))*24</f>
        <v>0</v>
      </c>
      <c r="K14" s="29" t="str">
        <f>IFERROR(VLOOKUP(H_Sept[[#This Row],[Service]],Codes[],4,0),"")</f>
        <v/>
      </c>
      <c r="L14" s="30">
        <f>IF(H_Sept[[#This Row],[PNP Début]]=0,0,IF(H_Sept[[#This Row],[PNP Début]]&lt;H_Sept[[#This Row],[début]],1,0)+H_Sept[[#This Row],[PNP Début]])</f>
        <v>0</v>
      </c>
      <c r="M14" s="30">
        <f>IF(H_Sept[[#This Row],[PNP Fin]]=0,0,IF(H_Sept[[#This Row],[PNP Fin]]&lt;H_Sept[[#This Row],[début]],1,0)+H_Sept[[#This Row],[PNP Fin]])</f>
        <v>0</v>
      </c>
      <c r="N14" s="30">
        <f>IF(H_Sept[[#This Row],[Fin]]&lt;H_Sept[[#This Row],[début]],1,0)+H_Sept[[#This Row],[Fin]]</f>
        <v>0</v>
      </c>
      <c r="O14" s="31">
        <f>IF(H_Sept[[#This Row],[Fin]]&lt;H_Sept[[#This Row],[début]],MAX(0,MIN(H_Sept[[#This Row],[Fin corrigée si nuit]],fin_nuit)-MAX(H_Sept[[#This Row],[début]],deb_nuit))*24,(MAX(deb_nuit,H_Sept[[#This Row],[Fin]])-MAX(deb_nuit,H_Sept[[#This Row],[début]])+MAX(MIN(fin_nuit-1,H_Sept[[#This Row],[Fin]])-MIN(fin_nuit-1,H_Sept[[#This Row],[début]]),0))*24)</f>
        <v>0</v>
      </c>
      <c r="P14" s="31">
        <f>(MAX(0,MIN(H_Sept[[#This Row],[Fin corrigée si nuit]],fin_nuit)-MAX(H_Sept[[#This Row],[début]],deb_nuit))-IF(H_Sept[[#This Row],[PNP Début]]=0,0,MIN(H_Sept[[#This Row],[PNP Fin corrigée]],fin_nuit)-MAX(H_Sept[[#This Row],[PNP Début corrigé]],deb_nuit)))*24</f>
        <v>0</v>
      </c>
      <c r="Q14" s="31">
        <f>(IF(WEEKDAY(H_Sept[[#This Row],[Date]],2)=7,MAX(0,MIN(fin_dimJF,H_Sept[[#This Row],[Fin corrigée si nuit]])-MAX(deb_dimJF,H_Sept[[#This Row],[début]])),0)+IF(WEEKDAY(H_Sept[[#This Row],[Date]],2)=6,MAX(0,H_Sept[[#This Row],[Fin corrigée si nuit]]-(1+deb_dimJF)),0))*24</f>
        <v>0</v>
      </c>
      <c r="R14" s="3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14" s="32">
        <f>(IF(COUNTIF(JF,H_Sept[[#This Row],[Date]]),MAX(0,MIN(fin_dimJF,H_Sept[[#This Row],[Fin corrigée si nuit]])-MAX(deb_dimJF,H_Sept[[#This Row],[début]])),0)+IF(COUNTIF(JF,H_Sept[[#This Row],[Date]]+1),MAX(0,H_Sept[[#This Row],[Fin corrigée si nuit]]-(1+deb_dimJF)),0))*24</f>
        <v>0</v>
      </c>
      <c r="T14" s="32">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c r="V14" s="124"/>
      <c r="W14" s="124"/>
      <c r="X14" s="124"/>
      <c r="Y14" s="124"/>
      <c r="Z14" s="124"/>
    </row>
    <row r="15" spans="1:26" x14ac:dyDescent="0.3">
      <c r="A15" s="4"/>
      <c r="B15" s="1"/>
      <c r="C15" s="2"/>
      <c r="D15" s="2"/>
      <c r="E15" s="3"/>
      <c r="F15" s="3"/>
      <c r="G15" s="3"/>
      <c r="H15" s="3"/>
      <c r="I15" s="28">
        <f>0.1*(H_Sept[[#This Row],[Heures de nuit]]+IF(H_Sept[[#This Row],[majoration dim &amp; JF]]="non",0,H_Sept[[#This Row],[heures jour dimanche]]+H_Sept[[#This Row],[heures jour fériés]]))</f>
        <v>0</v>
      </c>
      <c r="J15" s="29">
        <f>(MOD(H_Sept[[#This Row],[Fin]]-H_Sept[[#This Row],[début]],1)-MOD(H_Sept[[#This Row],[PNP Fin]]-H_Sept[[#This Row],[PNP Début]],1))*24</f>
        <v>0</v>
      </c>
      <c r="K15" s="29" t="str">
        <f>IFERROR(VLOOKUP(H_Sept[[#This Row],[Service]],Codes[],4,0),"")</f>
        <v/>
      </c>
      <c r="L15" s="30">
        <f>IF(H_Sept[[#This Row],[PNP Début]]=0,0,IF(H_Sept[[#This Row],[PNP Début]]&lt;H_Sept[[#This Row],[début]],1,0)+H_Sept[[#This Row],[PNP Début]])</f>
        <v>0</v>
      </c>
      <c r="M15" s="30">
        <f>IF(H_Sept[[#This Row],[PNP Fin]]=0,0,IF(H_Sept[[#This Row],[PNP Fin]]&lt;H_Sept[[#This Row],[début]],1,0)+H_Sept[[#This Row],[PNP Fin]])</f>
        <v>0</v>
      </c>
      <c r="N15" s="30">
        <f>IF(H_Sept[[#This Row],[Fin]]&lt;H_Sept[[#This Row],[début]],1,0)+H_Sept[[#This Row],[Fin]]</f>
        <v>0</v>
      </c>
      <c r="O15" s="31">
        <f>IF(H_Sept[[#This Row],[Fin]]&lt;H_Sept[[#This Row],[début]],MAX(0,MIN(H_Sept[[#This Row],[Fin corrigée si nuit]],fin_nuit)-MAX(H_Sept[[#This Row],[début]],deb_nuit))*24,(MAX(deb_nuit,H_Sept[[#This Row],[Fin]])-MAX(deb_nuit,H_Sept[[#This Row],[début]])+MAX(MIN(fin_nuit-1,H_Sept[[#This Row],[Fin]])-MIN(fin_nuit-1,H_Sept[[#This Row],[début]]),0))*24)</f>
        <v>0</v>
      </c>
      <c r="P15" s="31">
        <f>(MAX(0,MIN(H_Sept[[#This Row],[Fin corrigée si nuit]],fin_nuit)-MAX(H_Sept[[#This Row],[début]],deb_nuit))-IF(H_Sept[[#This Row],[PNP Début]]=0,0,MIN(H_Sept[[#This Row],[PNP Fin corrigée]],fin_nuit)-MAX(H_Sept[[#This Row],[PNP Début corrigé]],deb_nuit)))*24</f>
        <v>0</v>
      </c>
      <c r="Q15" s="31">
        <f>(IF(WEEKDAY(H_Sept[[#This Row],[Date]],2)=7,MAX(0,MIN(fin_dimJF,H_Sept[[#This Row],[Fin corrigée si nuit]])-MAX(deb_dimJF,H_Sept[[#This Row],[début]])),0)+IF(WEEKDAY(H_Sept[[#This Row],[Date]],2)=6,MAX(0,H_Sept[[#This Row],[Fin corrigée si nuit]]-(1+deb_dimJF)),0))*24</f>
        <v>0</v>
      </c>
      <c r="R15" s="3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15" s="32">
        <f>(IF(COUNTIF(JF,H_Sept[[#This Row],[Date]]),MAX(0,MIN(fin_dimJF,H_Sept[[#This Row],[Fin corrigée si nuit]])-MAX(deb_dimJF,H_Sept[[#This Row],[début]])),0)+IF(COUNTIF(JF,H_Sept[[#This Row],[Date]]+1),MAX(0,H_Sept[[#This Row],[Fin corrigée si nuit]]-(1+deb_dimJF)),0))*24</f>
        <v>0</v>
      </c>
      <c r="T15" s="32">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0.1*(H_Sept[[#This Row],[Heures de nuit]]+IF(H_Sept[[#This Row],[majoration dim &amp; JF]]="non",0,H_Sept[[#This Row],[heures jour dimanche]]+H_Sept[[#This Row],[heures jour fériés]]))</f>
        <v>0</v>
      </c>
      <c r="J16" s="33">
        <f>(MOD(H_Sept[[#This Row],[Fin]]-H_Sept[[#This Row],[début]],1)-MOD(H_Sept[[#This Row],[PNP Fin]]-H_Sept[[#This Row],[PNP Début]],1))*24</f>
        <v>0</v>
      </c>
      <c r="K16" s="33" t="str">
        <f>IFERROR(VLOOKUP(H_Sept[[#This Row],[Service]],Codes[],4,0),"")</f>
        <v/>
      </c>
      <c r="L16" s="30">
        <f>IF(H_Sept[[#This Row],[PNP Début]]=0,0,IF(H_Sept[[#This Row],[PNP Début]]&lt;H_Sept[[#This Row],[début]],1,0)+H_Sept[[#This Row],[PNP Début]])</f>
        <v>0</v>
      </c>
      <c r="M16" s="30">
        <f>IF(H_Sept[[#This Row],[PNP Fin]]=0,0,IF(H_Sept[[#This Row],[PNP Fin]]&lt;H_Sept[[#This Row],[début]],1,0)+H_Sept[[#This Row],[PNP Fin]])</f>
        <v>0</v>
      </c>
      <c r="N16" s="34">
        <f>IF(H_Sept[[#This Row],[Fin]]&lt;H_Sept[[#This Row],[début]],1,0)+H_Sept[[#This Row],[Fin]]</f>
        <v>0</v>
      </c>
      <c r="O16" s="31">
        <f>IF(H_Sept[[#This Row],[Fin]]&lt;H_Sept[[#This Row],[début]],MAX(0,MIN(H_Sept[[#This Row],[Fin corrigée si nuit]],fin_nuit)-MAX(H_Sept[[#This Row],[début]],deb_nuit))*24,(MAX(deb_nuit,H_Sept[[#This Row],[Fin]])-MAX(deb_nuit,H_Sept[[#This Row],[début]])+MAX(MIN(fin_nuit-1,H_Sept[[#This Row],[Fin]])-MIN(fin_nuit-1,H_Sept[[#This Row],[début]]),0))*24)</f>
        <v>0</v>
      </c>
      <c r="P16" s="35">
        <f>(MAX(0,MIN(H_Sept[[#This Row],[Fin corrigée si nuit]],fin_nuit)-MAX(H_Sept[[#This Row],[début]],deb_nuit))-IF(H_Sept[[#This Row],[PNP Début]]=0,0,MIN(H_Sept[[#This Row],[PNP Fin corrigée]],fin_nuit)-MAX(H_Sept[[#This Row],[PNP Début corrigé]],deb_nuit)))*24</f>
        <v>0</v>
      </c>
      <c r="Q16" s="35">
        <f>(IF(WEEKDAY(H_Sept[[#This Row],[Date]],2)=7,MAX(0,MIN(fin_dimJF,H_Sept[[#This Row],[Fin corrigée si nuit]])-MAX(deb_dimJF,H_Sept[[#This Row],[début]])),0)+IF(WEEKDAY(H_Sept[[#This Row],[Date]],2)=6,MAX(0,H_Sept[[#This Row],[Fin corrigée si nuit]]-(1+deb_dimJF)),0))*24</f>
        <v>0</v>
      </c>
      <c r="R16" s="3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16" s="36">
        <f>(IF(COUNTIF(JF,H_Sept[[#This Row],[Date]]),MAX(0,MIN(fin_dimJF,H_Sept[[#This Row],[Fin corrigée si nuit]])-MAX(deb_dimJF,H_Sept[[#This Row],[début]])),0)+IF(COUNTIF(JF,H_Sept[[#This Row],[Date]]+1),MAX(0,H_Sept[[#This Row],[Fin corrigée si nuit]]-(1+deb_dimJF)),0))*24</f>
        <v>0</v>
      </c>
      <c r="T16" s="36">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c r="V16" s="127" t="s">
        <v>135</v>
      </c>
      <c r="W16" s="128">
        <f>'Août 18'!Z16</f>
        <v>20.100000000000001</v>
      </c>
      <c r="X16" s="128">
        <f>I50</f>
        <v>0</v>
      </c>
      <c r="Y16" s="128"/>
      <c r="Z16" s="128">
        <f>W16+X16-Y16</f>
        <v>20.100000000000001</v>
      </c>
    </row>
    <row r="17" spans="1:20" x14ac:dyDescent="0.3">
      <c r="A17" s="4"/>
      <c r="B17" s="1"/>
      <c r="C17" s="2"/>
      <c r="D17" s="2"/>
      <c r="E17" s="3"/>
      <c r="F17" s="3"/>
      <c r="G17" s="9"/>
      <c r="H17" s="9"/>
      <c r="I17" s="37">
        <f>0.1*(H_Sept[[#This Row],[Heures de nuit]]+IF(H_Sept[[#This Row],[majoration dim &amp; JF]]="non",0,H_Sept[[#This Row],[heures jour dimanche]]+H_Sept[[#This Row],[heures jour fériés]]))</f>
        <v>0</v>
      </c>
      <c r="J17" s="38">
        <f>(MOD(H_Sept[[#This Row],[Fin]]-H_Sept[[#This Row],[début]],1)-MOD(H_Sept[[#This Row],[PNP Fin]]-H_Sept[[#This Row],[PNP Début]],1))*24</f>
        <v>0</v>
      </c>
      <c r="K17" s="122" t="str">
        <f>IFERROR(VLOOKUP(H_Sept[[#This Row],[Service]],Codes[],4,0),"")</f>
        <v/>
      </c>
      <c r="L17" s="39">
        <f>IF(H_Sept[[#This Row],[PNP Début]]=0,0,IF(H_Sept[[#This Row],[PNP Début]]&lt;H_Sept[[#This Row],[début]],1,0)+H_Sept[[#This Row],[PNP Début]])</f>
        <v>0</v>
      </c>
      <c r="M17" s="40">
        <f>IF(H_Sept[[#This Row],[PNP Fin]]=0,0,IF(H_Sept[[#This Row],[PNP Fin]]&lt;H_Sept[[#This Row],[début]],1,0)+H_Sept[[#This Row],[PNP Fin]])</f>
        <v>0</v>
      </c>
      <c r="N17" s="40">
        <f>IF(H_Sept[[#This Row],[Fin]]&lt;H_Sept[[#This Row],[début]],1,0)+H_Sept[[#This Row],[Fin]]</f>
        <v>0</v>
      </c>
      <c r="O17" s="31">
        <f>IF(H_Sept[[#This Row],[Fin]]&lt;H_Sept[[#This Row],[début]],MAX(0,MIN(H_Sept[[#This Row],[Fin corrigée si nuit]],fin_nuit)-MAX(H_Sept[[#This Row],[début]],deb_nuit))*24,(MAX(deb_nuit,H_Sept[[#This Row],[Fin]])-MAX(deb_nuit,H_Sept[[#This Row],[début]])+MAX(MIN(fin_nuit-1,H_Sept[[#This Row],[Fin]])-MIN(fin_nuit-1,H_Sept[[#This Row],[début]]),0))*24)</f>
        <v>0</v>
      </c>
      <c r="P17" s="41">
        <f>(MAX(0,MIN(H_Sept[[#This Row],[Fin corrigée si nuit]],fin_nuit)-MAX(H_Sept[[#This Row],[début]],deb_nuit))-IF(H_Sept[[#This Row],[PNP Début]]=0,0,MIN(H_Sept[[#This Row],[PNP Fin corrigée]],fin_nuit)-MAX(H_Sept[[#This Row],[PNP Début corrigé]],deb_nuit)))*24</f>
        <v>0</v>
      </c>
      <c r="Q17" s="41">
        <f>(IF(WEEKDAY(H_Sept[[#This Row],[Date]],2)=7,MAX(0,MIN(fin_dimJF,H_Sept[[#This Row],[Fin corrigée si nuit]])-MAX(deb_dimJF,H_Sept[[#This Row],[début]])),0)+IF(WEEKDAY(H_Sept[[#This Row],[Date]],2)=6,MAX(0,H_Sept[[#This Row],[Fin corrigée si nuit]]-(1+deb_dimJF)),0))*24</f>
        <v>0</v>
      </c>
      <c r="R17" s="4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17" s="41">
        <f>(IF(COUNTIF(JF,H_Sept[[#This Row],[Date]]),MAX(0,MIN(fin_dimJF,H_Sept[[#This Row],[Fin corrigée si nuit]])-MAX(deb_dimJF,H_Sept[[#This Row],[début]])),0)+IF(COUNTIF(JF,H_Sept[[#This Row],[Date]]+1),MAX(0,H_Sept[[#This Row],[Fin corrigée si nuit]]-(1+deb_dimJF)),0))*24</f>
        <v>0</v>
      </c>
      <c r="T17" s="4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18" spans="1:20" x14ac:dyDescent="0.3">
      <c r="A18" s="4"/>
      <c r="B18" s="1"/>
      <c r="C18" s="2"/>
      <c r="D18" s="2"/>
      <c r="E18" s="9"/>
      <c r="F18" s="9"/>
      <c r="G18" s="9"/>
      <c r="H18" s="9"/>
      <c r="I18" s="37">
        <f>0.1*(H_Sept[[#This Row],[Heures de nuit]]+IF(H_Sept[[#This Row],[majoration dim &amp; JF]]="non",0,H_Sept[[#This Row],[heures jour dimanche]]+H_Sept[[#This Row],[heures jour fériés]]))</f>
        <v>0</v>
      </c>
      <c r="J18" s="38">
        <f>(MOD(H_Sept[[#This Row],[Fin]]-H_Sept[[#This Row],[début]],1)-MOD(H_Sept[[#This Row],[PNP Fin]]-H_Sept[[#This Row],[PNP Début]],1))*24</f>
        <v>0</v>
      </c>
      <c r="K18" s="122" t="str">
        <f>IFERROR(VLOOKUP(H_Sept[[#This Row],[Service]],Codes[],4,0),"")</f>
        <v/>
      </c>
      <c r="L18" s="39">
        <f>IF(H_Sept[[#This Row],[PNP Début]]=0,0,IF(H_Sept[[#This Row],[PNP Début]]&lt;H_Sept[[#This Row],[début]],1,0)+H_Sept[[#This Row],[PNP Début]])</f>
        <v>0</v>
      </c>
      <c r="M18" s="40">
        <f>IF(H_Sept[[#This Row],[PNP Fin]]=0,0,IF(H_Sept[[#This Row],[PNP Fin]]&lt;H_Sept[[#This Row],[début]],1,0)+H_Sept[[#This Row],[PNP Fin]])</f>
        <v>0</v>
      </c>
      <c r="N18" s="40">
        <f>IF(H_Sept[[#This Row],[Fin]]&lt;H_Sept[[#This Row],[début]],1,0)+H_Sept[[#This Row],[Fin]]</f>
        <v>0</v>
      </c>
      <c r="O18" s="31">
        <f>IF(H_Sept[[#This Row],[Fin]]&lt;H_Sept[[#This Row],[début]],MAX(0,MIN(H_Sept[[#This Row],[Fin corrigée si nuit]],fin_nuit)-MAX(H_Sept[[#This Row],[début]],deb_nuit))*24,(MAX(deb_nuit,H_Sept[[#This Row],[Fin]])-MAX(deb_nuit,H_Sept[[#This Row],[début]])+MAX(MIN(fin_nuit-1,H_Sept[[#This Row],[Fin]])-MIN(fin_nuit-1,H_Sept[[#This Row],[début]]),0))*24)</f>
        <v>0</v>
      </c>
      <c r="P18" s="41">
        <f>(MAX(0,MIN(H_Sept[[#This Row],[Fin corrigée si nuit]],fin_nuit)-MAX(H_Sept[[#This Row],[début]],deb_nuit))-IF(H_Sept[[#This Row],[PNP Début]]=0,0,MIN(H_Sept[[#This Row],[PNP Fin corrigée]],fin_nuit)-MAX(H_Sept[[#This Row],[PNP Début corrigé]],deb_nuit)))*24</f>
        <v>0</v>
      </c>
      <c r="Q18" s="41">
        <f>(IF(WEEKDAY(H_Sept[[#This Row],[Date]],2)=7,MAX(0,MIN(fin_dimJF,H_Sept[[#This Row],[Fin corrigée si nuit]])-MAX(deb_dimJF,H_Sept[[#This Row],[début]])),0)+IF(WEEKDAY(H_Sept[[#This Row],[Date]],2)=6,MAX(0,H_Sept[[#This Row],[Fin corrigée si nuit]]-(1+deb_dimJF)),0))*24</f>
        <v>0</v>
      </c>
      <c r="R18" s="4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18" s="41">
        <f>(IF(COUNTIF(JF,H_Sept[[#This Row],[Date]]),MAX(0,MIN(fin_dimJF,H_Sept[[#This Row],[Fin corrigée si nuit]])-MAX(deb_dimJF,H_Sept[[#This Row],[début]])),0)+IF(COUNTIF(JF,H_Sept[[#This Row],[Date]]+1),MAX(0,H_Sept[[#This Row],[Fin corrigée si nuit]]-(1+deb_dimJF)),0))*24</f>
        <v>0</v>
      </c>
      <c r="T18" s="4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19" spans="1:20" x14ac:dyDescent="0.3">
      <c r="A19" s="4"/>
      <c r="B19" s="1"/>
      <c r="C19" s="2"/>
      <c r="D19" s="2"/>
      <c r="E19" s="3"/>
      <c r="F19" s="3"/>
      <c r="G19" s="9"/>
      <c r="H19" s="9"/>
      <c r="I19" s="37">
        <f>0.1*(H_Sept[[#This Row],[Heures de nuit]]+IF(H_Sept[[#This Row],[majoration dim &amp; JF]]="non",0,H_Sept[[#This Row],[heures jour dimanche]]+H_Sept[[#This Row],[heures jour fériés]]))</f>
        <v>0</v>
      </c>
      <c r="J19" s="38">
        <f>(MOD(H_Sept[[#This Row],[Fin]]-H_Sept[[#This Row],[début]],1)-MOD(H_Sept[[#This Row],[PNP Fin]]-H_Sept[[#This Row],[PNP Début]],1))*24</f>
        <v>0</v>
      </c>
      <c r="K19" s="122" t="str">
        <f>IFERROR(VLOOKUP(H_Sept[[#This Row],[Service]],Codes[],4,0),"")</f>
        <v/>
      </c>
      <c r="L19" s="39">
        <f>IF(H_Sept[[#This Row],[PNP Début]]=0,0,IF(H_Sept[[#This Row],[PNP Début]]&lt;H_Sept[[#This Row],[début]],1,0)+H_Sept[[#This Row],[PNP Début]])</f>
        <v>0</v>
      </c>
      <c r="M19" s="40">
        <f>IF(H_Sept[[#This Row],[PNP Fin]]=0,0,IF(H_Sept[[#This Row],[PNP Fin]]&lt;H_Sept[[#This Row],[début]],1,0)+H_Sept[[#This Row],[PNP Fin]])</f>
        <v>0</v>
      </c>
      <c r="N19" s="40">
        <f>IF(H_Sept[[#This Row],[Fin]]&lt;H_Sept[[#This Row],[début]],1,0)+H_Sept[[#This Row],[Fin]]</f>
        <v>0</v>
      </c>
      <c r="O19" s="31">
        <f>IF(H_Sept[[#This Row],[Fin]]&lt;H_Sept[[#This Row],[début]],MAX(0,MIN(H_Sept[[#This Row],[Fin corrigée si nuit]],fin_nuit)-MAX(H_Sept[[#This Row],[début]],deb_nuit))*24,(MAX(deb_nuit,H_Sept[[#This Row],[Fin]])-MAX(deb_nuit,H_Sept[[#This Row],[début]])+MAX(MIN(fin_nuit-1,H_Sept[[#This Row],[Fin]])-MIN(fin_nuit-1,H_Sept[[#This Row],[début]]),0))*24)</f>
        <v>0</v>
      </c>
      <c r="P19" s="41">
        <f>(MAX(0,MIN(H_Sept[[#This Row],[Fin corrigée si nuit]],fin_nuit)-MAX(H_Sept[[#This Row],[début]],deb_nuit))-IF(H_Sept[[#This Row],[PNP Début]]=0,0,MIN(H_Sept[[#This Row],[PNP Fin corrigée]],fin_nuit)-MAX(H_Sept[[#This Row],[PNP Début corrigé]],deb_nuit)))*24</f>
        <v>0</v>
      </c>
      <c r="Q19" s="41">
        <f>(IF(WEEKDAY(H_Sept[[#This Row],[Date]],2)=7,MAX(0,MIN(fin_dimJF,H_Sept[[#This Row],[Fin corrigée si nuit]])-MAX(deb_dimJF,H_Sept[[#This Row],[début]])),0)+IF(WEEKDAY(H_Sept[[#This Row],[Date]],2)=6,MAX(0,H_Sept[[#This Row],[Fin corrigée si nuit]]-(1+deb_dimJF)),0))*24</f>
        <v>0</v>
      </c>
      <c r="R19" s="4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19" s="41">
        <f>(IF(COUNTIF(JF,H_Sept[[#This Row],[Date]]),MAX(0,MIN(fin_dimJF,H_Sept[[#This Row],[Fin corrigée si nuit]])-MAX(deb_dimJF,H_Sept[[#This Row],[début]])),0)+IF(COUNTIF(JF,H_Sept[[#This Row],[Date]]+1),MAX(0,H_Sept[[#This Row],[Fin corrigée si nuit]]-(1+deb_dimJF)),0))*24</f>
        <v>0</v>
      </c>
      <c r="T19" s="4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0" spans="1:20" x14ac:dyDescent="0.3">
      <c r="A20" s="4"/>
      <c r="B20" s="1"/>
      <c r="C20" s="2"/>
      <c r="D20" s="2"/>
      <c r="E20" s="9"/>
      <c r="F20" s="9"/>
      <c r="G20" s="9"/>
      <c r="H20" s="9"/>
      <c r="I20" s="37">
        <f>0.1*(H_Sept[[#This Row],[Heures de nuit]]+IF(H_Sept[[#This Row],[majoration dim &amp; JF]]="non",0,H_Sept[[#This Row],[heures jour dimanche]]+H_Sept[[#This Row],[heures jour fériés]]))</f>
        <v>0</v>
      </c>
      <c r="J20" s="38">
        <f>(MOD(H_Sept[[#This Row],[Fin]]-H_Sept[[#This Row],[début]],1)-MOD(H_Sept[[#This Row],[PNP Fin]]-H_Sept[[#This Row],[PNP Début]],1))*24</f>
        <v>0</v>
      </c>
      <c r="K20" s="122" t="str">
        <f>IFERROR(VLOOKUP(H_Sept[[#This Row],[Service]],Codes[],4,0),"")</f>
        <v/>
      </c>
      <c r="L20" s="39">
        <f>IF(H_Sept[[#This Row],[PNP Début]]=0,0,IF(H_Sept[[#This Row],[PNP Début]]&lt;H_Sept[[#This Row],[début]],1,0)+H_Sept[[#This Row],[PNP Début]])</f>
        <v>0</v>
      </c>
      <c r="M20" s="40">
        <f>IF(H_Sept[[#This Row],[PNP Fin]]=0,0,IF(H_Sept[[#This Row],[PNP Fin]]&lt;H_Sept[[#This Row],[début]],1,0)+H_Sept[[#This Row],[PNP Fin]])</f>
        <v>0</v>
      </c>
      <c r="N20" s="40">
        <f>IF(H_Sept[[#This Row],[Fin]]&lt;H_Sept[[#This Row],[début]],1,0)+H_Sept[[#This Row],[Fin]]</f>
        <v>0</v>
      </c>
      <c r="O20" s="31">
        <f>IF(H_Sept[[#This Row],[Fin]]&lt;H_Sept[[#This Row],[début]],MAX(0,MIN(H_Sept[[#This Row],[Fin corrigée si nuit]],fin_nuit)-MAX(H_Sept[[#This Row],[début]],deb_nuit))*24,(MAX(deb_nuit,H_Sept[[#This Row],[Fin]])-MAX(deb_nuit,H_Sept[[#This Row],[début]])+MAX(MIN(fin_nuit-1,H_Sept[[#This Row],[Fin]])-MIN(fin_nuit-1,H_Sept[[#This Row],[début]]),0))*24)</f>
        <v>0</v>
      </c>
      <c r="P20" s="41">
        <f>(MAX(0,MIN(H_Sept[[#This Row],[Fin corrigée si nuit]],fin_nuit)-MAX(H_Sept[[#This Row],[début]],deb_nuit))-IF(H_Sept[[#This Row],[PNP Début]]=0,0,MIN(H_Sept[[#This Row],[PNP Fin corrigée]],fin_nuit)-MAX(H_Sept[[#This Row],[PNP Début corrigé]],deb_nuit)))*24</f>
        <v>0</v>
      </c>
      <c r="Q20" s="41">
        <f>(IF(WEEKDAY(H_Sept[[#This Row],[Date]],2)=7,MAX(0,MIN(fin_dimJF,H_Sept[[#This Row],[Fin corrigée si nuit]])-MAX(deb_dimJF,H_Sept[[#This Row],[début]])),0)+IF(WEEKDAY(H_Sept[[#This Row],[Date]],2)=6,MAX(0,H_Sept[[#This Row],[Fin corrigée si nuit]]-(1+deb_dimJF)),0))*24</f>
        <v>0</v>
      </c>
      <c r="R20" s="4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0" s="41">
        <f>(IF(COUNTIF(JF,H_Sept[[#This Row],[Date]]),MAX(0,MIN(fin_dimJF,H_Sept[[#This Row],[Fin corrigée si nuit]])-MAX(deb_dimJF,H_Sept[[#This Row],[début]])),0)+IF(COUNTIF(JF,H_Sept[[#This Row],[Date]]+1),MAX(0,H_Sept[[#This Row],[Fin corrigée si nuit]]-(1+deb_dimJF)),0))*24</f>
        <v>0</v>
      </c>
      <c r="T20" s="4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1" spans="1:20" x14ac:dyDescent="0.3">
      <c r="A21" s="4"/>
      <c r="B21" s="1"/>
      <c r="C21" s="2"/>
      <c r="D21" s="2"/>
      <c r="E21" s="3"/>
      <c r="F21" s="3"/>
      <c r="G21" s="10"/>
      <c r="H21" s="10"/>
      <c r="I21" s="42">
        <f>0.1*(H_Sept[[#This Row],[Heures de nuit]]+IF(H_Sept[[#This Row],[majoration dim &amp; JF]]="non",0,H_Sept[[#This Row],[heures jour dimanche]]+H_Sept[[#This Row],[heures jour fériés]]))</f>
        <v>0</v>
      </c>
      <c r="J21" s="43">
        <f>(MOD(H_Sept[[#This Row],[Fin]]-H_Sept[[#This Row],[début]],1)-MOD(H_Sept[[#This Row],[PNP Fin]]-H_Sept[[#This Row],[PNP Début]],1))*24</f>
        <v>0</v>
      </c>
      <c r="K21" s="123" t="str">
        <f>IFERROR(VLOOKUP(H_Sept[[#This Row],[Service]],Codes[],4,0),"")</f>
        <v/>
      </c>
      <c r="L21" s="44">
        <f>IF(H_Sept[[#This Row],[PNP Début]]=0,0,IF(H_Sept[[#This Row],[PNP Début]]&lt;H_Sept[[#This Row],[début]],1,0)+H_Sept[[#This Row],[PNP Début]])</f>
        <v>0</v>
      </c>
      <c r="M21" s="45">
        <f>IF(H_Sept[[#This Row],[PNP Fin]]=0,0,IF(H_Sept[[#This Row],[PNP Fin]]&lt;H_Sept[[#This Row],[début]],1,0)+H_Sept[[#This Row],[PNP Fin]])</f>
        <v>0</v>
      </c>
      <c r="N21" s="45">
        <f>IF(H_Sept[[#This Row],[Fin]]&lt;H_Sept[[#This Row],[début]],1,0)+H_Sept[[#This Row],[Fin]]</f>
        <v>0</v>
      </c>
      <c r="O21" s="31">
        <f>IF(H_Sept[[#This Row],[Fin]]&lt;H_Sept[[#This Row],[début]],MAX(0,MIN(H_Sept[[#This Row],[Fin corrigée si nuit]],fin_nuit)-MAX(H_Sept[[#This Row],[début]],deb_nuit))*24,(MAX(deb_nuit,H_Sept[[#This Row],[Fin]])-MAX(deb_nuit,H_Sept[[#This Row],[début]])+MAX(MIN(fin_nuit-1,H_Sept[[#This Row],[Fin]])-MIN(fin_nuit-1,H_Sept[[#This Row],[début]]),0))*24)</f>
        <v>0</v>
      </c>
      <c r="P21" s="46">
        <f>(MAX(0,MIN(H_Sept[[#This Row],[Fin corrigée si nuit]],fin_nuit)-MAX(H_Sept[[#This Row],[début]],deb_nuit))-IF(H_Sept[[#This Row],[PNP Début]]=0,0,MIN(H_Sept[[#This Row],[PNP Fin corrigée]],fin_nuit)-MAX(H_Sept[[#This Row],[PNP Début corrigé]],deb_nuit)))*24</f>
        <v>0</v>
      </c>
      <c r="Q21" s="46">
        <f>(IF(WEEKDAY(H_Sept[[#This Row],[Date]],2)=7,MAX(0,MIN(fin_dimJF,H_Sept[[#This Row],[Fin corrigée si nuit]])-MAX(deb_dimJF,H_Sept[[#This Row],[début]])),0)+IF(WEEKDAY(H_Sept[[#This Row],[Date]],2)=6,MAX(0,H_Sept[[#This Row],[Fin corrigée si nuit]]-(1+deb_dimJF)),0))*24</f>
        <v>0</v>
      </c>
      <c r="R21" s="46">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1" s="46">
        <f>(IF(COUNTIF(JF,H_Sept[[#This Row],[Date]]),MAX(0,MIN(fin_dimJF,H_Sept[[#This Row],[Fin corrigée si nuit]])-MAX(deb_dimJF,H_Sept[[#This Row],[début]])),0)+IF(COUNTIF(JF,H_Sept[[#This Row],[Date]]+1),MAX(0,H_Sept[[#This Row],[Fin corrigée si nuit]]-(1+deb_dimJF)),0))*24</f>
        <v>0</v>
      </c>
      <c r="T21" s="46">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2" spans="1:20" x14ac:dyDescent="0.3">
      <c r="A22" s="4"/>
      <c r="B22" s="1"/>
      <c r="C22" s="2"/>
      <c r="D22" s="2"/>
      <c r="E22" s="3"/>
      <c r="F22" s="3"/>
      <c r="G22" s="3"/>
      <c r="H22" s="3"/>
      <c r="I22" s="47">
        <f>0.1*(H_Sept[[#This Row],[Heures de nuit]]+IF(H_Sept[[#This Row],[majoration dim &amp; JF]]="non",0,H_Sept[[#This Row],[heures jour dimanche]]+H_Sept[[#This Row],[heures jour fériés]]))</f>
        <v>0</v>
      </c>
      <c r="J22" s="48">
        <f>(MOD(H_Sept[[#This Row],[Fin]]-H_Sept[[#This Row],[début]],1)-MOD(H_Sept[[#This Row],[PNP Fin]]-H_Sept[[#This Row],[PNP Début]],1))*24</f>
        <v>0</v>
      </c>
      <c r="K22" s="119" t="str">
        <f>IFERROR(VLOOKUP(H_Sept[[#This Row],[Service]],Codes[],4,0),"")</f>
        <v/>
      </c>
      <c r="L22" s="49">
        <f>IF(H_Sept[[#This Row],[PNP Début]]=0,0,IF(H_Sept[[#This Row],[PNP Début]]&lt;H_Sept[[#This Row],[début]],1,0)+H_Sept[[#This Row],[PNP Début]])</f>
        <v>0</v>
      </c>
      <c r="M22" s="50">
        <f>IF(H_Sept[[#This Row],[PNP Fin]]=0,0,IF(H_Sept[[#This Row],[PNP Fin]]&lt;H_Sept[[#This Row],[début]],1,0)+H_Sept[[#This Row],[PNP Fin]])</f>
        <v>0</v>
      </c>
      <c r="N22" s="50">
        <f>IF(H_Sept[[#This Row],[Fin]]&lt;H_Sept[[#This Row],[début]],1,0)+H_Sept[[#This Row],[Fin]]</f>
        <v>0</v>
      </c>
      <c r="O22" s="31">
        <f>IF(H_Sept[[#This Row],[Fin]]&lt;H_Sept[[#This Row],[début]],MAX(0,MIN(H_Sept[[#This Row],[Fin corrigée si nuit]],fin_nuit)-MAX(H_Sept[[#This Row],[début]],deb_nuit))*24,(MAX(deb_nuit,H_Sept[[#This Row],[Fin]])-MAX(deb_nuit,H_Sept[[#This Row],[début]])+MAX(MIN(fin_nuit-1,H_Sept[[#This Row],[Fin]])-MIN(fin_nuit-1,H_Sept[[#This Row],[début]]),0))*24)</f>
        <v>0</v>
      </c>
      <c r="P22" s="51">
        <f>(MAX(0,MIN(H_Sept[[#This Row],[Fin corrigée si nuit]],fin_nuit)-MAX(H_Sept[[#This Row],[début]],deb_nuit))-IF(H_Sept[[#This Row],[PNP Début]]=0,0,MIN(H_Sept[[#This Row],[PNP Fin corrigée]],fin_nuit)-MAX(H_Sept[[#This Row],[PNP Début corrigé]],deb_nuit)))*24</f>
        <v>0</v>
      </c>
      <c r="Q22" s="51">
        <f>(IF(WEEKDAY(H_Sept[[#This Row],[Date]],2)=7,MAX(0,MIN(fin_dimJF,H_Sept[[#This Row],[Fin corrigée si nuit]])-MAX(deb_dimJF,H_Sept[[#This Row],[début]])),0)+IF(WEEKDAY(H_Sept[[#This Row],[Date]],2)=6,MAX(0,H_Sept[[#This Row],[Fin corrigée si nuit]]-(1+deb_dimJF)),0))*24</f>
        <v>0</v>
      </c>
      <c r="R22"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2" s="51">
        <f>(IF(COUNTIF(JF,H_Sept[[#This Row],[Date]]),MAX(0,MIN(fin_dimJF,H_Sept[[#This Row],[Fin corrigée si nuit]])-MAX(deb_dimJF,H_Sept[[#This Row],[début]])),0)+IF(COUNTIF(JF,H_Sept[[#This Row],[Date]]+1),MAX(0,H_Sept[[#This Row],[Fin corrigée si nuit]]-(1+deb_dimJF)),0))*24</f>
        <v>0</v>
      </c>
      <c r="T22"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3" spans="1:20" x14ac:dyDescent="0.3">
      <c r="A23" s="4"/>
      <c r="B23" s="1"/>
      <c r="C23" s="2"/>
      <c r="D23" s="2"/>
      <c r="E23" s="3"/>
      <c r="F23" s="3"/>
      <c r="G23" s="3"/>
      <c r="H23" s="3"/>
      <c r="I23" s="47">
        <f>0.1*(H_Sept[[#This Row],[Heures de nuit]]+IF(H_Sept[[#This Row],[majoration dim &amp; JF]]="non",0,H_Sept[[#This Row],[heures jour dimanche]]+H_Sept[[#This Row],[heures jour fériés]]))</f>
        <v>0</v>
      </c>
      <c r="J23" s="48">
        <f>(MOD(H_Sept[[#This Row],[Fin]]-H_Sept[[#This Row],[début]],1)-MOD(H_Sept[[#This Row],[PNP Fin]]-H_Sept[[#This Row],[PNP Début]],1))*24</f>
        <v>0</v>
      </c>
      <c r="K23" s="119" t="str">
        <f>IFERROR(VLOOKUP(H_Sept[[#This Row],[Service]],Codes[],4,0),"")</f>
        <v/>
      </c>
      <c r="L23" s="49">
        <f>IF(H_Sept[[#This Row],[PNP Début]]=0,0,IF(H_Sept[[#This Row],[PNP Début]]&lt;H_Sept[[#This Row],[début]],1,0)+H_Sept[[#This Row],[PNP Début]])</f>
        <v>0</v>
      </c>
      <c r="M23" s="50">
        <f>IF(H_Sept[[#This Row],[PNP Fin]]=0,0,IF(H_Sept[[#This Row],[PNP Fin]]&lt;H_Sept[[#This Row],[début]],1,0)+H_Sept[[#This Row],[PNP Fin]])</f>
        <v>0</v>
      </c>
      <c r="N23" s="50">
        <f>IF(H_Sept[[#This Row],[Fin]]&lt;H_Sept[[#This Row],[début]],1,0)+H_Sept[[#This Row],[Fin]]</f>
        <v>0</v>
      </c>
      <c r="O23" s="31">
        <f>IF(H_Sept[[#This Row],[Fin]]&lt;H_Sept[[#This Row],[début]],MAX(0,MIN(H_Sept[[#This Row],[Fin corrigée si nuit]],fin_nuit)-MAX(H_Sept[[#This Row],[début]],deb_nuit))*24,(MAX(deb_nuit,H_Sept[[#This Row],[Fin]])-MAX(deb_nuit,H_Sept[[#This Row],[début]])+MAX(MIN(fin_nuit-1,H_Sept[[#This Row],[Fin]])-MIN(fin_nuit-1,H_Sept[[#This Row],[début]]),0))*24)</f>
        <v>0</v>
      </c>
      <c r="P23" s="51">
        <f>(MAX(0,MIN(H_Sept[[#This Row],[Fin corrigée si nuit]],fin_nuit)-MAX(H_Sept[[#This Row],[début]],deb_nuit))-IF(H_Sept[[#This Row],[PNP Début]]=0,0,MIN(H_Sept[[#This Row],[PNP Fin corrigée]],fin_nuit)-MAX(H_Sept[[#This Row],[PNP Début corrigé]],deb_nuit)))*24</f>
        <v>0</v>
      </c>
      <c r="Q23" s="51">
        <f>(IF(WEEKDAY(H_Sept[[#This Row],[Date]],2)=7,MAX(0,MIN(fin_dimJF,H_Sept[[#This Row],[Fin corrigée si nuit]])-MAX(deb_dimJF,H_Sept[[#This Row],[début]])),0)+IF(WEEKDAY(H_Sept[[#This Row],[Date]],2)=6,MAX(0,H_Sept[[#This Row],[Fin corrigée si nuit]]-(1+deb_dimJF)),0))*24</f>
        <v>0</v>
      </c>
      <c r="R23"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3" s="51">
        <f>(IF(COUNTIF(JF,H_Sept[[#This Row],[Date]]),MAX(0,MIN(fin_dimJF,H_Sept[[#This Row],[Fin corrigée si nuit]])-MAX(deb_dimJF,H_Sept[[#This Row],[début]])),0)+IF(COUNTIF(JF,H_Sept[[#This Row],[Date]]+1),MAX(0,H_Sept[[#This Row],[Fin corrigée si nuit]]-(1+deb_dimJF)),0))*24</f>
        <v>0</v>
      </c>
      <c r="T23"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4" spans="1:20" x14ac:dyDescent="0.3">
      <c r="A24" s="4"/>
      <c r="B24" s="1"/>
      <c r="C24" s="2"/>
      <c r="D24" s="2"/>
      <c r="E24" s="3"/>
      <c r="F24" s="3"/>
      <c r="G24" s="3"/>
      <c r="H24" s="3"/>
      <c r="I24" s="47">
        <f>0.1*(H_Sept[[#This Row],[Heures de nuit]]+IF(H_Sept[[#This Row],[majoration dim &amp; JF]]="non",0,H_Sept[[#This Row],[heures jour dimanche]]+H_Sept[[#This Row],[heures jour fériés]]))</f>
        <v>0</v>
      </c>
      <c r="J24" s="48">
        <f>(MOD(H_Sept[[#This Row],[Fin]]-H_Sept[[#This Row],[début]],1)-MOD(H_Sept[[#This Row],[PNP Fin]]-H_Sept[[#This Row],[PNP Début]],1))*24</f>
        <v>0</v>
      </c>
      <c r="K24" s="119" t="str">
        <f>IFERROR(VLOOKUP(H_Sept[[#This Row],[Service]],Codes[],4,0),"")</f>
        <v/>
      </c>
      <c r="L24" s="49">
        <f>IF(H_Sept[[#This Row],[PNP Début]]=0,0,IF(H_Sept[[#This Row],[PNP Début]]&lt;H_Sept[[#This Row],[début]],1,0)+H_Sept[[#This Row],[PNP Début]])</f>
        <v>0</v>
      </c>
      <c r="M24" s="50">
        <f>IF(H_Sept[[#This Row],[PNP Fin]]=0,0,IF(H_Sept[[#This Row],[PNP Fin]]&lt;H_Sept[[#This Row],[début]],1,0)+H_Sept[[#This Row],[PNP Fin]])</f>
        <v>0</v>
      </c>
      <c r="N24" s="50">
        <f>IF(H_Sept[[#This Row],[Fin]]&lt;H_Sept[[#This Row],[début]],1,0)+H_Sept[[#This Row],[Fin]]</f>
        <v>0</v>
      </c>
      <c r="O24" s="31">
        <f>IF(H_Sept[[#This Row],[Fin]]&lt;H_Sept[[#This Row],[début]],MAX(0,MIN(H_Sept[[#This Row],[Fin corrigée si nuit]],fin_nuit)-MAX(H_Sept[[#This Row],[début]],deb_nuit))*24,(MAX(deb_nuit,H_Sept[[#This Row],[Fin]])-MAX(deb_nuit,H_Sept[[#This Row],[début]])+MAX(MIN(fin_nuit-1,H_Sept[[#This Row],[Fin]])-MIN(fin_nuit-1,H_Sept[[#This Row],[début]]),0))*24)</f>
        <v>0</v>
      </c>
      <c r="P24" s="51">
        <f>(MAX(0,MIN(H_Sept[[#This Row],[Fin corrigée si nuit]],fin_nuit)-MAX(H_Sept[[#This Row],[début]],deb_nuit))-IF(H_Sept[[#This Row],[PNP Début]]=0,0,MIN(H_Sept[[#This Row],[PNP Fin corrigée]],fin_nuit)-MAX(H_Sept[[#This Row],[PNP Début corrigé]],deb_nuit)))*24</f>
        <v>0</v>
      </c>
      <c r="Q24" s="51">
        <f>(IF(WEEKDAY(H_Sept[[#This Row],[Date]],2)=7,MAX(0,MIN(fin_dimJF,H_Sept[[#This Row],[Fin corrigée si nuit]])-MAX(deb_dimJF,H_Sept[[#This Row],[début]])),0)+IF(WEEKDAY(H_Sept[[#This Row],[Date]],2)=6,MAX(0,H_Sept[[#This Row],[Fin corrigée si nuit]]-(1+deb_dimJF)),0))*24</f>
        <v>0</v>
      </c>
      <c r="R24"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4" s="51">
        <f>(IF(COUNTIF(JF,H_Sept[[#This Row],[Date]]),MAX(0,MIN(fin_dimJF,H_Sept[[#This Row],[Fin corrigée si nuit]])-MAX(deb_dimJF,H_Sept[[#This Row],[début]])),0)+IF(COUNTIF(JF,H_Sept[[#This Row],[Date]]+1),MAX(0,H_Sept[[#This Row],[Fin corrigée si nuit]]-(1+deb_dimJF)),0))*24</f>
        <v>0</v>
      </c>
      <c r="T24"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5" spans="1:20" x14ac:dyDescent="0.3">
      <c r="A25" s="4"/>
      <c r="B25" s="1"/>
      <c r="C25" s="2"/>
      <c r="D25" s="2"/>
      <c r="E25" s="3"/>
      <c r="F25" s="3"/>
      <c r="G25" s="3"/>
      <c r="H25" s="3"/>
      <c r="I25" s="47">
        <f>0.1*(H_Sept[[#This Row],[Heures de nuit]]+IF(H_Sept[[#This Row],[majoration dim &amp; JF]]="non",0,H_Sept[[#This Row],[heures jour dimanche]]+H_Sept[[#This Row],[heures jour fériés]]))</f>
        <v>0</v>
      </c>
      <c r="J25" s="48">
        <f>(MOD(H_Sept[[#This Row],[Fin]]-H_Sept[[#This Row],[début]],1)-MOD(H_Sept[[#This Row],[PNP Fin]]-H_Sept[[#This Row],[PNP Début]],1))*24</f>
        <v>0</v>
      </c>
      <c r="K25" s="119" t="str">
        <f>IFERROR(VLOOKUP(H_Sept[[#This Row],[Service]],Codes[],4,0),"")</f>
        <v/>
      </c>
      <c r="L25" s="49">
        <f>IF(H_Sept[[#This Row],[PNP Début]]=0,0,IF(H_Sept[[#This Row],[PNP Début]]&lt;H_Sept[[#This Row],[début]],1,0)+H_Sept[[#This Row],[PNP Début]])</f>
        <v>0</v>
      </c>
      <c r="M25" s="50">
        <f>IF(H_Sept[[#This Row],[PNP Fin]]=0,0,IF(H_Sept[[#This Row],[PNP Fin]]&lt;H_Sept[[#This Row],[début]],1,0)+H_Sept[[#This Row],[PNP Fin]])</f>
        <v>0</v>
      </c>
      <c r="N25" s="50">
        <f>IF(H_Sept[[#This Row],[Fin]]&lt;H_Sept[[#This Row],[début]],1,0)+H_Sept[[#This Row],[Fin]]</f>
        <v>0</v>
      </c>
      <c r="O25" s="31">
        <f>IF(H_Sept[[#This Row],[Fin]]&lt;H_Sept[[#This Row],[début]],MAX(0,MIN(H_Sept[[#This Row],[Fin corrigée si nuit]],fin_nuit)-MAX(H_Sept[[#This Row],[début]],deb_nuit))*24,(MAX(deb_nuit,H_Sept[[#This Row],[Fin]])-MAX(deb_nuit,H_Sept[[#This Row],[début]])+MAX(MIN(fin_nuit-1,H_Sept[[#This Row],[Fin]])-MIN(fin_nuit-1,H_Sept[[#This Row],[début]]),0))*24)</f>
        <v>0</v>
      </c>
      <c r="P25" s="51">
        <f>(MAX(0,MIN(H_Sept[[#This Row],[Fin corrigée si nuit]],fin_nuit)-MAX(H_Sept[[#This Row],[début]],deb_nuit))-IF(H_Sept[[#This Row],[PNP Début]]=0,0,MIN(H_Sept[[#This Row],[PNP Fin corrigée]],fin_nuit)-MAX(H_Sept[[#This Row],[PNP Début corrigé]],deb_nuit)))*24</f>
        <v>0</v>
      </c>
      <c r="Q25" s="51">
        <f>(IF(WEEKDAY(H_Sept[[#This Row],[Date]],2)=7,MAX(0,MIN(fin_dimJF,H_Sept[[#This Row],[Fin corrigée si nuit]])-MAX(deb_dimJF,H_Sept[[#This Row],[début]])),0)+IF(WEEKDAY(H_Sept[[#This Row],[Date]],2)=6,MAX(0,H_Sept[[#This Row],[Fin corrigée si nuit]]-(1+deb_dimJF)),0))*24</f>
        <v>0</v>
      </c>
      <c r="R25"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5" s="51">
        <f>(IF(COUNTIF(JF,H_Sept[[#This Row],[Date]]),MAX(0,MIN(fin_dimJF,H_Sept[[#This Row],[Fin corrigée si nuit]])-MAX(deb_dimJF,H_Sept[[#This Row],[début]])),0)+IF(COUNTIF(JF,H_Sept[[#This Row],[Date]]+1),MAX(0,H_Sept[[#This Row],[Fin corrigée si nuit]]-(1+deb_dimJF)),0))*24</f>
        <v>0</v>
      </c>
      <c r="T25"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6" spans="1:20" ht="14.4" customHeight="1" x14ac:dyDescent="0.3">
      <c r="A26" s="4"/>
      <c r="B26" s="1"/>
      <c r="C26" s="2"/>
      <c r="D26" s="2"/>
      <c r="E26" s="3"/>
      <c r="F26" s="3"/>
      <c r="G26" s="3"/>
      <c r="H26" s="3"/>
      <c r="I26" s="47">
        <f>0.1*(H_Sept[[#This Row],[Heures de nuit]]+IF(H_Sept[[#This Row],[majoration dim &amp; JF]]="non",0,H_Sept[[#This Row],[heures jour dimanche]]+H_Sept[[#This Row],[heures jour fériés]]))</f>
        <v>0</v>
      </c>
      <c r="J26" s="48">
        <f>(MOD(H_Sept[[#This Row],[Fin]]-H_Sept[[#This Row],[début]],1)-MOD(H_Sept[[#This Row],[PNP Fin]]-H_Sept[[#This Row],[PNP Début]],1))*24</f>
        <v>0</v>
      </c>
      <c r="K26" s="119" t="str">
        <f>IFERROR(VLOOKUP(H_Sept[[#This Row],[Service]],Codes[],4,0),"")</f>
        <v/>
      </c>
      <c r="L26" s="49">
        <f>IF(H_Sept[[#This Row],[PNP Début]]=0,0,IF(H_Sept[[#This Row],[PNP Début]]&lt;H_Sept[[#This Row],[début]],1,0)+H_Sept[[#This Row],[PNP Début]])</f>
        <v>0</v>
      </c>
      <c r="M26" s="50">
        <f>IF(H_Sept[[#This Row],[PNP Fin]]=0,0,IF(H_Sept[[#This Row],[PNP Fin]]&lt;H_Sept[[#This Row],[début]],1,0)+H_Sept[[#This Row],[PNP Fin]])</f>
        <v>0</v>
      </c>
      <c r="N26" s="50">
        <f>IF(H_Sept[[#This Row],[Fin]]&lt;H_Sept[[#This Row],[début]],1,0)+H_Sept[[#This Row],[Fin]]</f>
        <v>0</v>
      </c>
      <c r="O26" s="31">
        <f>IF(H_Sept[[#This Row],[Fin]]&lt;H_Sept[[#This Row],[début]],MAX(0,MIN(H_Sept[[#This Row],[Fin corrigée si nuit]],fin_nuit)-MAX(H_Sept[[#This Row],[début]],deb_nuit))*24,(MAX(deb_nuit,H_Sept[[#This Row],[Fin]])-MAX(deb_nuit,H_Sept[[#This Row],[début]])+MAX(MIN(fin_nuit-1,H_Sept[[#This Row],[Fin]])-MIN(fin_nuit-1,H_Sept[[#This Row],[début]]),0))*24)</f>
        <v>0</v>
      </c>
      <c r="P26" s="51">
        <f>(MAX(0,MIN(H_Sept[[#This Row],[Fin corrigée si nuit]],fin_nuit)-MAX(H_Sept[[#This Row],[début]],deb_nuit))-IF(H_Sept[[#This Row],[PNP Début]]=0,0,MIN(H_Sept[[#This Row],[PNP Fin corrigée]],fin_nuit)-MAX(H_Sept[[#This Row],[PNP Début corrigé]],deb_nuit)))*24</f>
        <v>0</v>
      </c>
      <c r="Q26" s="51">
        <f>(IF(WEEKDAY(H_Sept[[#This Row],[Date]],2)=7,MAX(0,MIN(fin_dimJF,H_Sept[[#This Row],[Fin corrigée si nuit]])-MAX(deb_dimJF,H_Sept[[#This Row],[début]])),0)+IF(WEEKDAY(H_Sept[[#This Row],[Date]],2)=6,MAX(0,H_Sept[[#This Row],[Fin corrigée si nuit]]-(1+deb_dimJF)),0))*24</f>
        <v>0</v>
      </c>
      <c r="R26"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6" s="51">
        <f>(IF(COUNTIF(JF,H_Sept[[#This Row],[Date]]),MAX(0,MIN(fin_dimJF,H_Sept[[#This Row],[Fin corrigée si nuit]])-MAX(deb_dimJF,H_Sept[[#This Row],[début]])),0)+IF(COUNTIF(JF,H_Sept[[#This Row],[Date]]+1),MAX(0,H_Sept[[#This Row],[Fin corrigée si nuit]]-(1+deb_dimJF)),0))*24</f>
        <v>0</v>
      </c>
      <c r="T26"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7" spans="1:20" x14ac:dyDescent="0.3">
      <c r="A27" s="4"/>
      <c r="B27" s="1"/>
      <c r="C27" s="2"/>
      <c r="D27" s="2"/>
      <c r="E27" s="3"/>
      <c r="F27" s="3"/>
      <c r="G27" s="3"/>
      <c r="H27" s="3"/>
      <c r="I27" s="47">
        <f>0.1*(H_Sept[[#This Row],[Heures de nuit]]+IF(H_Sept[[#This Row],[majoration dim &amp; JF]]="non",0,H_Sept[[#This Row],[heures jour dimanche]]+H_Sept[[#This Row],[heures jour fériés]]))</f>
        <v>0</v>
      </c>
      <c r="J27" s="48">
        <f>(MOD(H_Sept[[#This Row],[Fin]]-H_Sept[[#This Row],[début]],1)-MOD(H_Sept[[#This Row],[PNP Fin]]-H_Sept[[#This Row],[PNP Début]],1))*24</f>
        <v>0</v>
      </c>
      <c r="K27" s="119" t="str">
        <f>IFERROR(VLOOKUP(H_Sept[[#This Row],[Service]],Codes[],4,0),"")</f>
        <v/>
      </c>
      <c r="L27" s="49">
        <f>IF(H_Sept[[#This Row],[PNP Début]]=0,0,IF(H_Sept[[#This Row],[PNP Début]]&lt;H_Sept[[#This Row],[début]],1,0)+H_Sept[[#This Row],[PNP Début]])</f>
        <v>0</v>
      </c>
      <c r="M27" s="50">
        <f>IF(H_Sept[[#This Row],[PNP Fin]]=0,0,IF(H_Sept[[#This Row],[PNP Fin]]&lt;H_Sept[[#This Row],[début]],1,0)+H_Sept[[#This Row],[PNP Fin]])</f>
        <v>0</v>
      </c>
      <c r="N27" s="50">
        <f>IF(H_Sept[[#This Row],[Fin]]&lt;H_Sept[[#This Row],[début]],1,0)+H_Sept[[#This Row],[Fin]]</f>
        <v>0</v>
      </c>
      <c r="O27" s="31">
        <f>IF(H_Sept[[#This Row],[Fin]]&lt;H_Sept[[#This Row],[début]],MAX(0,MIN(H_Sept[[#This Row],[Fin corrigée si nuit]],fin_nuit)-MAX(H_Sept[[#This Row],[début]],deb_nuit))*24,(MAX(deb_nuit,H_Sept[[#This Row],[Fin]])-MAX(deb_nuit,H_Sept[[#This Row],[début]])+MAX(MIN(fin_nuit-1,H_Sept[[#This Row],[Fin]])-MIN(fin_nuit-1,H_Sept[[#This Row],[début]]),0))*24)</f>
        <v>0</v>
      </c>
      <c r="P27" s="51">
        <f>(MAX(0,MIN(H_Sept[[#This Row],[Fin corrigée si nuit]],fin_nuit)-MAX(H_Sept[[#This Row],[début]],deb_nuit))-IF(H_Sept[[#This Row],[PNP Début]]=0,0,MIN(H_Sept[[#This Row],[PNP Fin corrigée]],fin_nuit)-MAX(H_Sept[[#This Row],[PNP Début corrigé]],deb_nuit)))*24</f>
        <v>0</v>
      </c>
      <c r="Q27" s="51">
        <f>(IF(WEEKDAY(H_Sept[[#This Row],[Date]],2)=7,MAX(0,MIN(fin_dimJF,H_Sept[[#This Row],[Fin corrigée si nuit]])-MAX(deb_dimJF,H_Sept[[#This Row],[début]])),0)+IF(WEEKDAY(H_Sept[[#This Row],[Date]],2)=6,MAX(0,H_Sept[[#This Row],[Fin corrigée si nuit]]-(1+deb_dimJF)),0))*24</f>
        <v>0</v>
      </c>
      <c r="R27"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7" s="51">
        <f>(IF(COUNTIF(JF,H_Sept[[#This Row],[Date]]),MAX(0,MIN(fin_dimJF,H_Sept[[#This Row],[Fin corrigée si nuit]])-MAX(deb_dimJF,H_Sept[[#This Row],[début]])),0)+IF(COUNTIF(JF,H_Sept[[#This Row],[Date]]+1),MAX(0,H_Sept[[#This Row],[Fin corrigée si nuit]]-(1+deb_dimJF)),0))*24</f>
        <v>0</v>
      </c>
      <c r="T27"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8" spans="1:20" x14ac:dyDescent="0.3">
      <c r="A28" s="4"/>
      <c r="B28" s="1"/>
      <c r="C28" s="2"/>
      <c r="D28" s="2"/>
      <c r="E28" s="3"/>
      <c r="F28" s="3"/>
      <c r="G28" s="3"/>
      <c r="H28" s="3"/>
      <c r="I28" s="47">
        <f>0.1*(H_Sept[[#This Row],[Heures de nuit]]+IF(H_Sept[[#This Row],[majoration dim &amp; JF]]="non",0,H_Sept[[#This Row],[heures jour dimanche]]+H_Sept[[#This Row],[heures jour fériés]]))</f>
        <v>0</v>
      </c>
      <c r="J28" s="48">
        <f>(MOD(H_Sept[[#This Row],[Fin]]-H_Sept[[#This Row],[début]],1)-MOD(H_Sept[[#This Row],[PNP Fin]]-H_Sept[[#This Row],[PNP Début]],1))*24</f>
        <v>0</v>
      </c>
      <c r="K28" s="119" t="str">
        <f>IFERROR(VLOOKUP(H_Sept[[#This Row],[Service]],Codes[],4,0),"")</f>
        <v/>
      </c>
      <c r="L28" s="49">
        <f>IF(H_Sept[[#This Row],[PNP Début]]=0,0,IF(H_Sept[[#This Row],[PNP Début]]&lt;H_Sept[[#This Row],[début]],1,0)+H_Sept[[#This Row],[PNP Début]])</f>
        <v>0</v>
      </c>
      <c r="M28" s="50">
        <f>IF(H_Sept[[#This Row],[PNP Fin]]=0,0,IF(H_Sept[[#This Row],[PNP Fin]]&lt;H_Sept[[#This Row],[début]],1,0)+H_Sept[[#This Row],[PNP Fin]])</f>
        <v>0</v>
      </c>
      <c r="N28" s="50">
        <f>IF(H_Sept[[#This Row],[Fin]]&lt;H_Sept[[#This Row],[début]],1,0)+H_Sept[[#This Row],[Fin]]</f>
        <v>0</v>
      </c>
      <c r="O28" s="31">
        <f>IF(H_Sept[[#This Row],[Fin]]&lt;H_Sept[[#This Row],[début]],MAX(0,MIN(H_Sept[[#This Row],[Fin corrigée si nuit]],fin_nuit)-MAX(H_Sept[[#This Row],[début]],deb_nuit))*24,(MAX(deb_nuit,H_Sept[[#This Row],[Fin]])-MAX(deb_nuit,H_Sept[[#This Row],[début]])+MAX(MIN(fin_nuit-1,H_Sept[[#This Row],[Fin]])-MIN(fin_nuit-1,H_Sept[[#This Row],[début]]),0))*24)</f>
        <v>0</v>
      </c>
      <c r="P28" s="51">
        <f>(MAX(0,MIN(H_Sept[[#This Row],[Fin corrigée si nuit]],fin_nuit)-MAX(H_Sept[[#This Row],[début]],deb_nuit))-IF(H_Sept[[#This Row],[PNP Début]]=0,0,MIN(H_Sept[[#This Row],[PNP Fin corrigée]],fin_nuit)-MAX(H_Sept[[#This Row],[PNP Début corrigé]],deb_nuit)))*24</f>
        <v>0</v>
      </c>
      <c r="Q28" s="51">
        <f>(IF(WEEKDAY(H_Sept[[#This Row],[Date]],2)=7,MAX(0,MIN(fin_dimJF,H_Sept[[#This Row],[Fin corrigée si nuit]])-MAX(deb_dimJF,H_Sept[[#This Row],[début]])),0)+IF(WEEKDAY(H_Sept[[#This Row],[Date]],2)=6,MAX(0,H_Sept[[#This Row],[Fin corrigée si nuit]]-(1+deb_dimJF)),0))*24</f>
        <v>0</v>
      </c>
      <c r="R28"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8" s="51">
        <f>(IF(COUNTIF(JF,H_Sept[[#This Row],[Date]]),MAX(0,MIN(fin_dimJF,H_Sept[[#This Row],[Fin corrigée si nuit]])-MAX(deb_dimJF,H_Sept[[#This Row],[début]])),0)+IF(COUNTIF(JF,H_Sept[[#This Row],[Date]]+1),MAX(0,H_Sept[[#This Row],[Fin corrigée si nuit]]-(1+deb_dimJF)),0))*24</f>
        <v>0</v>
      </c>
      <c r="T28"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29" spans="1:20" x14ac:dyDescent="0.3">
      <c r="A29" s="4"/>
      <c r="B29" s="1"/>
      <c r="C29" s="2"/>
      <c r="D29" s="2"/>
      <c r="E29" s="3"/>
      <c r="F29" s="3"/>
      <c r="G29" s="3"/>
      <c r="H29" s="3"/>
      <c r="I29" s="47">
        <f>0.1*(H_Sept[[#This Row],[Heures de nuit]]+IF(H_Sept[[#This Row],[majoration dim &amp; JF]]="non",0,H_Sept[[#This Row],[heures jour dimanche]]+H_Sept[[#This Row],[heures jour fériés]]))</f>
        <v>0</v>
      </c>
      <c r="J29" s="48">
        <f>(MOD(H_Sept[[#This Row],[Fin]]-H_Sept[[#This Row],[début]],1)-MOD(H_Sept[[#This Row],[PNP Fin]]-H_Sept[[#This Row],[PNP Début]],1))*24</f>
        <v>0</v>
      </c>
      <c r="K29" s="119" t="str">
        <f>IFERROR(VLOOKUP(H_Sept[[#This Row],[Service]],Codes[],4,0),"")</f>
        <v/>
      </c>
      <c r="L29" s="49">
        <f>IF(H_Sept[[#This Row],[PNP Début]]=0,0,IF(H_Sept[[#This Row],[PNP Début]]&lt;H_Sept[[#This Row],[début]],1,0)+H_Sept[[#This Row],[PNP Début]])</f>
        <v>0</v>
      </c>
      <c r="M29" s="50">
        <f>IF(H_Sept[[#This Row],[PNP Fin]]=0,0,IF(H_Sept[[#This Row],[PNP Fin]]&lt;H_Sept[[#This Row],[début]],1,0)+H_Sept[[#This Row],[PNP Fin]])</f>
        <v>0</v>
      </c>
      <c r="N29" s="50">
        <f>IF(H_Sept[[#This Row],[Fin]]&lt;H_Sept[[#This Row],[début]],1,0)+H_Sept[[#This Row],[Fin]]</f>
        <v>0</v>
      </c>
      <c r="O29" s="31">
        <f>IF(H_Sept[[#This Row],[Fin]]&lt;H_Sept[[#This Row],[début]],MAX(0,MIN(H_Sept[[#This Row],[Fin corrigée si nuit]],fin_nuit)-MAX(H_Sept[[#This Row],[début]],deb_nuit))*24,(MAX(deb_nuit,H_Sept[[#This Row],[Fin]])-MAX(deb_nuit,H_Sept[[#This Row],[début]])+MAX(MIN(fin_nuit-1,H_Sept[[#This Row],[Fin]])-MIN(fin_nuit-1,H_Sept[[#This Row],[début]]),0))*24)</f>
        <v>0</v>
      </c>
      <c r="P29" s="51">
        <f>(MAX(0,MIN(H_Sept[[#This Row],[Fin corrigée si nuit]],fin_nuit)-MAX(H_Sept[[#This Row],[début]],deb_nuit))-IF(H_Sept[[#This Row],[PNP Début]]=0,0,MIN(H_Sept[[#This Row],[PNP Fin corrigée]],fin_nuit)-MAX(H_Sept[[#This Row],[PNP Début corrigé]],deb_nuit)))*24</f>
        <v>0</v>
      </c>
      <c r="Q29" s="51">
        <f>(IF(WEEKDAY(H_Sept[[#This Row],[Date]],2)=7,MAX(0,MIN(fin_dimJF,H_Sept[[#This Row],[Fin corrigée si nuit]])-MAX(deb_dimJF,H_Sept[[#This Row],[début]])),0)+IF(WEEKDAY(H_Sept[[#This Row],[Date]],2)=6,MAX(0,H_Sept[[#This Row],[Fin corrigée si nuit]]-(1+deb_dimJF)),0))*24</f>
        <v>0</v>
      </c>
      <c r="R29"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29" s="51">
        <f>(IF(COUNTIF(JF,H_Sept[[#This Row],[Date]]),MAX(0,MIN(fin_dimJF,H_Sept[[#This Row],[Fin corrigée si nuit]])-MAX(deb_dimJF,H_Sept[[#This Row],[début]])),0)+IF(COUNTIF(JF,H_Sept[[#This Row],[Date]]+1),MAX(0,H_Sept[[#This Row],[Fin corrigée si nuit]]-(1+deb_dimJF)),0))*24</f>
        <v>0</v>
      </c>
      <c r="T29"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0" spans="1:20" x14ac:dyDescent="0.3">
      <c r="A30" s="4"/>
      <c r="B30" s="1"/>
      <c r="C30" s="2"/>
      <c r="D30" s="2"/>
      <c r="E30" s="3"/>
      <c r="F30" s="3"/>
      <c r="G30" s="3"/>
      <c r="H30" s="3"/>
      <c r="I30" s="47">
        <f>0.1*(H_Sept[[#This Row],[Heures de nuit]]+IF(H_Sept[[#This Row],[majoration dim &amp; JF]]="non",0,H_Sept[[#This Row],[heures jour dimanche]]+H_Sept[[#This Row],[heures jour fériés]]))</f>
        <v>0</v>
      </c>
      <c r="J30" s="48">
        <f>(MOD(H_Sept[[#This Row],[Fin]]-H_Sept[[#This Row],[début]],1)-MOD(H_Sept[[#This Row],[PNP Fin]]-H_Sept[[#This Row],[PNP Début]],1))*24</f>
        <v>0</v>
      </c>
      <c r="K30" s="119" t="str">
        <f>IFERROR(VLOOKUP(H_Sept[[#This Row],[Service]],Codes[],4,0),"")</f>
        <v/>
      </c>
      <c r="L30" s="49">
        <f>IF(H_Sept[[#This Row],[PNP Début]]=0,0,IF(H_Sept[[#This Row],[PNP Début]]&lt;H_Sept[[#This Row],[début]],1,0)+H_Sept[[#This Row],[PNP Début]])</f>
        <v>0</v>
      </c>
      <c r="M30" s="50">
        <f>IF(H_Sept[[#This Row],[PNP Fin]]=0,0,IF(H_Sept[[#This Row],[PNP Fin]]&lt;H_Sept[[#This Row],[début]],1,0)+H_Sept[[#This Row],[PNP Fin]])</f>
        <v>0</v>
      </c>
      <c r="N30" s="50">
        <f>IF(H_Sept[[#This Row],[Fin]]&lt;H_Sept[[#This Row],[début]],1,0)+H_Sept[[#This Row],[Fin]]</f>
        <v>0</v>
      </c>
      <c r="O30" s="31">
        <f>IF(H_Sept[[#This Row],[Fin]]&lt;H_Sept[[#This Row],[début]],MAX(0,MIN(H_Sept[[#This Row],[Fin corrigée si nuit]],fin_nuit)-MAX(H_Sept[[#This Row],[début]],deb_nuit))*24,(MAX(deb_nuit,H_Sept[[#This Row],[Fin]])-MAX(deb_nuit,H_Sept[[#This Row],[début]])+MAX(MIN(fin_nuit-1,H_Sept[[#This Row],[Fin]])-MIN(fin_nuit-1,H_Sept[[#This Row],[début]]),0))*24)</f>
        <v>0</v>
      </c>
      <c r="P30" s="51">
        <f>(MAX(0,MIN(H_Sept[[#This Row],[Fin corrigée si nuit]],fin_nuit)-MAX(H_Sept[[#This Row],[début]],deb_nuit))-IF(H_Sept[[#This Row],[PNP Début]]=0,0,MIN(H_Sept[[#This Row],[PNP Fin corrigée]],fin_nuit)-MAX(H_Sept[[#This Row],[PNP Début corrigé]],deb_nuit)))*24</f>
        <v>0</v>
      </c>
      <c r="Q30" s="51">
        <f>(IF(WEEKDAY(H_Sept[[#This Row],[Date]],2)=7,MAX(0,MIN(fin_dimJF,H_Sept[[#This Row],[Fin corrigée si nuit]])-MAX(deb_dimJF,H_Sept[[#This Row],[début]])),0)+IF(WEEKDAY(H_Sept[[#This Row],[Date]],2)=6,MAX(0,H_Sept[[#This Row],[Fin corrigée si nuit]]-(1+deb_dimJF)),0))*24</f>
        <v>0</v>
      </c>
      <c r="R30"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0" s="51">
        <f>(IF(COUNTIF(JF,H_Sept[[#This Row],[Date]]),MAX(0,MIN(fin_dimJF,H_Sept[[#This Row],[Fin corrigée si nuit]])-MAX(deb_dimJF,H_Sept[[#This Row],[début]])),0)+IF(COUNTIF(JF,H_Sept[[#This Row],[Date]]+1),MAX(0,H_Sept[[#This Row],[Fin corrigée si nuit]]-(1+deb_dimJF)),0))*24</f>
        <v>0</v>
      </c>
      <c r="T30"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1" spans="1:20" x14ac:dyDescent="0.3">
      <c r="A31" s="4"/>
      <c r="B31" s="1"/>
      <c r="C31" s="2"/>
      <c r="D31" s="2"/>
      <c r="E31" s="3"/>
      <c r="F31" s="3"/>
      <c r="G31" s="3"/>
      <c r="H31" s="3"/>
      <c r="I31" s="47">
        <f>0.1*(H_Sept[[#This Row],[Heures de nuit]]+IF(H_Sept[[#This Row],[majoration dim &amp; JF]]="non",0,H_Sept[[#This Row],[heures jour dimanche]]+H_Sept[[#This Row],[heures jour fériés]]))</f>
        <v>0</v>
      </c>
      <c r="J31" s="48">
        <f>(MOD(H_Sept[[#This Row],[Fin]]-H_Sept[[#This Row],[début]],1)-MOD(H_Sept[[#This Row],[PNP Fin]]-H_Sept[[#This Row],[PNP Début]],1))*24</f>
        <v>0</v>
      </c>
      <c r="K31" s="119" t="str">
        <f>IFERROR(VLOOKUP(H_Sept[[#This Row],[Service]],Codes[],4,0),"")</f>
        <v/>
      </c>
      <c r="L31" s="49">
        <f>IF(H_Sept[[#This Row],[PNP Début]]=0,0,IF(H_Sept[[#This Row],[PNP Début]]&lt;H_Sept[[#This Row],[début]],1,0)+H_Sept[[#This Row],[PNP Début]])</f>
        <v>0</v>
      </c>
      <c r="M31" s="50">
        <f>IF(H_Sept[[#This Row],[PNP Fin]]=0,0,IF(H_Sept[[#This Row],[PNP Fin]]&lt;H_Sept[[#This Row],[début]],1,0)+H_Sept[[#This Row],[PNP Fin]])</f>
        <v>0</v>
      </c>
      <c r="N31" s="50">
        <f>IF(H_Sept[[#This Row],[Fin]]&lt;H_Sept[[#This Row],[début]],1,0)+H_Sept[[#This Row],[Fin]]</f>
        <v>0</v>
      </c>
      <c r="O31" s="31">
        <f>IF(H_Sept[[#This Row],[Fin]]&lt;H_Sept[[#This Row],[début]],MAX(0,MIN(H_Sept[[#This Row],[Fin corrigée si nuit]],fin_nuit)-MAX(H_Sept[[#This Row],[début]],deb_nuit))*24,(MAX(deb_nuit,H_Sept[[#This Row],[Fin]])-MAX(deb_nuit,H_Sept[[#This Row],[début]])+MAX(MIN(fin_nuit-1,H_Sept[[#This Row],[Fin]])-MIN(fin_nuit-1,H_Sept[[#This Row],[début]]),0))*24)</f>
        <v>0</v>
      </c>
      <c r="P31" s="51">
        <f>(MAX(0,MIN(H_Sept[[#This Row],[Fin corrigée si nuit]],fin_nuit)-MAX(H_Sept[[#This Row],[début]],deb_nuit))-IF(H_Sept[[#This Row],[PNP Début]]=0,0,MIN(H_Sept[[#This Row],[PNP Fin corrigée]],fin_nuit)-MAX(H_Sept[[#This Row],[PNP Début corrigé]],deb_nuit)))*24</f>
        <v>0</v>
      </c>
      <c r="Q31" s="51">
        <f>(IF(WEEKDAY(H_Sept[[#This Row],[Date]],2)=7,MAX(0,MIN(fin_dimJF,H_Sept[[#This Row],[Fin corrigée si nuit]])-MAX(deb_dimJF,H_Sept[[#This Row],[début]])),0)+IF(WEEKDAY(H_Sept[[#This Row],[Date]],2)=6,MAX(0,H_Sept[[#This Row],[Fin corrigée si nuit]]-(1+deb_dimJF)),0))*24</f>
        <v>0</v>
      </c>
      <c r="R31"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1" s="51">
        <f>(IF(COUNTIF(JF,H_Sept[[#This Row],[Date]]),MAX(0,MIN(fin_dimJF,H_Sept[[#This Row],[Fin corrigée si nuit]])-MAX(deb_dimJF,H_Sept[[#This Row],[début]])),0)+IF(COUNTIF(JF,H_Sept[[#This Row],[Date]]+1),MAX(0,H_Sept[[#This Row],[Fin corrigée si nuit]]-(1+deb_dimJF)),0))*24</f>
        <v>0</v>
      </c>
      <c r="T31"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2" spans="1:20" ht="14.55" customHeight="1" x14ac:dyDescent="0.3">
      <c r="A32" s="4"/>
      <c r="B32" s="1"/>
      <c r="C32" s="2"/>
      <c r="D32" s="2"/>
      <c r="E32" s="3"/>
      <c r="F32" s="3"/>
      <c r="G32" s="3"/>
      <c r="H32" s="3"/>
      <c r="I32" s="47">
        <f>0.1*(H_Sept[[#This Row],[Heures de nuit]]+IF(H_Sept[[#This Row],[majoration dim &amp; JF]]="non",0,H_Sept[[#This Row],[heures jour dimanche]]+H_Sept[[#This Row],[heures jour fériés]]))</f>
        <v>0</v>
      </c>
      <c r="J32" s="48">
        <f>(MOD(H_Sept[[#This Row],[Fin]]-H_Sept[[#This Row],[début]],1)-MOD(H_Sept[[#This Row],[PNP Fin]]-H_Sept[[#This Row],[PNP Début]],1))*24</f>
        <v>0</v>
      </c>
      <c r="K32" s="119" t="str">
        <f>IFERROR(VLOOKUP(H_Sept[[#This Row],[Service]],Codes[],4,0),"")</f>
        <v/>
      </c>
      <c r="L32" s="49">
        <f>IF(H_Sept[[#This Row],[PNP Début]]=0,0,IF(H_Sept[[#This Row],[PNP Début]]&lt;H_Sept[[#This Row],[début]],1,0)+H_Sept[[#This Row],[PNP Début]])</f>
        <v>0</v>
      </c>
      <c r="M32" s="50">
        <f>IF(H_Sept[[#This Row],[PNP Fin]]=0,0,IF(H_Sept[[#This Row],[PNP Fin]]&lt;H_Sept[[#This Row],[début]],1,0)+H_Sept[[#This Row],[PNP Fin]])</f>
        <v>0</v>
      </c>
      <c r="N32" s="50">
        <f>IF(H_Sept[[#This Row],[Fin]]&lt;H_Sept[[#This Row],[début]],1,0)+H_Sept[[#This Row],[Fin]]</f>
        <v>0</v>
      </c>
      <c r="O32" s="31">
        <f>IF(H_Sept[[#This Row],[Fin]]&lt;H_Sept[[#This Row],[début]],MAX(0,MIN(H_Sept[[#This Row],[Fin corrigée si nuit]],fin_nuit)-MAX(H_Sept[[#This Row],[début]],deb_nuit))*24,(MAX(deb_nuit,H_Sept[[#This Row],[Fin]])-MAX(deb_nuit,H_Sept[[#This Row],[début]])+MAX(MIN(fin_nuit-1,H_Sept[[#This Row],[Fin]])-MIN(fin_nuit-1,H_Sept[[#This Row],[début]]),0))*24)</f>
        <v>0</v>
      </c>
      <c r="P32" s="51">
        <f>(MAX(0,MIN(H_Sept[[#This Row],[Fin corrigée si nuit]],fin_nuit)-MAX(H_Sept[[#This Row],[début]],deb_nuit))-IF(H_Sept[[#This Row],[PNP Début]]=0,0,MIN(H_Sept[[#This Row],[PNP Fin corrigée]],fin_nuit)-MAX(H_Sept[[#This Row],[PNP Début corrigé]],deb_nuit)))*24</f>
        <v>0</v>
      </c>
      <c r="Q32" s="51">
        <f>(IF(WEEKDAY(H_Sept[[#This Row],[Date]],2)=7,MAX(0,MIN(fin_dimJF,H_Sept[[#This Row],[Fin corrigée si nuit]])-MAX(deb_dimJF,H_Sept[[#This Row],[début]])),0)+IF(WEEKDAY(H_Sept[[#This Row],[Date]],2)=6,MAX(0,H_Sept[[#This Row],[Fin corrigée si nuit]]-(1+deb_dimJF)),0))*24</f>
        <v>0</v>
      </c>
      <c r="R32"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2" s="51">
        <f>(IF(COUNTIF(JF,H_Sept[[#This Row],[Date]]),MAX(0,MIN(fin_dimJF,H_Sept[[#This Row],[Fin corrigée si nuit]])-MAX(deb_dimJF,H_Sept[[#This Row],[début]])),0)+IF(COUNTIF(JF,H_Sept[[#This Row],[Date]]+1),MAX(0,H_Sept[[#This Row],[Fin corrigée si nuit]]-(1+deb_dimJF)),0))*24</f>
        <v>0</v>
      </c>
      <c r="T32"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3" spans="1:20" x14ac:dyDescent="0.3">
      <c r="A33" s="4"/>
      <c r="B33" s="1"/>
      <c r="C33" s="2"/>
      <c r="D33" s="2"/>
      <c r="E33" s="3"/>
      <c r="F33" s="3"/>
      <c r="G33" s="3"/>
      <c r="H33" s="3"/>
      <c r="I33" s="47">
        <f>0.1*(H_Sept[[#This Row],[Heures de nuit]]+IF(H_Sept[[#This Row],[majoration dim &amp; JF]]="non",0,H_Sept[[#This Row],[heures jour dimanche]]+H_Sept[[#This Row],[heures jour fériés]]))</f>
        <v>0</v>
      </c>
      <c r="J33" s="48">
        <f>(MOD(H_Sept[[#This Row],[Fin]]-H_Sept[[#This Row],[début]],1)-MOD(H_Sept[[#This Row],[PNP Fin]]-H_Sept[[#This Row],[PNP Début]],1))*24</f>
        <v>0</v>
      </c>
      <c r="K33" s="119" t="str">
        <f>IFERROR(VLOOKUP(H_Sept[[#This Row],[Service]],Codes[],4,0),"")</f>
        <v/>
      </c>
      <c r="L33" s="49">
        <f>IF(H_Sept[[#This Row],[PNP Début]]=0,0,IF(H_Sept[[#This Row],[PNP Début]]&lt;H_Sept[[#This Row],[début]],1,0)+H_Sept[[#This Row],[PNP Début]])</f>
        <v>0</v>
      </c>
      <c r="M33" s="50">
        <f>IF(H_Sept[[#This Row],[PNP Fin]]=0,0,IF(H_Sept[[#This Row],[PNP Fin]]&lt;H_Sept[[#This Row],[début]],1,0)+H_Sept[[#This Row],[PNP Fin]])</f>
        <v>0</v>
      </c>
      <c r="N33" s="50">
        <f>IF(H_Sept[[#This Row],[Fin]]&lt;H_Sept[[#This Row],[début]],1,0)+H_Sept[[#This Row],[Fin]]</f>
        <v>0</v>
      </c>
      <c r="O33" s="31">
        <f>IF(H_Sept[[#This Row],[Fin]]&lt;H_Sept[[#This Row],[début]],MAX(0,MIN(H_Sept[[#This Row],[Fin corrigée si nuit]],fin_nuit)-MAX(H_Sept[[#This Row],[début]],deb_nuit))*24,(MAX(deb_nuit,H_Sept[[#This Row],[Fin]])-MAX(deb_nuit,H_Sept[[#This Row],[début]])+MAX(MIN(fin_nuit-1,H_Sept[[#This Row],[Fin]])-MIN(fin_nuit-1,H_Sept[[#This Row],[début]]),0))*24)</f>
        <v>0</v>
      </c>
      <c r="P33" s="51">
        <f>(MAX(0,MIN(H_Sept[[#This Row],[Fin corrigée si nuit]],fin_nuit)-MAX(H_Sept[[#This Row],[début]],deb_nuit))-IF(H_Sept[[#This Row],[PNP Début]]=0,0,MIN(H_Sept[[#This Row],[PNP Fin corrigée]],fin_nuit)-MAX(H_Sept[[#This Row],[PNP Début corrigé]],deb_nuit)))*24</f>
        <v>0</v>
      </c>
      <c r="Q33" s="51">
        <f>(IF(WEEKDAY(H_Sept[[#This Row],[Date]],2)=7,MAX(0,MIN(fin_dimJF,H_Sept[[#This Row],[Fin corrigée si nuit]])-MAX(deb_dimJF,H_Sept[[#This Row],[début]])),0)+IF(WEEKDAY(H_Sept[[#This Row],[Date]],2)=6,MAX(0,H_Sept[[#This Row],[Fin corrigée si nuit]]-(1+deb_dimJF)),0))*24</f>
        <v>0</v>
      </c>
      <c r="R33"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3" s="51">
        <f>(IF(COUNTIF(JF,H_Sept[[#This Row],[Date]]),MAX(0,MIN(fin_dimJF,H_Sept[[#This Row],[Fin corrigée si nuit]])-MAX(deb_dimJF,H_Sept[[#This Row],[début]])),0)+IF(COUNTIF(JF,H_Sept[[#This Row],[Date]]+1),MAX(0,H_Sept[[#This Row],[Fin corrigée si nuit]]-(1+deb_dimJF)),0))*24</f>
        <v>0</v>
      </c>
      <c r="T33"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4" spans="1:20" x14ac:dyDescent="0.3">
      <c r="A34" s="4"/>
      <c r="B34" s="1"/>
      <c r="C34" s="2"/>
      <c r="D34" s="2"/>
      <c r="E34" s="3"/>
      <c r="F34" s="3"/>
      <c r="G34" s="3"/>
      <c r="H34" s="3"/>
      <c r="I34" s="47">
        <f>0.1*(H_Sept[[#This Row],[Heures de nuit]]+IF(H_Sept[[#This Row],[majoration dim &amp; JF]]="non",0,H_Sept[[#This Row],[heures jour dimanche]]+H_Sept[[#This Row],[heures jour fériés]]))</f>
        <v>0</v>
      </c>
      <c r="J34" s="48">
        <f>(MOD(H_Sept[[#This Row],[Fin]]-H_Sept[[#This Row],[début]],1)-MOD(H_Sept[[#This Row],[PNP Fin]]-H_Sept[[#This Row],[PNP Début]],1))*24</f>
        <v>0</v>
      </c>
      <c r="K34" s="119" t="str">
        <f>IFERROR(VLOOKUP(H_Sept[[#This Row],[Service]],Codes[],4,0),"")</f>
        <v/>
      </c>
      <c r="L34" s="49">
        <f>IF(H_Sept[[#This Row],[PNP Début]]=0,0,IF(H_Sept[[#This Row],[PNP Début]]&lt;H_Sept[[#This Row],[début]],1,0)+H_Sept[[#This Row],[PNP Début]])</f>
        <v>0</v>
      </c>
      <c r="M34" s="50">
        <f>IF(H_Sept[[#This Row],[PNP Fin]]=0,0,IF(H_Sept[[#This Row],[PNP Fin]]&lt;H_Sept[[#This Row],[début]],1,0)+H_Sept[[#This Row],[PNP Fin]])</f>
        <v>0</v>
      </c>
      <c r="N34" s="50">
        <f>IF(H_Sept[[#This Row],[Fin]]&lt;H_Sept[[#This Row],[début]],1,0)+H_Sept[[#This Row],[Fin]]</f>
        <v>0</v>
      </c>
      <c r="O34" s="31">
        <f>IF(H_Sept[[#This Row],[Fin]]&lt;H_Sept[[#This Row],[début]],MAX(0,MIN(H_Sept[[#This Row],[Fin corrigée si nuit]],fin_nuit)-MAX(H_Sept[[#This Row],[début]],deb_nuit))*24,(MAX(deb_nuit,H_Sept[[#This Row],[Fin]])-MAX(deb_nuit,H_Sept[[#This Row],[début]])+MAX(MIN(fin_nuit-1,H_Sept[[#This Row],[Fin]])-MIN(fin_nuit-1,H_Sept[[#This Row],[début]]),0))*24)</f>
        <v>0</v>
      </c>
      <c r="P34" s="51">
        <f>(MAX(0,MIN(H_Sept[[#This Row],[Fin corrigée si nuit]],fin_nuit)-MAX(H_Sept[[#This Row],[début]],deb_nuit))-IF(H_Sept[[#This Row],[PNP Début]]=0,0,MIN(H_Sept[[#This Row],[PNP Fin corrigée]],fin_nuit)-MAX(H_Sept[[#This Row],[PNP Début corrigé]],deb_nuit)))*24</f>
        <v>0</v>
      </c>
      <c r="Q34" s="51">
        <f>(IF(WEEKDAY(H_Sept[[#This Row],[Date]],2)=7,MAX(0,MIN(fin_dimJF,H_Sept[[#This Row],[Fin corrigée si nuit]])-MAX(deb_dimJF,H_Sept[[#This Row],[début]])),0)+IF(WEEKDAY(H_Sept[[#This Row],[Date]],2)=6,MAX(0,H_Sept[[#This Row],[Fin corrigée si nuit]]-(1+deb_dimJF)),0))*24</f>
        <v>0</v>
      </c>
      <c r="R34"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4" s="51">
        <f>(IF(COUNTIF(JF,H_Sept[[#This Row],[Date]]),MAX(0,MIN(fin_dimJF,H_Sept[[#This Row],[Fin corrigée si nuit]])-MAX(deb_dimJF,H_Sept[[#This Row],[début]])),0)+IF(COUNTIF(JF,H_Sept[[#This Row],[Date]]+1),MAX(0,H_Sept[[#This Row],[Fin corrigée si nuit]]-(1+deb_dimJF)),0))*24</f>
        <v>0</v>
      </c>
      <c r="T34"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5" spans="1:20" x14ac:dyDescent="0.3">
      <c r="A35" s="4"/>
      <c r="B35" s="1"/>
      <c r="C35" s="2"/>
      <c r="D35" s="2"/>
      <c r="E35" s="3"/>
      <c r="F35" s="3"/>
      <c r="G35" s="3"/>
      <c r="H35" s="3"/>
      <c r="I35" s="47">
        <f>0.1*(H_Sept[[#This Row],[Heures de nuit]]+IF(H_Sept[[#This Row],[majoration dim &amp; JF]]="non",0,H_Sept[[#This Row],[heures jour dimanche]]+H_Sept[[#This Row],[heures jour fériés]]))</f>
        <v>0</v>
      </c>
      <c r="J35" s="48">
        <f>(MOD(H_Sept[[#This Row],[Fin]]-H_Sept[[#This Row],[début]],1)-MOD(H_Sept[[#This Row],[PNP Fin]]-H_Sept[[#This Row],[PNP Début]],1))*24</f>
        <v>0</v>
      </c>
      <c r="K35" s="119" t="str">
        <f>IFERROR(VLOOKUP(H_Sept[[#This Row],[Service]],Codes[],4,0),"")</f>
        <v/>
      </c>
      <c r="L35" s="49">
        <f>IF(H_Sept[[#This Row],[PNP Début]]=0,0,IF(H_Sept[[#This Row],[PNP Début]]&lt;H_Sept[[#This Row],[début]],1,0)+H_Sept[[#This Row],[PNP Début]])</f>
        <v>0</v>
      </c>
      <c r="M35" s="50">
        <f>IF(H_Sept[[#This Row],[PNP Fin]]=0,0,IF(H_Sept[[#This Row],[PNP Fin]]&lt;H_Sept[[#This Row],[début]],1,0)+H_Sept[[#This Row],[PNP Fin]])</f>
        <v>0</v>
      </c>
      <c r="N35" s="50">
        <f>IF(H_Sept[[#This Row],[Fin]]&lt;H_Sept[[#This Row],[début]],1,0)+H_Sept[[#This Row],[Fin]]</f>
        <v>0</v>
      </c>
      <c r="O35" s="31">
        <f>IF(H_Sept[[#This Row],[Fin]]&lt;H_Sept[[#This Row],[début]],MAX(0,MIN(H_Sept[[#This Row],[Fin corrigée si nuit]],fin_nuit)-MAX(H_Sept[[#This Row],[début]],deb_nuit))*24,(MAX(deb_nuit,H_Sept[[#This Row],[Fin]])-MAX(deb_nuit,H_Sept[[#This Row],[début]])+MAX(MIN(fin_nuit-1,H_Sept[[#This Row],[Fin]])-MIN(fin_nuit-1,H_Sept[[#This Row],[début]]),0))*24)</f>
        <v>0</v>
      </c>
      <c r="P35" s="51">
        <f>(MAX(0,MIN(H_Sept[[#This Row],[Fin corrigée si nuit]],fin_nuit)-MAX(H_Sept[[#This Row],[début]],deb_nuit))-IF(H_Sept[[#This Row],[PNP Début]]=0,0,MIN(H_Sept[[#This Row],[PNP Fin corrigée]],fin_nuit)-MAX(H_Sept[[#This Row],[PNP Début corrigé]],deb_nuit)))*24</f>
        <v>0</v>
      </c>
      <c r="Q35" s="51">
        <f>(IF(WEEKDAY(H_Sept[[#This Row],[Date]],2)=7,MAX(0,MIN(fin_dimJF,H_Sept[[#This Row],[Fin corrigée si nuit]])-MAX(deb_dimJF,H_Sept[[#This Row],[début]])),0)+IF(WEEKDAY(H_Sept[[#This Row],[Date]],2)=6,MAX(0,H_Sept[[#This Row],[Fin corrigée si nuit]]-(1+deb_dimJF)),0))*24</f>
        <v>0</v>
      </c>
      <c r="R35"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5" s="51">
        <f>(IF(COUNTIF(JF,H_Sept[[#This Row],[Date]]),MAX(0,MIN(fin_dimJF,H_Sept[[#This Row],[Fin corrigée si nuit]])-MAX(deb_dimJF,H_Sept[[#This Row],[début]])),0)+IF(COUNTIF(JF,H_Sept[[#This Row],[Date]]+1),MAX(0,H_Sept[[#This Row],[Fin corrigée si nuit]]-(1+deb_dimJF)),0))*24</f>
        <v>0</v>
      </c>
      <c r="T35"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6" spans="1:20" x14ac:dyDescent="0.3">
      <c r="A36" s="4"/>
      <c r="B36" s="1"/>
      <c r="C36" s="2"/>
      <c r="D36" s="2"/>
      <c r="E36" s="3"/>
      <c r="F36" s="3"/>
      <c r="G36" s="3"/>
      <c r="H36" s="3"/>
      <c r="I36" s="47">
        <f>0.1*(H_Sept[[#This Row],[Heures de nuit]]+IF(H_Sept[[#This Row],[majoration dim &amp; JF]]="non",0,H_Sept[[#This Row],[heures jour dimanche]]+H_Sept[[#This Row],[heures jour fériés]]))</f>
        <v>0</v>
      </c>
      <c r="J36" s="48">
        <f>(MOD(H_Sept[[#This Row],[Fin]]-H_Sept[[#This Row],[début]],1)-MOD(H_Sept[[#This Row],[PNP Fin]]-H_Sept[[#This Row],[PNP Début]],1))*24</f>
        <v>0</v>
      </c>
      <c r="K36" s="119" t="str">
        <f>IFERROR(VLOOKUP(H_Sept[[#This Row],[Service]],Codes[],4,0),"")</f>
        <v/>
      </c>
      <c r="L36" s="49">
        <f>IF(H_Sept[[#This Row],[PNP Début]]=0,0,IF(H_Sept[[#This Row],[PNP Début]]&lt;H_Sept[[#This Row],[début]],1,0)+H_Sept[[#This Row],[PNP Début]])</f>
        <v>0</v>
      </c>
      <c r="M36" s="50">
        <f>IF(H_Sept[[#This Row],[PNP Fin]]=0,0,IF(H_Sept[[#This Row],[PNP Fin]]&lt;H_Sept[[#This Row],[début]],1,0)+H_Sept[[#This Row],[PNP Fin]])</f>
        <v>0</v>
      </c>
      <c r="N36" s="50">
        <f>IF(H_Sept[[#This Row],[Fin]]&lt;H_Sept[[#This Row],[début]],1,0)+H_Sept[[#This Row],[Fin]]</f>
        <v>0</v>
      </c>
      <c r="O36" s="31">
        <f>IF(H_Sept[[#This Row],[Fin]]&lt;H_Sept[[#This Row],[début]],MAX(0,MIN(H_Sept[[#This Row],[Fin corrigée si nuit]],fin_nuit)-MAX(H_Sept[[#This Row],[début]],deb_nuit))*24,(MAX(deb_nuit,H_Sept[[#This Row],[Fin]])-MAX(deb_nuit,H_Sept[[#This Row],[début]])+MAX(MIN(fin_nuit-1,H_Sept[[#This Row],[Fin]])-MIN(fin_nuit-1,H_Sept[[#This Row],[début]]),0))*24)</f>
        <v>0</v>
      </c>
      <c r="P36" s="51">
        <f>(MAX(0,MIN(H_Sept[[#This Row],[Fin corrigée si nuit]],fin_nuit)-MAX(H_Sept[[#This Row],[début]],deb_nuit))-IF(H_Sept[[#This Row],[PNP Début]]=0,0,MIN(H_Sept[[#This Row],[PNP Fin corrigée]],fin_nuit)-MAX(H_Sept[[#This Row],[PNP Début corrigé]],deb_nuit)))*24</f>
        <v>0</v>
      </c>
      <c r="Q36" s="51">
        <f>(IF(WEEKDAY(H_Sept[[#This Row],[Date]],2)=7,MAX(0,MIN(fin_dimJF,H_Sept[[#This Row],[Fin corrigée si nuit]])-MAX(deb_dimJF,H_Sept[[#This Row],[début]])),0)+IF(WEEKDAY(H_Sept[[#This Row],[Date]],2)=6,MAX(0,H_Sept[[#This Row],[Fin corrigée si nuit]]-(1+deb_dimJF)),0))*24</f>
        <v>0</v>
      </c>
      <c r="R36"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6" s="51">
        <f>(IF(COUNTIF(JF,H_Sept[[#This Row],[Date]]),MAX(0,MIN(fin_dimJF,H_Sept[[#This Row],[Fin corrigée si nuit]])-MAX(deb_dimJF,H_Sept[[#This Row],[début]])),0)+IF(COUNTIF(JF,H_Sept[[#This Row],[Date]]+1),MAX(0,H_Sept[[#This Row],[Fin corrigée si nuit]]-(1+deb_dimJF)),0))*24</f>
        <v>0</v>
      </c>
      <c r="T36"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7" spans="1:20" x14ac:dyDescent="0.3">
      <c r="A37" s="4"/>
      <c r="B37" s="1"/>
      <c r="C37" s="2"/>
      <c r="D37" s="2"/>
      <c r="E37" s="3"/>
      <c r="F37" s="3"/>
      <c r="G37" s="3"/>
      <c r="H37" s="3"/>
      <c r="I37" s="47">
        <f>0.1*(H_Sept[[#This Row],[Heures de nuit]]+IF(H_Sept[[#This Row],[majoration dim &amp; JF]]="non",0,H_Sept[[#This Row],[heures jour dimanche]]+H_Sept[[#This Row],[heures jour fériés]]))</f>
        <v>0</v>
      </c>
      <c r="J37" s="48">
        <f>(MOD(H_Sept[[#This Row],[Fin]]-H_Sept[[#This Row],[début]],1)-MOD(H_Sept[[#This Row],[PNP Fin]]-H_Sept[[#This Row],[PNP Début]],1))*24</f>
        <v>0</v>
      </c>
      <c r="K37" s="119" t="str">
        <f>IFERROR(VLOOKUP(H_Sept[[#This Row],[Service]],Codes[],4,0),"")</f>
        <v/>
      </c>
      <c r="L37" s="49">
        <f>IF(H_Sept[[#This Row],[PNP Début]]=0,0,IF(H_Sept[[#This Row],[PNP Début]]&lt;H_Sept[[#This Row],[début]],1,0)+H_Sept[[#This Row],[PNP Début]])</f>
        <v>0</v>
      </c>
      <c r="M37" s="50">
        <f>IF(H_Sept[[#This Row],[PNP Fin]]=0,0,IF(H_Sept[[#This Row],[PNP Fin]]&lt;H_Sept[[#This Row],[début]],1,0)+H_Sept[[#This Row],[PNP Fin]])</f>
        <v>0</v>
      </c>
      <c r="N37" s="50">
        <f>IF(H_Sept[[#This Row],[Fin]]&lt;H_Sept[[#This Row],[début]],1,0)+H_Sept[[#This Row],[Fin]]</f>
        <v>0</v>
      </c>
      <c r="O37" s="31">
        <f>IF(H_Sept[[#This Row],[Fin]]&lt;H_Sept[[#This Row],[début]],MAX(0,MIN(H_Sept[[#This Row],[Fin corrigée si nuit]],fin_nuit)-MAX(H_Sept[[#This Row],[début]],deb_nuit))*24,(MAX(deb_nuit,H_Sept[[#This Row],[Fin]])-MAX(deb_nuit,H_Sept[[#This Row],[début]])+MAX(MIN(fin_nuit-1,H_Sept[[#This Row],[Fin]])-MIN(fin_nuit-1,H_Sept[[#This Row],[début]]),0))*24)</f>
        <v>0</v>
      </c>
      <c r="P37" s="51">
        <f>(MAX(0,MIN(H_Sept[[#This Row],[Fin corrigée si nuit]],fin_nuit)-MAX(H_Sept[[#This Row],[début]],deb_nuit))-IF(H_Sept[[#This Row],[PNP Début]]=0,0,MIN(H_Sept[[#This Row],[PNP Fin corrigée]],fin_nuit)-MAX(H_Sept[[#This Row],[PNP Début corrigé]],deb_nuit)))*24</f>
        <v>0</v>
      </c>
      <c r="Q37" s="51">
        <f>(IF(WEEKDAY(H_Sept[[#This Row],[Date]],2)=7,MAX(0,MIN(fin_dimJF,H_Sept[[#This Row],[Fin corrigée si nuit]])-MAX(deb_dimJF,H_Sept[[#This Row],[début]])),0)+IF(WEEKDAY(H_Sept[[#This Row],[Date]],2)=6,MAX(0,H_Sept[[#This Row],[Fin corrigée si nuit]]-(1+deb_dimJF)),0))*24</f>
        <v>0</v>
      </c>
      <c r="R37"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7" s="51">
        <f>(IF(COUNTIF(JF,H_Sept[[#This Row],[Date]]),MAX(0,MIN(fin_dimJF,H_Sept[[#This Row],[Fin corrigée si nuit]])-MAX(deb_dimJF,H_Sept[[#This Row],[début]])),0)+IF(COUNTIF(JF,H_Sept[[#This Row],[Date]]+1),MAX(0,H_Sept[[#This Row],[Fin corrigée si nuit]]-(1+deb_dimJF)),0))*24</f>
        <v>0</v>
      </c>
      <c r="T37"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8" spans="1:20" x14ac:dyDescent="0.3">
      <c r="A38" s="4"/>
      <c r="B38" s="1"/>
      <c r="C38" s="2"/>
      <c r="D38" s="2"/>
      <c r="E38" s="3"/>
      <c r="F38" s="3"/>
      <c r="G38" s="3"/>
      <c r="H38" s="3"/>
      <c r="I38" s="47">
        <f>0.1*(H_Sept[[#This Row],[Heures de nuit]]+IF(H_Sept[[#This Row],[majoration dim &amp; JF]]="non",0,H_Sept[[#This Row],[heures jour dimanche]]+H_Sept[[#This Row],[heures jour fériés]]))</f>
        <v>0</v>
      </c>
      <c r="J38" s="48">
        <f>(MOD(H_Sept[[#This Row],[Fin]]-H_Sept[[#This Row],[début]],1)-MOD(H_Sept[[#This Row],[PNP Fin]]-H_Sept[[#This Row],[PNP Début]],1))*24</f>
        <v>0</v>
      </c>
      <c r="K38" s="119" t="str">
        <f>IFERROR(VLOOKUP(H_Sept[[#This Row],[Service]],Codes[],4,0),"")</f>
        <v/>
      </c>
      <c r="L38" s="49">
        <f>IF(H_Sept[[#This Row],[PNP Début]]=0,0,IF(H_Sept[[#This Row],[PNP Début]]&lt;H_Sept[[#This Row],[début]],1,0)+H_Sept[[#This Row],[PNP Début]])</f>
        <v>0</v>
      </c>
      <c r="M38" s="50">
        <f>IF(H_Sept[[#This Row],[PNP Fin]]=0,0,IF(H_Sept[[#This Row],[PNP Fin]]&lt;H_Sept[[#This Row],[début]],1,0)+H_Sept[[#This Row],[PNP Fin]])</f>
        <v>0</v>
      </c>
      <c r="N38" s="50">
        <f>IF(H_Sept[[#This Row],[Fin]]&lt;H_Sept[[#This Row],[début]],1,0)+H_Sept[[#This Row],[Fin]]</f>
        <v>0</v>
      </c>
      <c r="O38" s="31">
        <f>IF(H_Sept[[#This Row],[Fin]]&lt;H_Sept[[#This Row],[début]],MAX(0,MIN(H_Sept[[#This Row],[Fin corrigée si nuit]],fin_nuit)-MAX(H_Sept[[#This Row],[début]],deb_nuit))*24,(MAX(deb_nuit,H_Sept[[#This Row],[Fin]])-MAX(deb_nuit,H_Sept[[#This Row],[début]])+MAX(MIN(fin_nuit-1,H_Sept[[#This Row],[Fin]])-MIN(fin_nuit-1,H_Sept[[#This Row],[début]]),0))*24)</f>
        <v>0</v>
      </c>
      <c r="P38" s="51">
        <f>(MAX(0,MIN(H_Sept[[#This Row],[Fin corrigée si nuit]],fin_nuit)-MAX(H_Sept[[#This Row],[début]],deb_nuit))-IF(H_Sept[[#This Row],[PNP Début]]=0,0,MIN(H_Sept[[#This Row],[PNP Fin corrigée]],fin_nuit)-MAX(H_Sept[[#This Row],[PNP Début corrigé]],deb_nuit)))*24</f>
        <v>0</v>
      </c>
      <c r="Q38" s="51">
        <f>(IF(WEEKDAY(H_Sept[[#This Row],[Date]],2)=7,MAX(0,MIN(fin_dimJF,H_Sept[[#This Row],[Fin corrigée si nuit]])-MAX(deb_dimJF,H_Sept[[#This Row],[début]])),0)+IF(WEEKDAY(H_Sept[[#This Row],[Date]],2)=6,MAX(0,H_Sept[[#This Row],[Fin corrigée si nuit]]-(1+deb_dimJF)),0))*24</f>
        <v>0</v>
      </c>
      <c r="R38"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8" s="51">
        <f>(IF(COUNTIF(JF,H_Sept[[#This Row],[Date]]),MAX(0,MIN(fin_dimJF,H_Sept[[#This Row],[Fin corrigée si nuit]])-MAX(deb_dimJF,H_Sept[[#This Row],[début]])),0)+IF(COUNTIF(JF,H_Sept[[#This Row],[Date]]+1),MAX(0,H_Sept[[#This Row],[Fin corrigée si nuit]]-(1+deb_dimJF)),0))*24</f>
        <v>0</v>
      </c>
      <c r="T38"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39" spans="1:20" x14ac:dyDescent="0.3">
      <c r="A39" s="4"/>
      <c r="B39" s="1"/>
      <c r="C39" s="2"/>
      <c r="D39" s="2"/>
      <c r="E39" s="3"/>
      <c r="F39" s="3"/>
      <c r="G39" s="3"/>
      <c r="H39" s="3"/>
      <c r="I39" s="47">
        <f>0.1*(H_Sept[[#This Row],[Heures de nuit]]+IF(H_Sept[[#This Row],[majoration dim &amp; JF]]="non",0,H_Sept[[#This Row],[heures jour dimanche]]+H_Sept[[#This Row],[heures jour fériés]]))</f>
        <v>0</v>
      </c>
      <c r="J39" s="48">
        <f>(MOD(H_Sept[[#This Row],[Fin]]-H_Sept[[#This Row],[début]],1)-MOD(H_Sept[[#This Row],[PNP Fin]]-H_Sept[[#This Row],[PNP Début]],1))*24</f>
        <v>0</v>
      </c>
      <c r="K39" s="119" t="str">
        <f>IFERROR(VLOOKUP(H_Sept[[#This Row],[Service]],Codes[],4,0),"")</f>
        <v/>
      </c>
      <c r="L39" s="49">
        <f>IF(H_Sept[[#This Row],[PNP Début]]=0,0,IF(H_Sept[[#This Row],[PNP Début]]&lt;H_Sept[[#This Row],[début]],1,0)+H_Sept[[#This Row],[PNP Début]])</f>
        <v>0</v>
      </c>
      <c r="M39" s="50">
        <f>IF(H_Sept[[#This Row],[PNP Fin]]=0,0,IF(H_Sept[[#This Row],[PNP Fin]]&lt;H_Sept[[#This Row],[début]],1,0)+H_Sept[[#This Row],[PNP Fin]])</f>
        <v>0</v>
      </c>
      <c r="N39" s="50">
        <f>IF(H_Sept[[#This Row],[Fin]]&lt;H_Sept[[#This Row],[début]],1,0)+H_Sept[[#This Row],[Fin]]</f>
        <v>0</v>
      </c>
      <c r="O39" s="31">
        <f>IF(H_Sept[[#This Row],[Fin]]&lt;H_Sept[[#This Row],[début]],MAX(0,MIN(H_Sept[[#This Row],[Fin corrigée si nuit]],fin_nuit)-MAX(H_Sept[[#This Row],[début]],deb_nuit))*24,(MAX(deb_nuit,H_Sept[[#This Row],[Fin]])-MAX(deb_nuit,H_Sept[[#This Row],[début]])+MAX(MIN(fin_nuit-1,H_Sept[[#This Row],[Fin]])-MIN(fin_nuit-1,H_Sept[[#This Row],[début]]),0))*24)</f>
        <v>0</v>
      </c>
      <c r="P39" s="51">
        <f>(MAX(0,MIN(H_Sept[[#This Row],[Fin corrigée si nuit]],fin_nuit)-MAX(H_Sept[[#This Row],[début]],deb_nuit))-IF(H_Sept[[#This Row],[PNP Début]]=0,0,MIN(H_Sept[[#This Row],[PNP Fin corrigée]],fin_nuit)-MAX(H_Sept[[#This Row],[PNP Début corrigé]],deb_nuit)))*24</f>
        <v>0</v>
      </c>
      <c r="Q39" s="51">
        <f>(IF(WEEKDAY(H_Sept[[#This Row],[Date]],2)=7,MAX(0,MIN(fin_dimJF,H_Sept[[#This Row],[Fin corrigée si nuit]])-MAX(deb_dimJF,H_Sept[[#This Row],[début]])),0)+IF(WEEKDAY(H_Sept[[#This Row],[Date]],2)=6,MAX(0,H_Sept[[#This Row],[Fin corrigée si nuit]]-(1+deb_dimJF)),0))*24</f>
        <v>0</v>
      </c>
      <c r="R39"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39" s="51">
        <f>(IF(COUNTIF(JF,H_Sept[[#This Row],[Date]]),MAX(0,MIN(fin_dimJF,H_Sept[[#This Row],[Fin corrigée si nuit]])-MAX(deb_dimJF,H_Sept[[#This Row],[début]])),0)+IF(COUNTIF(JF,H_Sept[[#This Row],[Date]]+1),MAX(0,H_Sept[[#This Row],[Fin corrigée si nuit]]-(1+deb_dimJF)),0))*24</f>
        <v>0</v>
      </c>
      <c r="T39"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0" spans="1:20" x14ac:dyDescent="0.3">
      <c r="A40" s="4"/>
      <c r="B40" s="1"/>
      <c r="C40" s="2"/>
      <c r="D40" s="2"/>
      <c r="E40" s="3"/>
      <c r="F40" s="3"/>
      <c r="G40" s="3"/>
      <c r="H40" s="3"/>
      <c r="I40" s="47">
        <f>0.1*(H_Sept[[#This Row],[Heures de nuit]]+IF(H_Sept[[#This Row],[majoration dim &amp; JF]]="non",0,H_Sept[[#This Row],[heures jour dimanche]]+H_Sept[[#This Row],[heures jour fériés]]))</f>
        <v>0</v>
      </c>
      <c r="J40" s="48">
        <f>(MOD(H_Sept[[#This Row],[Fin]]-H_Sept[[#This Row],[début]],1)-MOD(H_Sept[[#This Row],[PNP Fin]]-H_Sept[[#This Row],[PNP Début]],1))*24</f>
        <v>0</v>
      </c>
      <c r="K40" s="119" t="str">
        <f>IFERROR(VLOOKUP(H_Sept[[#This Row],[Service]],Codes[],4,0),"")</f>
        <v/>
      </c>
      <c r="L40" s="49">
        <f>IF(H_Sept[[#This Row],[PNP Début]]=0,0,IF(H_Sept[[#This Row],[PNP Début]]&lt;H_Sept[[#This Row],[début]],1,0)+H_Sept[[#This Row],[PNP Début]])</f>
        <v>0</v>
      </c>
      <c r="M40" s="50">
        <f>IF(H_Sept[[#This Row],[PNP Fin]]=0,0,IF(H_Sept[[#This Row],[PNP Fin]]&lt;H_Sept[[#This Row],[début]],1,0)+H_Sept[[#This Row],[PNP Fin]])</f>
        <v>0</v>
      </c>
      <c r="N40" s="50">
        <f>IF(H_Sept[[#This Row],[Fin]]&lt;H_Sept[[#This Row],[début]],1,0)+H_Sept[[#This Row],[Fin]]</f>
        <v>0</v>
      </c>
      <c r="O40" s="31">
        <f>IF(H_Sept[[#This Row],[Fin]]&lt;H_Sept[[#This Row],[début]],MAX(0,MIN(H_Sept[[#This Row],[Fin corrigée si nuit]],fin_nuit)-MAX(H_Sept[[#This Row],[début]],deb_nuit))*24,(MAX(deb_nuit,H_Sept[[#This Row],[Fin]])-MAX(deb_nuit,H_Sept[[#This Row],[début]])+MAX(MIN(fin_nuit-1,H_Sept[[#This Row],[Fin]])-MIN(fin_nuit-1,H_Sept[[#This Row],[début]]),0))*24)</f>
        <v>0</v>
      </c>
      <c r="P40" s="51">
        <f>(MAX(0,MIN(H_Sept[[#This Row],[Fin corrigée si nuit]],fin_nuit)-MAX(H_Sept[[#This Row],[début]],deb_nuit))-IF(H_Sept[[#This Row],[PNP Début]]=0,0,MIN(H_Sept[[#This Row],[PNP Fin corrigée]],fin_nuit)-MAX(H_Sept[[#This Row],[PNP Début corrigé]],deb_nuit)))*24</f>
        <v>0</v>
      </c>
      <c r="Q40" s="51">
        <f>(IF(WEEKDAY(H_Sept[[#This Row],[Date]],2)=7,MAX(0,MIN(fin_dimJF,H_Sept[[#This Row],[Fin corrigée si nuit]])-MAX(deb_dimJF,H_Sept[[#This Row],[début]])),0)+IF(WEEKDAY(H_Sept[[#This Row],[Date]],2)=6,MAX(0,H_Sept[[#This Row],[Fin corrigée si nuit]]-(1+deb_dimJF)),0))*24</f>
        <v>0</v>
      </c>
      <c r="R40"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0" s="51">
        <f>(IF(COUNTIF(JF,H_Sept[[#This Row],[Date]]),MAX(0,MIN(fin_dimJF,H_Sept[[#This Row],[Fin corrigée si nuit]])-MAX(deb_dimJF,H_Sept[[#This Row],[début]])),0)+IF(COUNTIF(JF,H_Sept[[#This Row],[Date]]+1),MAX(0,H_Sept[[#This Row],[Fin corrigée si nuit]]-(1+deb_dimJF)),0))*24</f>
        <v>0</v>
      </c>
      <c r="T40"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1" spans="1:20" x14ac:dyDescent="0.3">
      <c r="A41" s="4"/>
      <c r="B41" s="1"/>
      <c r="C41" s="2"/>
      <c r="D41" s="2"/>
      <c r="E41" s="3"/>
      <c r="F41" s="3"/>
      <c r="G41" s="3"/>
      <c r="H41" s="3"/>
      <c r="I41" s="47">
        <f>0.1*(H_Sept[[#This Row],[Heures de nuit]]+IF(H_Sept[[#This Row],[majoration dim &amp; JF]]="non",0,H_Sept[[#This Row],[heures jour dimanche]]+H_Sept[[#This Row],[heures jour fériés]]))</f>
        <v>0</v>
      </c>
      <c r="J41" s="48">
        <f>(MOD(H_Sept[[#This Row],[Fin]]-H_Sept[[#This Row],[début]],1)-MOD(H_Sept[[#This Row],[PNP Fin]]-H_Sept[[#This Row],[PNP Début]],1))*24</f>
        <v>0</v>
      </c>
      <c r="K41" s="119" t="str">
        <f>IFERROR(VLOOKUP(H_Sept[[#This Row],[Service]],Codes[],4,0),"")</f>
        <v/>
      </c>
      <c r="L41" s="49">
        <f>IF(H_Sept[[#This Row],[PNP Début]]=0,0,IF(H_Sept[[#This Row],[PNP Début]]&lt;H_Sept[[#This Row],[début]],1,0)+H_Sept[[#This Row],[PNP Début]])</f>
        <v>0</v>
      </c>
      <c r="M41" s="50">
        <f>IF(H_Sept[[#This Row],[PNP Fin]]=0,0,IF(H_Sept[[#This Row],[PNP Fin]]&lt;H_Sept[[#This Row],[début]],1,0)+H_Sept[[#This Row],[PNP Fin]])</f>
        <v>0</v>
      </c>
      <c r="N41" s="50">
        <f>IF(H_Sept[[#This Row],[Fin]]&lt;H_Sept[[#This Row],[début]],1,0)+H_Sept[[#This Row],[Fin]]</f>
        <v>0</v>
      </c>
      <c r="O41" s="31">
        <f>IF(H_Sept[[#This Row],[Fin]]&lt;H_Sept[[#This Row],[début]],MAX(0,MIN(H_Sept[[#This Row],[Fin corrigée si nuit]],fin_nuit)-MAX(H_Sept[[#This Row],[début]],deb_nuit))*24,(MAX(deb_nuit,H_Sept[[#This Row],[Fin]])-MAX(deb_nuit,H_Sept[[#This Row],[début]])+MAX(MIN(fin_nuit-1,H_Sept[[#This Row],[Fin]])-MIN(fin_nuit-1,H_Sept[[#This Row],[début]]),0))*24)</f>
        <v>0</v>
      </c>
      <c r="P41" s="51">
        <f>(MAX(0,MIN(H_Sept[[#This Row],[Fin corrigée si nuit]],fin_nuit)-MAX(H_Sept[[#This Row],[début]],deb_nuit))-IF(H_Sept[[#This Row],[PNP Début]]=0,0,MIN(H_Sept[[#This Row],[PNP Fin corrigée]],fin_nuit)-MAX(H_Sept[[#This Row],[PNP Début corrigé]],deb_nuit)))*24</f>
        <v>0</v>
      </c>
      <c r="Q41" s="51">
        <f>(IF(WEEKDAY(H_Sept[[#This Row],[Date]],2)=7,MAX(0,MIN(fin_dimJF,H_Sept[[#This Row],[Fin corrigée si nuit]])-MAX(deb_dimJF,H_Sept[[#This Row],[début]])),0)+IF(WEEKDAY(H_Sept[[#This Row],[Date]],2)=6,MAX(0,H_Sept[[#This Row],[Fin corrigée si nuit]]-(1+deb_dimJF)),0))*24</f>
        <v>0</v>
      </c>
      <c r="R41"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1" s="51">
        <f>(IF(COUNTIF(JF,H_Sept[[#This Row],[Date]]),MAX(0,MIN(fin_dimJF,H_Sept[[#This Row],[Fin corrigée si nuit]])-MAX(deb_dimJF,H_Sept[[#This Row],[début]])),0)+IF(COUNTIF(JF,H_Sept[[#This Row],[Date]]+1),MAX(0,H_Sept[[#This Row],[Fin corrigée si nuit]]-(1+deb_dimJF)),0))*24</f>
        <v>0</v>
      </c>
      <c r="T41"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2" spans="1:20" x14ac:dyDescent="0.3">
      <c r="A42" s="4"/>
      <c r="B42" s="1"/>
      <c r="C42" s="2"/>
      <c r="D42" s="2"/>
      <c r="E42" s="3"/>
      <c r="F42" s="3"/>
      <c r="G42" s="3"/>
      <c r="H42" s="3"/>
      <c r="I42" s="47">
        <f>0.1*(H_Sept[[#This Row],[Heures de nuit]]+IF(H_Sept[[#This Row],[majoration dim &amp; JF]]="non",0,H_Sept[[#This Row],[heures jour dimanche]]+H_Sept[[#This Row],[heures jour fériés]]))</f>
        <v>0</v>
      </c>
      <c r="J42" s="48">
        <f>(MOD(H_Sept[[#This Row],[Fin]]-H_Sept[[#This Row],[début]],1)-MOD(H_Sept[[#This Row],[PNP Fin]]-H_Sept[[#This Row],[PNP Début]],1))*24</f>
        <v>0</v>
      </c>
      <c r="K42" s="119" t="str">
        <f>IFERROR(VLOOKUP(H_Sept[[#This Row],[Service]],Codes[],4,0),"")</f>
        <v/>
      </c>
      <c r="L42" s="49">
        <f>IF(H_Sept[[#This Row],[PNP Début]]=0,0,IF(H_Sept[[#This Row],[PNP Début]]&lt;H_Sept[[#This Row],[début]],1,0)+H_Sept[[#This Row],[PNP Début]])</f>
        <v>0</v>
      </c>
      <c r="M42" s="50">
        <f>IF(H_Sept[[#This Row],[PNP Fin]]=0,0,IF(H_Sept[[#This Row],[PNP Fin]]&lt;H_Sept[[#This Row],[début]],1,0)+H_Sept[[#This Row],[PNP Fin]])</f>
        <v>0</v>
      </c>
      <c r="N42" s="50">
        <f>IF(H_Sept[[#This Row],[Fin]]&lt;H_Sept[[#This Row],[début]],1,0)+H_Sept[[#This Row],[Fin]]</f>
        <v>0</v>
      </c>
      <c r="O42" s="31">
        <f>IF(H_Sept[[#This Row],[Fin]]&lt;H_Sept[[#This Row],[début]],MAX(0,MIN(H_Sept[[#This Row],[Fin corrigée si nuit]],fin_nuit)-MAX(H_Sept[[#This Row],[début]],deb_nuit))*24,(MAX(deb_nuit,H_Sept[[#This Row],[Fin]])-MAX(deb_nuit,H_Sept[[#This Row],[début]])+MAX(MIN(fin_nuit-1,H_Sept[[#This Row],[Fin]])-MIN(fin_nuit-1,H_Sept[[#This Row],[début]]),0))*24)</f>
        <v>0</v>
      </c>
      <c r="P42" s="51">
        <f>(MAX(0,MIN(H_Sept[[#This Row],[Fin corrigée si nuit]],fin_nuit)-MAX(H_Sept[[#This Row],[début]],deb_nuit))-IF(H_Sept[[#This Row],[PNP Début]]=0,0,MIN(H_Sept[[#This Row],[PNP Fin corrigée]],fin_nuit)-MAX(H_Sept[[#This Row],[PNP Début corrigé]],deb_nuit)))*24</f>
        <v>0</v>
      </c>
      <c r="Q42" s="51">
        <f>(IF(WEEKDAY(H_Sept[[#This Row],[Date]],2)=7,MAX(0,MIN(fin_dimJF,H_Sept[[#This Row],[Fin corrigée si nuit]])-MAX(deb_dimJF,H_Sept[[#This Row],[début]])),0)+IF(WEEKDAY(H_Sept[[#This Row],[Date]],2)=6,MAX(0,H_Sept[[#This Row],[Fin corrigée si nuit]]-(1+deb_dimJF)),0))*24</f>
        <v>0</v>
      </c>
      <c r="R42"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2" s="51">
        <f>(IF(COUNTIF(JF,H_Sept[[#This Row],[Date]]),MAX(0,MIN(fin_dimJF,H_Sept[[#This Row],[Fin corrigée si nuit]])-MAX(deb_dimJF,H_Sept[[#This Row],[début]])),0)+IF(COUNTIF(JF,H_Sept[[#This Row],[Date]]+1),MAX(0,H_Sept[[#This Row],[Fin corrigée si nuit]]-(1+deb_dimJF)),0))*24</f>
        <v>0</v>
      </c>
      <c r="T42"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3" spans="1:20" x14ac:dyDescent="0.3">
      <c r="A43" s="4"/>
      <c r="B43" s="1"/>
      <c r="C43" s="2"/>
      <c r="D43" s="2"/>
      <c r="E43" s="3"/>
      <c r="F43" s="3"/>
      <c r="G43" s="3"/>
      <c r="H43" s="3"/>
      <c r="I43" s="47">
        <f>0.1*(H_Sept[[#This Row],[Heures de nuit]]+IF(H_Sept[[#This Row],[majoration dim &amp; JF]]="non",0,H_Sept[[#This Row],[heures jour dimanche]]+H_Sept[[#This Row],[heures jour fériés]]))</f>
        <v>0</v>
      </c>
      <c r="J43" s="48">
        <f>(MOD(H_Sept[[#This Row],[Fin]]-H_Sept[[#This Row],[début]],1)-MOD(H_Sept[[#This Row],[PNP Fin]]-H_Sept[[#This Row],[PNP Début]],1))*24</f>
        <v>0</v>
      </c>
      <c r="K43" s="119" t="str">
        <f>IFERROR(VLOOKUP(H_Sept[[#This Row],[Service]],Codes[],4,0),"")</f>
        <v/>
      </c>
      <c r="L43" s="49">
        <f>IF(H_Sept[[#This Row],[PNP Début]]=0,0,IF(H_Sept[[#This Row],[PNP Début]]&lt;H_Sept[[#This Row],[début]],1,0)+H_Sept[[#This Row],[PNP Début]])</f>
        <v>0</v>
      </c>
      <c r="M43" s="50">
        <f>IF(H_Sept[[#This Row],[PNP Fin]]=0,0,IF(H_Sept[[#This Row],[PNP Fin]]&lt;H_Sept[[#This Row],[début]],1,0)+H_Sept[[#This Row],[PNP Fin]])</f>
        <v>0</v>
      </c>
      <c r="N43" s="50">
        <f>IF(H_Sept[[#This Row],[Fin]]&lt;H_Sept[[#This Row],[début]],1,0)+H_Sept[[#This Row],[Fin]]</f>
        <v>0</v>
      </c>
      <c r="O43" s="31">
        <f>IF(H_Sept[[#This Row],[Fin]]&lt;H_Sept[[#This Row],[début]],MAX(0,MIN(H_Sept[[#This Row],[Fin corrigée si nuit]],fin_nuit)-MAX(H_Sept[[#This Row],[début]],deb_nuit))*24,(MAX(deb_nuit,H_Sept[[#This Row],[Fin]])-MAX(deb_nuit,H_Sept[[#This Row],[début]])+MAX(MIN(fin_nuit-1,H_Sept[[#This Row],[Fin]])-MIN(fin_nuit-1,H_Sept[[#This Row],[début]]),0))*24)</f>
        <v>0</v>
      </c>
      <c r="P43" s="51">
        <f>(MAX(0,MIN(H_Sept[[#This Row],[Fin corrigée si nuit]],fin_nuit)-MAX(H_Sept[[#This Row],[début]],deb_nuit))-IF(H_Sept[[#This Row],[PNP Début]]=0,0,MIN(H_Sept[[#This Row],[PNP Fin corrigée]],fin_nuit)-MAX(H_Sept[[#This Row],[PNP Début corrigé]],deb_nuit)))*24</f>
        <v>0</v>
      </c>
      <c r="Q43" s="51">
        <f>(IF(WEEKDAY(H_Sept[[#This Row],[Date]],2)=7,MAX(0,MIN(fin_dimJF,H_Sept[[#This Row],[Fin corrigée si nuit]])-MAX(deb_dimJF,H_Sept[[#This Row],[début]])),0)+IF(WEEKDAY(H_Sept[[#This Row],[Date]],2)=6,MAX(0,H_Sept[[#This Row],[Fin corrigée si nuit]]-(1+deb_dimJF)),0))*24</f>
        <v>0</v>
      </c>
      <c r="R43"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3" s="51">
        <f>(IF(COUNTIF(JF,H_Sept[[#This Row],[Date]]),MAX(0,MIN(fin_dimJF,H_Sept[[#This Row],[Fin corrigée si nuit]])-MAX(deb_dimJF,H_Sept[[#This Row],[début]])),0)+IF(COUNTIF(JF,H_Sept[[#This Row],[Date]]+1),MAX(0,H_Sept[[#This Row],[Fin corrigée si nuit]]-(1+deb_dimJF)),0))*24</f>
        <v>0</v>
      </c>
      <c r="T43"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4" spans="1:20" x14ac:dyDescent="0.3">
      <c r="A44" s="4"/>
      <c r="B44" s="1"/>
      <c r="C44" s="2"/>
      <c r="D44" s="2"/>
      <c r="E44" s="3"/>
      <c r="F44" s="3"/>
      <c r="G44" s="3"/>
      <c r="H44" s="3"/>
      <c r="I44" s="47">
        <f>0.1*(H_Sept[[#This Row],[Heures de nuit]]+IF(H_Sept[[#This Row],[majoration dim &amp; JF]]="non",0,H_Sept[[#This Row],[heures jour dimanche]]+H_Sept[[#This Row],[heures jour fériés]]))</f>
        <v>0</v>
      </c>
      <c r="J44" s="48">
        <f>(MOD(H_Sept[[#This Row],[Fin]]-H_Sept[[#This Row],[début]],1)-MOD(H_Sept[[#This Row],[PNP Fin]]-H_Sept[[#This Row],[PNP Début]],1))*24</f>
        <v>0</v>
      </c>
      <c r="K44" s="119" t="str">
        <f>IFERROR(VLOOKUP(H_Sept[[#This Row],[Service]],Codes[],4,0),"")</f>
        <v/>
      </c>
      <c r="L44" s="49">
        <f>IF(H_Sept[[#This Row],[PNP Début]]=0,0,IF(H_Sept[[#This Row],[PNP Début]]&lt;H_Sept[[#This Row],[début]],1,0)+H_Sept[[#This Row],[PNP Début]])</f>
        <v>0</v>
      </c>
      <c r="M44" s="50">
        <f>IF(H_Sept[[#This Row],[PNP Fin]]=0,0,IF(H_Sept[[#This Row],[PNP Fin]]&lt;H_Sept[[#This Row],[début]],1,0)+H_Sept[[#This Row],[PNP Fin]])</f>
        <v>0</v>
      </c>
      <c r="N44" s="50">
        <f>IF(H_Sept[[#This Row],[Fin]]&lt;H_Sept[[#This Row],[début]],1,0)+H_Sept[[#This Row],[Fin]]</f>
        <v>0</v>
      </c>
      <c r="O44" s="31">
        <f>IF(H_Sept[[#This Row],[Fin]]&lt;H_Sept[[#This Row],[début]],MAX(0,MIN(H_Sept[[#This Row],[Fin corrigée si nuit]],fin_nuit)-MAX(H_Sept[[#This Row],[début]],deb_nuit))*24,(MAX(deb_nuit,H_Sept[[#This Row],[Fin]])-MAX(deb_nuit,H_Sept[[#This Row],[début]])+MAX(MIN(fin_nuit-1,H_Sept[[#This Row],[Fin]])-MIN(fin_nuit-1,H_Sept[[#This Row],[début]]),0))*24)</f>
        <v>0</v>
      </c>
      <c r="P44" s="51">
        <f>(MAX(0,MIN(H_Sept[[#This Row],[Fin corrigée si nuit]],fin_nuit)-MAX(H_Sept[[#This Row],[début]],deb_nuit))-IF(H_Sept[[#This Row],[PNP Début]]=0,0,MIN(H_Sept[[#This Row],[PNP Fin corrigée]],fin_nuit)-MAX(H_Sept[[#This Row],[PNP Début corrigé]],deb_nuit)))*24</f>
        <v>0</v>
      </c>
      <c r="Q44" s="51">
        <f>(IF(WEEKDAY(H_Sept[[#This Row],[Date]],2)=7,MAX(0,MIN(fin_dimJF,H_Sept[[#This Row],[Fin corrigée si nuit]])-MAX(deb_dimJF,H_Sept[[#This Row],[début]])),0)+IF(WEEKDAY(H_Sept[[#This Row],[Date]],2)=6,MAX(0,H_Sept[[#This Row],[Fin corrigée si nuit]]-(1+deb_dimJF)),0))*24</f>
        <v>0</v>
      </c>
      <c r="R44"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4" s="51">
        <f>(IF(COUNTIF(JF,H_Sept[[#This Row],[Date]]),MAX(0,MIN(fin_dimJF,H_Sept[[#This Row],[Fin corrigée si nuit]])-MAX(deb_dimJF,H_Sept[[#This Row],[début]])),0)+IF(COUNTIF(JF,H_Sept[[#This Row],[Date]]+1),MAX(0,H_Sept[[#This Row],[Fin corrigée si nuit]]-(1+deb_dimJF)),0))*24</f>
        <v>0</v>
      </c>
      <c r="T44"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5" spans="1:20" x14ac:dyDescent="0.3">
      <c r="A45" s="4"/>
      <c r="B45" s="1"/>
      <c r="C45" s="2"/>
      <c r="D45" s="2"/>
      <c r="E45" s="3"/>
      <c r="F45" s="3"/>
      <c r="G45" s="3"/>
      <c r="H45" s="3"/>
      <c r="I45" s="47">
        <f>0.1*(H_Sept[[#This Row],[Heures de nuit]]+IF(H_Sept[[#This Row],[majoration dim &amp; JF]]="non",0,H_Sept[[#This Row],[heures jour dimanche]]+H_Sept[[#This Row],[heures jour fériés]]))</f>
        <v>0</v>
      </c>
      <c r="J45" s="48">
        <f>(MOD(H_Sept[[#This Row],[Fin]]-H_Sept[[#This Row],[début]],1)-MOD(H_Sept[[#This Row],[PNP Fin]]-H_Sept[[#This Row],[PNP Début]],1))*24</f>
        <v>0</v>
      </c>
      <c r="K45" s="119" t="str">
        <f>IFERROR(VLOOKUP(H_Sept[[#This Row],[Service]],Codes[],4,0),"")</f>
        <v/>
      </c>
      <c r="L45" s="49">
        <f>IF(H_Sept[[#This Row],[PNP Début]]=0,0,IF(H_Sept[[#This Row],[PNP Début]]&lt;H_Sept[[#This Row],[début]],1,0)+H_Sept[[#This Row],[PNP Début]])</f>
        <v>0</v>
      </c>
      <c r="M45" s="50">
        <f>IF(H_Sept[[#This Row],[PNP Fin]]=0,0,IF(H_Sept[[#This Row],[PNP Fin]]&lt;H_Sept[[#This Row],[début]],1,0)+H_Sept[[#This Row],[PNP Fin]])</f>
        <v>0</v>
      </c>
      <c r="N45" s="50">
        <f>IF(H_Sept[[#This Row],[Fin]]&lt;H_Sept[[#This Row],[début]],1,0)+H_Sept[[#This Row],[Fin]]</f>
        <v>0</v>
      </c>
      <c r="O45" s="31">
        <f>IF(H_Sept[[#This Row],[Fin]]&lt;H_Sept[[#This Row],[début]],MAX(0,MIN(H_Sept[[#This Row],[Fin corrigée si nuit]],fin_nuit)-MAX(H_Sept[[#This Row],[début]],deb_nuit))*24,(MAX(deb_nuit,H_Sept[[#This Row],[Fin]])-MAX(deb_nuit,H_Sept[[#This Row],[début]])+MAX(MIN(fin_nuit-1,H_Sept[[#This Row],[Fin]])-MIN(fin_nuit-1,H_Sept[[#This Row],[début]]),0))*24)</f>
        <v>0</v>
      </c>
      <c r="P45" s="51">
        <f>(MAX(0,MIN(H_Sept[[#This Row],[Fin corrigée si nuit]],fin_nuit)-MAX(H_Sept[[#This Row],[début]],deb_nuit))-IF(H_Sept[[#This Row],[PNP Début]]=0,0,MIN(H_Sept[[#This Row],[PNP Fin corrigée]],fin_nuit)-MAX(H_Sept[[#This Row],[PNP Début corrigé]],deb_nuit)))*24</f>
        <v>0</v>
      </c>
      <c r="Q45" s="51">
        <f>(IF(WEEKDAY(H_Sept[[#This Row],[Date]],2)=7,MAX(0,MIN(fin_dimJF,H_Sept[[#This Row],[Fin corrigée si nuit]])-MAX(deb_dimJF,H_Sept[[#This Row],[début]])),0)+IF(WEEKDAY(H_Sept[[#This Row],[Date]],2)=6,MAX(0,H_Sept[[#This Row],[Fin corrigée si nuit]]-(1+deb_dimJF)),0))*24</f>
        <v>0</v>
      </c>
      <c r="R45"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5" s="51">
        <f>(IF(COUNTIF(JF,H_Sept[[#This Row],[Date]]),MAX(0,MIN(fin_dimJF,H_Sept[[#This Row],[Fin corrigée si nuit]])-MAX(deb_dimJF,H_Sept[[#This Row],[début]])),0)+IF(COUNTIF(JF,H_Sept[[#This Row],[Date]]+1),MAX(0,H_Sept[[#This Row],[Fin corrigée si nuit]]-(1+deb_dimJF)),0))*24</f>
        <v>0</v>
      </c>
      <c r="T45"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6" spans="1:20" x14ac:dyDescent="0.3">
      <c r="A46" s="4"/>
      <c r="B46" s="1"/>
      <c r="C46" s="2"/>
      <c r="D46" s="2"/>
      <c r="E46" s="3"/>
      <c r="F46" s="3"/>
      <c r="G46" s="3"/>
      <c r="H46" s="3"/>
      <c r="I46" s="47">
        <f>0.1*(H_Sept[[#This Row],[Heures de nuit]]+IF(H_Sept[[#This Row],[majoration dim &amp; JF]]="non",0,H_Sept[[#This Row],[heures jour dimanche]]+H_Sept[[#This Row],[heures jour fériés]]))</f>
        <v>0</v>
      </c>
      <c r="J46" s="48">
        <f>(MOD(H_Sept[[#This Row],[Fin]]-H_Sept[[#This Row],[début]],1)-MOD(H_Sept[[#This Row],[PNP Fin]]-H_Sept[[#This Row],[PNP Début]],1))*24</f>
        <v>0</v>
      </c>
      <c r="K46" s="119" t="str">
        <f>IFERROR(VLOOKUP(H_Sept[[#This Row],[Service]],Codes[],4,0),"")</f>
        <v/>
      </c>
      <c r="L46" s="49">
        <f>IF(H_Sept[[#This Row],[PNP Début]]=0,0,IF(H_Sept[[#This Row],[PNP Début]]&lt;H_Sept[[#This Row],[début]],1,0)+H_Sept[[#This Row],[PNP Début]])</f>
        <v>0</v>
      </c>
      <c r="M46" s="50">
        <f>IF(H_Sept[[#This Row],[PNP Fin]]=0,0,IF(H_Sept[[#This Row],[PNP Fin]]&lt;H_Sept[[#This Row],[début]],1,0)+H_Sept[[#This Row],[PNP Fin]])</f>
        <v>0</v>
      </c>
      <c r="N46" s="50">
        <f>IF(H_Sept[[#This Row],[Fin]]&lt;H_Sept[[#This Row],[début]],1,0)+H_Sept[[#This Row],[Fin]]</f>
        <v>0</v>
      </c>
      <c r="O46" s="31">
        <f>IF(H_Sept[[#This Row],[Fin]]&lt;H_Sept[[#This Row],[début]],MAX(0,MIN(H_Sept[[#This Row],[Fin corrigée si nuit]],fin_nuit)-MAX(H_Sept[[#This Row],[début]],deb_nuit))*24,(MAX(deb_nuit,H_Sept[[#This Row],[Fin]])-MAX(deb_nuit,H_Sept[[#This Row],[début]])+MAX(MIN(fin_nuit-1,H_Sept[[#This Row],[Fin]])-MIN(fin_nuit-1,H_Sept[[#This Row],[début]]),0))*24)</f>
        <v>0</v>
      </c>
      <c r="P46" s="51">
        <f>(MAX(0,MIN(H_Sept[[#This Row],[Fin corrigée si nuit]],fin_nuit)-MAX(H_Sept[[#This Row],[début]],deb_nuit))-IF(H_Sept[[#This Row],[PNP Début]]=0,0,MIN(H_Sept[[#This Row],[PNP Fin corrigée]],fin_nuit)-MAX(H_Sept[[#This Row],[PNP Début corrigé]],deb_nuit)))*24</f>
        <v>0</v>
      </c>
      <c r="Q46" s="51">
        <f>(IF(WEEKDAY(H_Sept[[#This Row],[Date]],2)=7,MAX(0,MIN(fin_dimJF,H_Sept[[#This Row],[Fin corrigée si nuit]])-MAX(deb_dimJF,H_Sept[[#This Row],[début]])),0)+IF(WEEKDAY(H_Sept[[#This Row],[Date]],2)=6,MAX(0,H_Sept[[#This Row],[Fin corrigée si nuit]]-(1+deb_dimJF)),0))*24</f>
        <v>0</v>
      </c>
      <c r="R46"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6" s="51">
        <f>(IF(COUNTIF(JF,H_Sept[[#This Row],[Date]]),MAX(0,MIN(fin_dimJF,H_Sept[[#This Row],[Fin corrigée si nuit]])-MAX(deb_dimJF,H_Sept[[#This Row],[début]])),0)+IF(COUNTIF(JF,H_Sept[[#This Row],[Date]]+1),MAX(0,H_Sept[[#This Row],[Fin corrigée si nuit]]-(1+deb_dimJF)),0))*24</f>
        <v>0</v>
      </c>
      <c r="T46"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7" spans="1:20" x14ac:dyDescent="0.3">
      <c r="A47" s="4"/>
      <c r="B47" s="1"/>
      <c r="C47" s="2"/>
      <c r="D47" s="2"/>
      <c r="E47" s="3"/>
      <c r="F47" s="3"/>
      <c r="G47" s="3"/>
      <c r="H47" s="3"/>
      <c r="I47" s="47">
        <f>0.1*(H_Sept[[#This Row],[Heures de nuit]]+IF(H_Sept[[#This Row],[majoration dim &amp; JF]]="non",0,H_Sept[[#This Row],[heures jour dimanche]]+H_Sept[[#This Row],[heures jour fériés]]))</f>
        <v>0</v>
      </c>
      <c r="J47" s="48">
        <f>(MOD(H_Sept[[#This Row],[Fin]]-H_Sept[[#This Row],[début]],1)-MOD(H_Sept[[#This Row],[PNP Fin]]-H_Sept[[#This Row],[PNP Début]],1))*24</f>
        <v>0</v>
      </c>
      <c r="K47" s="119" t="str">
        <f>IFERROR(VLOOKUP(H_Sept[[#This Row],[Service]],Codes[],4,0),"")</f>
        <v/>
      </c>
      <c r="L47" s="49">
        <f>IF(H_Sept[[#This Row],[PNP Début]]=0,0,IF(H_Sept[[#This Row],[PNP Début]]&lt;H_Sept[[#This Row],[début]],1,0)+H_Sept[[#This Row],[PNP Début]])</f>
        <v>0</v>
      </c>
      <c r="M47" s="50">
        <f>IF(H_Sept[[#This Row],[PNP Fin]]=0,0,IF(H_Sept[[#This Row],[PNP Fin]]&lt;H_Sept[[#This Row],[début]],1,0)+H_Sept[[#This Row],[PNP Fin]])</f>
        <v>0</v>
      </c>
      <c r="N47" s="50">
        <f>IF(H_Sept[[#This Row],[Fin]]&lt;H_Sept[[#This Row],[début]],1,0)+H_Sept[[#This Row],[Fin]]</f>
        <v>0</v>
      </c>
      <c r="O47" s="31">
        <f>IF(H_Sept[[#This Row],[Fin]]&lt;H_Sept[[#This Row],[début]],MAX(0,MIN(H_Sept[[#This Row],[Fin corrigée si nuit]],fin_nuit)-MAX(H_Sept[[#This Row],[début]],deb_nuit))*24,(MAX(deb_nuit,H_Sept[[#This Row],[Fin]])-MAX(deb_nuit,H_Sept[[#This Row],[début]])+MAX(MIN(fin_nuit-1,H_Sept[[#This Row],[Fin]])-MIN(fin_nuit-1,H_Sept[[#This Row],[début]]),0))*24)</f>
        <v>0</v>
      </c>
      <c r="P47" s="51">
        <f>(MAX(0,MIN(H_Sept[[#This Row],[Fin corrigée si nuit]],fin_nuit)-MAX(H_Sept[[#This Row],[début]],deb_nuit))-IF(H_Sept[[#This Row],[PNP Début]]=0,0,MIN(H_Sept[[#This Row],[PNP Fin corrigée]],fin_nuit)-MAX(H_Sept[[#This Row],[PNP Début corrigé]],deb_nuit)))*24</f>
        <v>0</v>
      </c>
      <c r="Q47" s="51">
        <f>(IF(WEEKDAY(H_Sept[[#This Row],[Date]],2)=7,MAX(0,MIN(fin_dimJF,H_Sept[[#This Row],[Fin corrigée si nuit]])-MAX(deb_dimJF,H_Sept[[#This Row],[début]])),0)+IF(WEEKDAY(H_Sept[[#This Row],[Date]],2)=6,MAX(0,H_Sept[[#This Row],[Fin corrigée si nuit]]-(1+deb_dimJF)),0))*24</f>
        <v>0</v>
      </c>
      <c r="R47"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7" s="51">
        <f>(IF(COUNTIF(JF,H_Sept[[#This Row],[Date]]),MAX(0,MIN(fin_dimJF,H_Sept[[#This Row],[Fin corrigée si nuit]])-MAX(deb_dimJF,H_Sept[[#This Row],[début]])),0)+IF(COUNTIF(JF,H_Sept[[#This Row],[Date]]+1),MAX(0,H_Sept[[#This Row],[Fin corrigée si nuit]]-(1+deb_dimJF)),0))*24</f>
        <v>0</v>
      </c>
      <c r="T47"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8" spans="1:20" x14ac:dyDescent="0.3">
      <c r="A48" s="4"/>
      <c r="B48" s="1"/>
      <c r="C48" s="2"/>
      <c r="D48" s="2"/>
      <c r="E48" s="3"/>
      <c r="F48" s="3"/>
      <c r="G48" s="3"/>
      <c r="H48" s="3"/>
      <c r="I48" s="47">
        <f>0.1*(H_Sept[[#This Row],[Heures de nuit]]+IF(H_Sept[[#This Row],[majoration dim &amp; JF]]="non",0,H_Sept[[#This Row],[heures jour dimanche]]+H_Sept[[#This Row],[heures jour fériés]]))</f>
        <v>0</v>
      </c>
      <c r="J48" s="48">
        <f>(MOD(H_Sept[[#This Row],[Fin]]-H_Sept[[#This Row],[début]],1)-MOD(H_Sept[[#This Row],[PNP Fin]]-H_Sept[[#This Row],[PNP Début]],1))*24</f>
        <v>0</v>
      </c>
      <c r="K48" s="119" t="str">
        <f>IFERROR(VLOOKUP(H_Sept[[#This Row],[Service]],Codes[],4,0),"")</f>
        <v/>
      </c>
      <c r="L48" s="49">
        <f>IF(H_Sept[[#This Row],[PNP Début]]=0,0,IF(H_Sept[[#This Row],[PNP Début]]&lt;H_Sept[[#This Row],[début]],1,0)+H_Sept[[#This Row],[PNP Début]])</f>
        <v>0</v>
      </c>
      <c r="M48" s="50">
        <f>IF(H_Sept[[#This Row],[PNP Fin]]=0,0,IF(H_Sept[[#This Row],[PNP Fin]]&lt;H_Sept[[#This Row],[début]],1,0)+H_Sept[[#This Row],[PNP Fin]])</f>
        <v>0</v>
      </c>
      <c r="N48" s="50">
        <f>IF(H_Sept[[#This Row],[Fin]]&lt;H_Sept[[#This Row],[début]],1,0)+H_Sept[[#This Row],[Fin]]</f>
        <v>0</v>
      </c>
      <c r="O48" s="31">
        <f>IF(H_Sept[[#This Row],[Fin]]&lt;H_Sept[[#This Row],[début]],MAX(0,MIN(H_Sept[[#This Row],[Fin corrigée si nuit]],fin_nuit)-MAX(H_Sept[[#This Row],[début]],deb_nuit))*24,(MAX(deb_nuit,H_Sept[[#This Row],[Fin]])-MAX(deb_nuit,H_Sept[[#This Row],[début]])+MAX(MIN(fin_nuit-1,H_Sept[[#This Row],[Fin]])-MIN(fin_nuit-1,H_Sept[[#This Row],[début]]),0))*24)</f>
        <v>0</v>
      </c>
      <c r="P48" s="51">
        <f>(MAX(0,MIN(H_Sept[[#This Row],[Fin corrigée si nuit]],fin_nuit)-MAX(H_Sept[[#This Row],[début]],deb_nuit))-IF(H_Sept[[#This Row],[PNP Début]]=0,0,MIN(H_Sept[[#This Row],[PNP Fin corrigée]],fin_nuit)-MAX(H_Sept[[#This Row],[PNP Début corrigé]],deb_nuit)))*24</f>
        <v>0</v>
      </c>
      <c r="Q48" s="51">
        <f>(IF(WEEKDAY(H_Sept[[#This Row],[Date]],2)=7,MAX(0,MIN(fin_dimJF,H_Sept[[#This Row],[Fin corrigée si nuit]])-MAX(deb_dimJF,H_Sept[[#This Row],[début]])),0)+IF(WEEKDAY(H_Sept[[#This Row],[Date]],2)=6,MAX(0,H_Sept[[#This Row],[Fin corrigée si nuit]]-(1+deb_dimJF)),0))*24</f>
        <v>0</v>
      </c>
      <c r="R48"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8" s="51">
        <f>(IF(COUNTIF(JF,H_Sept[[#This Row],[Date]]),MAX(0,MIN(fin_dimJF,H_Sept[[#This Row],[Fin corrigée si nuit]])-MAX(deb_dimJF,H_Sept[[#This Row],[début]])),0)+IF(COUNTIF(JF,H_Sept[[#This Row],[Date]]+1),MAX(0,H_Sept[[#This Row],[Fin corrigée si nuit]]-(1+deb_dimJF)),0))*24</f>
        <v>0</v>
      </c>
      <c r="T48"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49" spans="1:20" ht="15" thickBot="1" x14ac:dyDescent="0.35">
      <c r="A49" s="4"/>
      <c r="B49" s="1"/>
      <c r="C49" s="2"/>
      <c r="D49" s="2"/>
      <c r="E49" s="3"/>
      <c r="F49" s="3"/>
      <c r="G49" s="3"/>
      <c r="H49" s="3"/>
      <c r="I49" s="47">
        <f>0.1*(H_Sept[[#This Row],[Heures de nuit]]+IF(H_Sept[[#This Row],[majoration dim &amp; JF]]="non",0,H_Sept[[#This Row],[heures jour dimanche]]+H_Sept[[#This Row],[heures jour fériés]]))</f>
        <v>0</v>
      </c>
      <c r="J49" s="48">
        <f>(MOD(H_Sept[[#This Row],[Fin]]-H_Sept[[#This Row],[début]],1)-MOD(H_Sept[[#This Row],[PNP Fin]]-H_Sept[[#This Row],[PNP Début]],1))*24</f>
        <v>0</v>
      </c>
      <c r="K49" s="119" t="str">
        <f>IFERROR(VLOOKUP(H_Sept[[#This Row],[Service]],Codes[],4,0),"")</f>
        <v/>
      </c>
      <c r="L49" s="49">
        <f>IF(H_Sept[[#This Row],[PNP Début]]=0,0,IF(H_Sept[[#This Row],[PNP Début]]&lt;H_Sept[[#This Row],[début]],1,0)+H_Sept[[#This Row],[PNP Début]])</f>
        <v>0</v>
      </c>
      <c r="M49" s="50">
        <f>IF(H_Sept[[#This Row],[PNP Fin]]=0,0,IF(H_Sept[[#This Row],[PNP Fin]]&lt;H_Sept[[#This Row],[début]],1,0)+H_Sept[[#This Row],[PNP Fin]])</f>
        <v>0</v>
      </c>
      <c r="N49" s="50">
        <f>IF(H_Sept[[#This Row],[Fin]]&lt;H_Sept[[#This Row],[début]],1,0)+H_Sept[[#This Row],[Fin]]</f>
        <v>0</v>
      </c>
      <c r="O49" s="31">
        <f>IF(H_Sept[[#This Row],[Fin]]&lt;H_Sept[[#This Row],[début]],MAX(0,MIN(H_Sept[[#This Row],[Fin corrigée si nuit]],fin_nuit)-MAX(H_Sept[[#This Row],[début]],deb_nuit))*24,(MAX(deb_nuit,H_Sept[[#This Row],[Fin]])-MAX(deb_nuit,H_Sept[[#This Row],[début]])+MAX(MIN(fin_nuit-1,H_Sept[[#This Row],[Fin]])-MIN(fin_nuit-1,H_Sept[[#This Row],[début]]),0))*24)</f>
        <v>0</v>
      </c>
      <c r="P49" s="51">
        <f>(MAX(0,MIN(H_Sept[[#This Row],[Fin corrigée si nuit]],fin_nuit)-MAX(H_Sept[[#This Row],[début]],deb_nuit))-IF(H_Sept[[#This Row],[PNP Début]]=0,0,MIN(H_Sept[[#This Row],[PNP Fin corrigée]],fin_nuit)-MAX(H_Sept[[#This Row],[PNP Début corrigé]],deb_nuit)))*24</f>
        <v>0</v>
      </c>
      <c r="Q49" s="51">
        <f>(IF(WEEKDAY(H_Sept[[#This Row],[Date]],2)=7,MAX(0,MIN(fin_dimJF,H_Sept[[#This Row],[Fin corrigée si nuit]])-MAX(deb_dimJF,H_Sept[[#This Row],[début]])),0)+IF(WEEKDAY(H_Sept[[#This Row],[Date]],2)=6,MAX(0,H_Sept[[#This Row],[Fin corrigée si nuit]]-(1+deb_dimJF)),0))*24</f>
        <v>0</v>
      </c>
      <c r="R49" s="51">
        <f>(IF(WEEKDAY(H_Sept[[#This Row],[Date]],2)=7,MAX(0,MIN(fin_dimJF,H_Sept[[#This Row],[Fin corrigée si nuit]])-MAX(deb_dimJF,H_Sept[[#This Row],[début]])),0)+IF(WEEKDAY(H_Sept[[#This Row],[Date]],2)=6,MAX(0,H_Sept[[#This Row],[Fin corrigée si nuit]]-(1+deb_dimJF)),0))*24-
(IF(WEEKDAY(H_Sept[[#This Row],[Date]],2)=7,MAX(0,MIN(fin_dimJF,H_Sept[[#This Row],[PNP Fin corrigée]])-MAX(deb_dimJF,H_Sept[[#This Row],[PNP Début corrigé]])),0)+IF(WEEKDAY(H_Sept[[#This Row],[Date]],2)=6,MAX(0,H_Sept[[#This Row],[PNP Fin corrigée]]-(1+deb_dimJF)),0))*24</f>
        <v>0</v>
      </c>
      <c r="S49" s="51">
        <f>(IF(COUNTIF(JF,H_Sept[[#This Row],[Date]]),MAX(0,MIN(fin_dimJF,H_Sept[[#This Row],[Fin corrigée si nuit]])-MAX(deb_dimJF,H_Sept[[#This Row],[début]])),0)+IF(COUNTIF(JF,H_Sept[[#This Row],[Date]]+1),MAX(0,H_Sept[[#This Row],[Fin corrigée si nuit]]-(1+deb_dimJF)),0))*24</f>
        <v>0</v>
      </c>
      <c r="T49" s="51">
        <f>(IF(COUNTIF(JF,H_Sept[[#This Row],[Date]]),MAX(0,MIN(fin_dimJF,H_Sept[[#This Row],[Fin corrigée si nuit]])-MAX(deb_dimJF,H_Sept[[#This Row],[début]])),0)+IF(COUNTIF(JF,H_Sept[[#This Row],[Date]]+1),MAX(0,H_Sept[[#This Row],[Fin corrigée si nuit]]-(1+deb_dimJF)),0))*24-
(IF(COUNTIF(JF,H_Sept[[#This Row],[Date]]),MAX(0,MIN(fin_dimJF,H_Sept[[#This Row],[PNP Fin corrigée]])-MAX(deb_dimJF,H_Sept[[#This Row],[PNP Début corrigé]])),0)+IF(COUNTIF(JF,H_Sept[[#This Row],[Date]]+1),MAX(0,H_Sept[[#This Row],[PNP Fin corrigée]]-(1+deb_dimJF)),0))*24</f>
        <v>0</v>
      </c>
    </row>
    <row r="50" spans="1:20" ht="16.2" thickBot="1" x14ac:dyDescent="0.35">
      <c r="A50" s="52"/>
      <c r="B50" s="15"/>
      <c r="C50" s="15"/>
      <c r="D50" s="15"/>
      <c r="E50" s="144" t="s">
        <v>29</v>
      </c>
      <c r="F50" s="145"/>
      <c r="G50" s="145"/>
      <c r="H50" s="146"/>
      <c r="I50" s="53">
        <f>SUM(H_Sept[Majoration])</f>
        <v>0</v>
      </c>
      <c r="J50" s="54">
        <f>SUM(H_Sept[Heures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103" priority="1">
      <formula>$K13="non"</formula>
    </cfRule>
  </conditionalFormatting>
  <dataValidations count="3">
    <dataValidation type="date" operator="greaterThan" allowBlank="1" showInputMessage="1" showErrorMessage="1" error="Tapez le mois sous le format suivant_x000a_09/17" promptTitle="Mois du relevé" sqref="J5:K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L12:O49"/>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12289" r:id="rId4" name="CommandButton1">
          <controlPr defaultSize="0" print="0" autoLine="0" r:id="rId5">
            <anchor moveWithCells="1">
              <from>
                <xdr:col>9</xdr:col>
                <xdr:colOff>480060</xdr:colOff>
                <xdr:row>0</xdr:row>
                <xdr:rowOff>83820</xdr:rowOff>
              </from>
              <to>
                <xdr:col>9</xdr:col>
                <xdr:colOff>1264920</xdr:colOff>
                <xdr:row>3</xdr:row>
                <xdr:rowOff>198120</xdr:rowOff>
              </to>
            </anchor>
          </controlPr>
        </control>
      </mc:Choice>
      <mc:Fallback>
        <control shapeId="12289"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Z60"/>
  <sheetViews>
    <sheetView topLeftCell="A2" zoomScale="80" zoomScaleNormal="80" zoomScalePageLayoutView="55" workbookViewId="0">
      <selection activeCell="X17" sqref="X17"/>
    </sheetView>
  </sheetViews>
  <sheetFormatPr baseColWidth="10" defaultRowHeight="14.4" x14ac:dyDescent="0.3"/>
  <cols>
    <col min="1" max="1" width="20.3320312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6"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Octobre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0.1*(H_Oct[[#This Row],[Heures de nuit]]+IF(H_Oct[[#This Row],[majoration dim &amp; JF]]="non",0,H_Oct[[#This Row],[heures jour dimanche]]+H_Oct[[#This Row],[heures jour fériés]]))</f>
        <v>0</v>
      </c>
      <c r="J13" s="29">
        <f>(MOD(H_Oct[[#This Row],[Fin]]-H_Oct[[#This Row],[début]],1)-MOD(H_Oct[[#This Row],[PNP Fin]]-H_Oct[[#This Row],[PNP Début]],1))*24</f>
        <v>0</v>
      </c>
      <c r="K13" s="29" t="str">
        <f>IFERROR(VLOOKUP(H_Oct[[#This Row],[Service]],Codes[],4,0),"")</f>
        <v/>
      </c>
      <c r="L13" s="30">
        <f>IF(H_Oct[[#This Row],[PNP Début]]=0,0,IF(H_Oct[[#This Row],[PNP Début]]&lt;H_Oct[[#This Row],[début]],1,0)+H_Oct[[#This Row],[PNP Début]])</f>
        <v>0</v>
      </c>
      <c r="M13" s="30">
        <f>IF(H_Oct[[#This Row],[PNP Fin]]=0,0,IF(H_Oct[[#This Row],[PNP Fin]]&lt;H_Oct[[#This Row],[début]],1,0)+H_Oct[[#This Row],[PNP Fin]])</f>
        <v>0</v>
      </c>
      <c r="N13" s="30">
        <f>IF(H_Oct[[#This Row],[Fin]]&lt;H_Oct[[#This Row],[début]],1,0)+H_Oct[[#This Row],[Fin]]</f>
        <v>0</v>
      </c>
      <c r="O13" s="31">
        <f>IF(H_Oct[[#This Row],[Fin]]&lt;H_Oct[[#This Row],[début]],MAX(0,MIN(H_Oct[[#This Row],[Fin corrigée si nuit]],fin_nuit)-MAX(H_Oct[[#This Row],[début]],deb_nuit))*24,(MAX(deb_nuit,H_Oct[[#This Row],[Fin]])-MAX(deb_nuit,H_Oct[[#This Row],[début]])+MAX(MIN(fin_nuit-1,H_Oct[[#This Row],[Fin]])-MIN(fin_nuit-1,H_Oct[[#This Row],[début]]),0))*24)</f>
        <v>0</v>
      </c>
      <c r="P13" s="31">
        <f>(MAX(0,MIN(H_Oct[[#This Row],[Fin corrigée si nuit]],fin_nuit)-MAX(H_Oct[[#This Row],[début]],deb_nuit))-IF(H_Oct[[#This Row],[PNP Début]]=0,0,MIN(H_Oct[[#This Row],[PNP Fin corrigée]],fin_nuit)-MAX(H_Oct[[#This Row],[PNP Début corrigé]],deb_nuit)))*24</f>
        <v>0</v>
      </c>
      <c r="Q13" s="31">
        <f>(IF(WEEKDAY(H_Oct[[#This Row],[Date]],2)=7,MAX(0,MIN(fin_dimJF,H_Oct[[#This Row],[Fin corrigée si nuit]])-MAX(deb_dimJF,H_Oct[[#This Row],[début]])),0)+IF(WEEKDAY(H_Oct[[#This Row],[Date]],2)=6,MAX(0,H_Oct[[#This Row],[Fin corrigée si nuit]]-(1+deb_dimJF)),0))*24</f>
        <v>0</v>
      </c>
      <c r="R13" s="3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13" s="32">
        <f>(IF(COUNTIF(JF,H_Oct[[#This Row],[Date]]),MAX(0,MIN(fin_dimJF,H_Oct[[#This Row],[Fin corrigée si nuit]])-MAX(deb_dimJF,H_Oct[[#This Row],[début]])),0)+IF(COUNTIF(JF,H_Oct[[#This Row],[Date]]+1),MAX(0,H_Oct[[#This Row],[Fin corrigée si nuit]]-(1+deb_dimJF)),0))*24</f>
        <v>0</v>
      </c>
      <c r="T13" s="32">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c r="V13" s="124"/>
      <c r="W13" s="124"/>
      <c r="X13" s="124"/>
      <c r="Y13" s="124"/>
      <c r="Z13" s="124"/>
    </row>
    <row r="14" spans="1:26" x14ac:dyDescent="0.3">
      <c r="A14" s="4"/>
      <c r="B14" s="1"/>
      <c r="C14" s="113"/>
      <c r="D14" s="113"/>
      <c r="E14" s="3"/>
      <c r="F14" s="3"/>
      <c r="G14" s="3"/>
      <c r="H14" s="3"/>
      <c r="I14" s="28">
        <f>0.1*(H_Oct[[#This Row],[Heures de nuit]]+IF(H_Oct[[#This Row],[majoration dim &amp; JF]]="non",0,H_Oct[[#This Row],[heures jour dimanche]]+H_Oct[[#This Row],[heures jour fériés]]))</f>
        <v>0</v>
      </c>
      <c r="J14" s="29">
        <f>(MOD(H_Oct[[#This Row],[Fin]]-H_Oct[[#This Row],[début]],1)-MOD(H_Oct[[#This Row],[PNP Fin]]-H_Oct[[#This Row],[PNP Début]],1))*24</f>
        <v>0</v>
      </c>
      <c r="K14" s="29" t="str">
        <f>IFERROR(VLOOKUP(H_Oct[[#This Row],[Service]],Codes[],4,0),"")</f>
        <v/>
      </c>
      <c r="L14" s="30">
        <f>IF(H_Oct[[#This Row],[PNP Début]]=0,0,IF(H_Oct[[#This Row],[PNP Début]]&lt;H_Oct[[#This Row],[début]],1,0)+H_Oct[[#This Row],[PNP Début]])</f>
        <v>0</v>
      </c>
      <c r="M14" s="30">
        <f>IF(H_Oct[[#This Row],[PNP Fin]]=0,0,IF(H_Oct[[#This Row],[PNP Fin]]&lt;H_Oct[[#This Row],[début]],1,0)+H_Oct[[#This Row],[PNP Fin]])</f>
        <v>0</v>
      </c>
      <c r="N14" s="30">
        <f>IF(H_Oct[[#This Row],[Fin]]&lt;H_Oct[[#This Row],[début]],1,0)+H_Oct[[#This Row],[Fin]]</f>
        <v>0</v>
      </c>
      <c r="O14" s="31">
        <f>IF(H_Oct[[#This Row],[Fin]]&lt;H_Oct[[#This Row],[début]],MAX(0,MIN(H_Oct[[#This Row],[Fin corrigée si nuit]],fin_nuit)-MAX(H_Oct[[#This Row],[début]],deb_nuit))*24,(MAX(deb_nuit,H_Oct[[#This Row],[Fin]])-MAX(deb_nuit,H_Oct[[#This Row],[début]])+MAX(MIN(fin_nuit-1,H_Oct[[#This Row],[Fin]])-MIN(fin_nuit-1,H_Oct[[#This Row],[début]]),0))*24)</f>
        <v>0</v>
      </c>
      <c r="P14" s="31">
        <f>(MAX(0,MIN(H_Oct[[#This Row],[Fin corrigée si nuit]],fin_nuit)-MAX(H_Oct[[#This Row],[début]],deb_nuit))-IF(H_Oct[[#This Row],[PNP Début]]=0,0,MIN(H_Oct[[#This Row],[PNP Fin corrigée]],fin_nuit)-MAX(H_Oct[[#This Row],[PNP Début corrigé]],deb_nuit)))*24</f>
        <v>0</v>
      </c>
      <c r="Q14" s="31">
        <f>(IF(WEEKDAY(H_Oct[[#This Row],[Date]],2)=7,MAX(0,MIN(fin_dimJF,H_Oct[[#This Row],[Fin corrigée si nuit]])-MAX(deb_dimJF,H_Oct[[#This Row],[début]])),0)+IF(WEEKDAY(H_Oct[[#This Row],[Date]],2)=6,MAX(0,H_Oct[[#This Row],[Fin corrigée si nuit]]-(1+deb_dimJF)),0))*24</f>
        <v>0</v>
      </c>
      <c r="R14" s="3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14" s="32">
        <f>(IF(COUNTIF(JF,H_Oct[[#This Row],[Date]]),MAX(0,MIN(fin_dimJF,H_Oct[[#This Row],[Fin corrigée si nuit]])-MAX(deb_dimJF,H_Oct[[#This Row],[début]])),0)+IF(COUNTIF(JF,H_Oct[[#This Row],[Date]]+1),MAX(0,H_Oct[[#This Row],[Fin corrigée si nuit]]-(1+deb_dimJF)),0))*24</f>
        <v>0</v>
      </c>
      <c r="T14" s="32">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c r="V14" s="124"/>
      <c r="W14" s="124"/>
      <c r="X14" s="124"/>
      <c r="Y14" s="124"/>
      <c r="Z14" s="124"/>
    </row>
    <row r="15" spans="1:26" x14ac:dyDescent="0.3">
      <c r="A15" s="4"/>
      <c r="B15" s="1"/>
      <c r="C15" s="2"/>
      <c r="D15" s="2"/>
      <c r="E15" s="3"/>
      <c r="F15" s="3"/>
      <c r="G15" s="3"/>
      <c r="H15" s="3"/>
      <c r="I15" s="28">
        <f>0.1*(H_Oct[[#This Row],[Heures de nuit]]+IF(H_Oct[[#This Row],[majoration dim &amp; JF]]="non",0,H_Oct[[#This Row],[heures jour dimanche]]+H_Oct[[#This Row],[heures jour fériés]]))</f>
        <v>0</v>
      </c>
      <c r="J15" s="29">
        <f>(MOD(H_Oct[[#This Row],[Fin]]-H_Oct[[#This Row],[début]],1)-MOD(H_Oct[[#This Row],[PNP Fin]]-H_Oct[[#This Row],[PNP Début]],1))*24</f>
        <v>0</v>
      </c>
      <c r="K15" s="29" t="str">
        <f>IFERROR(VLOOKUP(H_Oct[[#This Row],[Service]],Codes[],4,0),"")</f>
        <v/>
      </c>
      <c r="L15" s="30">
        <f>IF(H_Oct[[#This Row],[PNP Début]]=0,0,IF(H_Oct[[#This Row],[PNP Début]]&lt;H_Oct[[#This Row],[début]],1,0)+H_Oct[[#This Row],[PNP Début]])</f>
        <v>0</v>
      </c>
      <c r="M15" s="30">
        <f>IF(H_Oct[[#This Row],[PNP Fin]]=0,0,IF(H_Oct[[#This Row],[PNP Fin]]&lt;H_Oct[[#This Row],[début]],1,0)+H_Oct[[#This Row],[PNP Fin]])</f>
        <v>0</v>
      </c>
      <c r="N15" s="30">
        <f>IF(H_Oct[[#This Row],[Fin]]&lt;H_Oct[[#This Row],[début]],1,0)+H_Oct[[#This Row],[Fin]]</f>
        <v>0</v>
      </c>
      <c r="O15" s="31">
        <f>IF(H_Oct[[#This Row],[Fin]]&lt;H_Oct[[#This Row],[début]],MAX(0,MIN(H_Oct[[#This Row],[Fin corrigée si nuit]],fin_nuit)-MAX(H_Oct[[#This Row],[début]],deb_nuit))*24,(MAX(deb_nuit,H_Oct[[#This Row],[Fin]])-MAX(deb_nuit,H_Oct[[#This Row],[début]])+MAX(MIN(fin_nuit-1,H_Oct[[#This Row],[Fin]])-MIN(fin_nuit-1,H_Oct[[#This Row],[début]]),0))*24)</f>
        <v>0</v>
      </c>
      <c r="P15" s="31">
        <f>(MAX(0,MIN(H_Oct[[#This Row],[Fin corrigée si nuit]],fin_nuit)-MAX(H_Oct[[#This Row],[début]],deb_nuit))-IF(H_Oct[[#This Row],[PNP Début]]=0,0,MIN(H_Oct[[#This Row],[PNP Fin corrigée]],fin_nuit)-MAX(H_Oct[[#This Row],[PNP Début corrigé]],deb_nuit)))*24</f>
        <v>0</v>
      </c>
      <c r="Q15" s="31">
        <f>(IF(WEEKDAY(H_Oct[[#This Row],[Date]],2)=7,MAX(0,MIN(fin_dimJF,H_Oct[[#This Row],[Fin corrigée si nuit]])-MAX(deb_dimJF,H_Oct[[#This Row],[début]])),0)+IF(WEEKDAY(H_Oct[[#This Row],[Date]],2)=6,MAX(0,H_Oct[[#This Row],[Fin corrigée si nuit]]-(1+deb_dimJF)),0))*24</f>
        <v>0</v>
      </c>
      <c r="R15" s="3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15" s="32">
        <f>(IF(COUNTIF(JF,H_Oct[[#This Row],[Date]]),MAX(0,MIN(fin_dimJF,H_Oct[[#This Row],[Fin corrigée si nuit]])-MAX(deb_dimJF,H_Oct[[#This Row],[début]])),0)+IF(COUNTIF(JF,H_Oct[[#This Row],[Date]]+1),MAX(0,H_Oct[[#This Row],[Fin corrigée si nuit]]-(1+deb_dimJF)),0))*24</f>
        <v>0</v>
      </c>
      <c r="T15" s="32">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0.1*(H_Oct[[#This Row],[Heures de nuit]]+IF(H_Oct[[#This Row],[majoration dim &amp; JF]]="non",0,H_Oct[[#This Row],[heures jour dimanche]]+H_Oct[[#This Row],[heures jour fériés]]))</f>
        <v>0</v>
      </c>
      <c r="J16" s="33">
        <f>(MOD(H_Oct[[#This Row],[Fin]]-H_Oct[[#This Row],[début]],1)-MOD(H_Oct[[#This Row],[PNP Fin]]-H_Oct[[#This Row],[PNP Début]],1))*24</f>
        <v>0</v>
      </c>
      <c r="K16" s="33" t="str">
        <f>IFERROR(VLOOKUP(H_Oct[[#This Row],[Service]],Codes[],4,0),"")</f>
        <v/>
      </c>
      <c r="L16" s="30">
        <f>IF(H_Oct[[#This Row],[PNP Début]]=0,0,IF(H_Oct[[#This Row],[PNP Début]]&lt;H_Oct[[#This Row],[début]],1,0)+H_Oct[[#This Row],[PNP Début]])</f>
        <v>0</v>
      </c>
      <c r="M16" s="30">
        <f>IF(H_Oct[[#This Row],[PNP Fin]]=0,0,IF(H_Oct[[#This Row],[PNP Fin]]&lt;H_Oct[[#This Row],[début]],1,0)+H_Oct[[#This Row],[PNP Fin]])</f>
        <v>0</v>
      </c>
      <c r="N16" s="34">
        <f>IF(H_Oct[[#This Row],[Fin]]&lt;H_Oct[[#This Row],[début]],1,0)+H_Oct[[#This Row],[Fin]]</f>
        <v>0</v>
      </c>
      <c r="O16" s="31">
        <f>IF(H_Oct[[#This Row],[Fin]]&lt;H_Oct[[#This Row],[début]],MAX(0,MIN(H_Oct[[#This Row],[Fin corrigée si nuit]],fin_nuit)-MAX(H_Oct[[#This Row],[début]],deb_nuit))*24,(MAX(deb_nuit,H_Oct[[#This Row],[Fin]])-MAX(deb_nuit,H_Oct[[#This Row],[début]])+MAX(MIN(fin_nuit-1,H_Oct[[#This Row],[Fin]])-MIN(fin_nuit-1,H_Oct[[#This Row],[début]]),0))*24)</f>
        <v>0</v>
      </c>
      <c r="P16" s="35">
        <f>(MAX(0,MIN(H_Oct[[#This Row],[Fin corrigée si nuit]],fin_nuit)-MAX(H_Oct[[#This Row],[début]],deb_nuit))-IF(H_Oct[[#This Row],[PNP Début]]=0,0,MIN(H_Oct[[#This Row],[PNP Fin corrigée]],fin_nuit)-MAX(H_Oct[[#This Row],[PNP Début corrigé]],deb_nuit)))*24</f>
        <v>0</v>
      </c>
      <c r="Q16" s="35">
        <f>(IF(WEEKDAY(H_Oct[[#This Row],[Date]],2)=7,MAX(0,MIN(fin_dimJF,H_Oct[[#This Row],[Fin corrigée si nuit]])-MAX(deb_dimJF,H_Oct[[#This Row],[début]])),0)+IF(WEEKDAY(H_Oct[[#This Row],[Date]],2)=6,MAX(0,H_Oct[[#This Row],[Fin corrigée si nuit]]-(1+deb_dimJF)),0))*24</f>
        <v>0</v>
      </c>
      <c r="R16" s="3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16" s="36">
        <f>(IF(COUNTIF(JF,H_Oct[[#This Row],[Date]]),MAX(0,MIN(fin_dimJF,H_Oct[[#This Row],[Fin corrigée si nuit]])-MAX(deb_dimJF,H_Oct[[#This Row],[début]])),0)+IF(COUNTIF(JF,H_Oct[[#This Row],[Date]]+1),MAX(0,H_Oct[[#This Row],[Fin corrigée si nuit]]-(1+deb_dimJF)),0))*24</f>
        <v>0</v>
      </c>
      <c r="T16" s="36">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c r="V16" s="127" t="s">
        <v>135</v>
      </c>
      <c r="W16" s="128">
        <f>'Septembre 18'!Z16</f>
        <v>20.100000000000001</v>
      </c>
      <c r="X16" s="128">
        <f>I50</f>
        <v>0</v>
      </c>
      <c r="Y16" s="128"/>
      <c r="Z16" s="128">
        <f>W16+X16-Y16</f>
        <v>20.100000000000001</v>
      </c>
    </row>
    <row r="17" spans="1:20" x14ac:dyDescent="0.3">
      <c r="A17" s="4"/>
      <c r="B17" s="1"/>
      <c r="C17" s="2"/>
      <c r="D17" s="2"/>
      <c r="E17" s="3"/>
      <c r="F17" s="3"/>
      <c r="G17" s="9"/>
      <c r="H17" s="9"/>
      <c r="I17" s="37">
        <f>0.1*(H_Oct[[#This Row],[Heures de nuit]]+IF(H_Oct[[#This Row],[majoration dim &amp; JF]]="non",0,H_Oct[[#This Row],[heures jour dimanche]]+H_Oct[[#This Row],[heures jour fériés]]))</f>
        <v>0</v>
      </c>
      <c r="J17" s="38">
        <f>(MOD(H_Oct[[#This Row],[Fin]]-H_Oct[[#This Row],[début]],1)-MOD(H_Oct[[#This Row],[PNP Fin]]-H_Oct[[#This Row],[PNP Début]],1))*24</f>
        <v>0</v>
      </c>
      <c r="K17" s="122" t="str">
        <f>IFERROR(VLOOKUP(H_Oct[[#This Row],[Service]],Codes[],4,0),"")</f>
        <v/>
      </c>
      <c r="L17" s="39">
        <f>IF(H_Oct[[#This Row],[PNP Début]]=0,0,IF(H_Oct[[#This Row],[PNP Début]]&lt;H_Oct[[#This Row],[début]],1,0)+H_Oct[[#This Row],[PNP Début]])</f>
        <v>0</v>
      </c>
      <c r="M17" s="40">
        <f>IF(H_Oct[[#This Row],[PNP Fin]]=0,0,IF(H_Oct[[#This Row],[PNP Fin]]&lt;H_Oct[[#This Row],[début]],1,0)+H_Oct[[#This Row],[PNP Fin]])</f>
        <v>0</v>
      </c>
      <c r="N17" s="40">
        <f>IF(H_Oct[[#This Row],[Fin]]&lt;H_Oct[[#This Row],[début]],1,0)+H_Oct[[#This Row],[Fin]]</f>
        <v>0</v>
      </c>
      <c r="O17" s="31">
        <f>IF(H_Oct[[#This Row],[Fin]]&lt;H_Oct[[#This Row],[début]],MAX(0,MIN(H_Oct[[#This Row],[Fin corrigée si nuit]],fin_nuit)-MAX(H_Oct[[#This Row],[début]],deb_nuit))*24,(MAX(deb_nuit,H_Oct[[#This Row],[Fin]])-MAX(deb_nuit,H_Oct[[#This Row],[début]])+MAX(MIN(fin_nuit-1,H_Oct[[#This Row],[Fin]])-MIN(fin_nuit-1,H_Oct[[#This Row],[début]]),0))*24)</f>
        <v>0</v>
      </c>
      <c r="P17" s="41">
        <f>(MAX(0,MIN(H_Oct[[#This Row],[Fin corrigée si nuit]],fin_nuit)-MAX(H_Oct[[#This Row],[début]],deb_nuit))-IF(H_Oct[[#This Row],[PNP Début]]=0,0,MIN(H_Oct[[#This Row],[PNP Fin corrigée]],fin_nuit)-MAX(H_Oct[[#This Row],[PNP Début corrigé]],deb_nuit)))*24</f>
        <v>0</v>
      </c>
      <c r="Q17" s="41">
        <f>(IF(WEEKDAY(H_Oct[[#This Row],[Date]],2)=7,MAX(0,MIN(fin_dimJF,H_Oct[[#This Row],[Fin corrigée si nuit]])-MAX(deb_dimJF,H_Oct[[#This Row],[début]])),0)+IF(WEEKDAY(H_Oct[[#This Row],[Date]],2)=6,MAX(0,H_Oct[[#This Row],[Fin corrigée si nuit]]-(1+deb_dimJF)),0))*24</f>
        <v>0</v>
      </c>
      <c r="R17" s="4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17" s="41">
        <f>(IF(COUNTIF(JF,H_Oct[[#This Row],[Date]]),MAX(0,MIN(fin_dimJF,H_Oct[[#This Row],[Fin corrigée si nuit]])-MAX(deb_dimJF,H_Oct[[#This Row],[début]])),0)+IF(COUNTIF(JF,H_Oct[[#This Row],[Date]]+1),MAX(0,H_Oct[[#This Row],[Fin corrigée si nuit]]-(1+deb_dimJF)),0))*24</f>
        <v>0</v>
      </c>
      <c r="T17" s="4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18" spans="1:20" x14ac:dyDescent="0.3">
      <c r="A18" s="4"/>
      <c r="B18" s="1"/>
      <c r="C18" s="2"/>
      <c r="D18" s="2"/>
      <c r="E18" s="9"/>
      <c r="F18" s="9"/>
      <c r="G18" s="9"/>
      <c r="H18" s="9"/>
      <c r="I18" s="37">
        <f>0.1*(H_Oct[[#This Row],[Heures de nuit]]+IF(H_Oct[[#This Row],[majoration dim &amp; JF]]="non",0,H_Oct[[#This Row],[heures jour dimanche]]+H_Oct[[#This Row],[heures jour fériés]]))</f>
        <v>0</v>
      </c>
      <c r="J18" s="38">
        <f>(MOD(H_Oct[[#This Row],[Fin]]-H_Oct[[#This Row],[début]],1)-MOD(H_Oct[[#This Row],[PNP Fin]]-H_Oct[[#This Row],[PNP Début]],1))*24</f>
        <v>0</v>
      </c>
      <c r="K18" s="122" t="str">
        <f>IFERROR(VLOOKUP(H_Oct[[#This Row],[Service]],Codes[],4,0),"")</f>
        <v/>
      </c>
      <c r="L18" s="39">
        <f>IF(H_Oct[[#This Row],[PNP Début]]=0,0,IF(H_Oct[[#This Row],[PNP Début]]&lt;H_Oct[[#This Row],[début]],1,0)+H_Oct[[#This Row],[PNP Début]])</f>
        <v>0</v>
      </c>
      <c r="M18" s="40">
        <f>IF(H_Oct[[#This Row],[PNP Fin]]=0,0,IF(H_Oct[[#This Row],[PNP Fin]]&lt;H_Oct[[#This Row],[début]],1,0)+H_Oct[[#This Row],[PNP Fin]])</f>
        <v>0</v>
      </c>
      <c r="N18" s="40">
        <f>IF(H_Oct[[#This Row],[Fin]]&lt;H_Oct[[#This Row],[début]],1,0)+H_Oct[[#This Row],[Fin]]</f>
        <v>0</v>
      </c>
      <c r="O18" s="31">
        <f>IF(H_Oct[[#This Row],[Fin]]&lt;H_Oct[[#This Row],[début]],MAX(0,MIN(H_Oct[[#This Row],[Fin corrigée si nuit]],fin_nuit)-MAX(H_Oct[[#This Row],[début]],deb_nuit))*24,(MAX(deb_nuit,H_Oct[[#This Row],[Fin]])-MAX(deb_nuit,H_Oct[[#This Row],[début]])+MAX(MIN(fin_nuit-1,H_Oct[[#This Row],[Fin]])-MIN(fin_nuit-1,H_Oct[[#This Row],[début]]),0))*24)</f>
        <v>0</v>
      </c>
      <c r="P18" s="41">
        <f>(MAX(0,MIN(H_Oct[[#This Row],[Fin corrigée si nuit]],fin_nuit)-MAX(H_Oct[[#This Row],[début]],deb_nuit))-IF(H_Oct[[#This Row],[PNP Début]]=0,0,MIN(H_Oct[[#This Row],[PNP Fin corrigée]],fin_nuit)-MAX(H_Oct[[#This Row],[PNP Début corrigé]],deb_nuit)))*24</f>
        <v>0</v>
      </c>
      <c r="Q18" s="41">
        <f>(IF(WEEKDAY(H_Oct[[#This Row],[Date]],2)=7,MAX(0,MIN(fin_dimJF,H_Oct[[#This Row],[Fin corrigée si nuit]])-MAX(deb_dimJF,H_Oct[[#This Row],[début]])),0)+IF(WEEKDAY(H_Oct[[#This Row],[Date]],2)=6,MAX(0,H_Oct[[#This Row],[Fin corrigée si nuit]]-(1+deb_dimJF)),0))*24</f>
        <v>0</v>
      </c>
      <c r="R18" s="4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18" s="41">
        <f>(IF(COUNTIF(JF,H_Oct[[#This Row],[Date]]),MAX(0,MIN(fin_dimJF,H_Oct[[#This Row],[Fin corrigée si nuit]])-MAX(deb_dimJF,H_Oct[[#This Row],[début]])),0)+IF(COUNTIF(JF,H_Oct[[#This Row],[Date]]+1),MAX(0,H_Oct[[#This Row],[Fin corrigée si nuit]]-(1+deb_dimJF)),0))*24</f>
        <v>0</v>
      </c>
      <c r="T18" s="4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19" spans="1:20" x14ac:dyDescent="0.3">
      <c r="A19" s="4"/>
      <c r="B19" s="1"/>
      <c r="C19" s="2"/>
      <c r="D19" s="2"/>
      <c r="E19" s="3"/>
      <c r="F19" s="3"/>
      <c r="G19" s="9"/>
      <c r="H19" s="9"/>
      <c r="I19" s="37">
        <f>0.1*(H_Oct[[#This Row],[Heures de nuit]]+IF(H_Oct[[#This Row],[majoration dim &amp; JF]]="non",0,H_Oct[[#This Row],[heures jour dimanche]]+H_Oct[[#This Row],[heures jour fériés]]))</f>
        <v>0</v>
      </c>
      <c r="J19" s="38">
        <f>(MOD(H_Oct[[#This Row],[Fin]]-H_Oct[[#This Row],[début]],1)-MOD(H_Oct[[#This Row],[PNP Fin]]-H_Oct[[#This Row],[PNP Début]],1))*24</f>
        <v>0</v>
      </c>
      <c r="K19" s="122" t="str">
        <f>IFERROR(VLOOKUP(H_Oct[[#This Row],[Service]],Codes[],4,0),"")</f>
        <v/>
      </c>
      <c r="L19" s="39">
        <f>IF(H_Oct[[#This Row],[PNP Début]]=0,0,IF(H_Oct[[#This Row],[PNP Début]]&lt;H_Oct[[#This Row],[début]],1,0)+H_Oct[[#This Row],[PNP Début]])</f>
        <v>0</v>
      </c>
      <c r="M19" s="40">
        <f>IF(H_Oct[[#This Row],[PNP Fin]]=0,0,IF(H_Oct[[#This Row],[PNP Fin]]&lt;H_Oct[[#This Row],[début]],1,0)+H_Oct[[#This Row],[PNP Fin]])</f>
        <v>0</v>
      </c>
      <c r="N19" s="40">
        <f>IF(H_Oct[[#This Row],[Fin]]&lt;H_Oct[[#This Row],[début]],1,0)+H_Oct[[#This Row],[Fin]]</f>
        <v>0</v>
      </c>
      <c r="O19" s="31">
        <f>IF(H_Oct[[#This Row],[Fin]]&lt;H_Oct[[#This Row],[début]],MAX(0,MIN(H_Oct[[#This Row],[Fin corrigée si nuit]],fin_nuit)-MAX(H_Oct[[#This Row],[début]],deb_nuit))*24,(MAX(deb_nuit,H_Oct[[#This Row],[Fin]])-MAX(deb_nuit,H_Oct[[#This Row],[début]])+MAX(MIN(fin_nuit-1,H_Oct[[#This Row],[Fin]])-MIN(fin_nuit-1,H_Oct[[#This Row],[début]]),0))*24)</f>
        <v>0</v>
      </c>
      <c r="P19" s="41">
        <f>(MAX(0,MIN(H_Oct[[#This Row],[Fin corrigée si nuit]],fin_nuit)-MAX(H_Oct[[#This Row],[début]],deb_nuit))-IF(H_Oct[[#This Row],[PNP Début]]=0,0,MIN(H_Oct[[#This Row],[PNP Fin corrigée]],fin_nuit)-MAX(H_Oct[[#This Row],[PNP Début corrigé]],deb_nuit)))*24</f>
        <v>0</v>
      </c>
      <c r="Q19" s="41">
        <f>(IF(WEEKDAY(H_Oct[[#This Row],[Date]],2)=7,MAX(0,MIN(fin_dimJF,H_Oct[[#This Row],[Fin corrigée si nuit]])-MAX(deb_dimJF,H_Oct[[#This Row],[début]])),0)+IF(WEEKDAY(H_Oct[[#This Row],[Date]],2)=6,MAX(0,H_Oct[[#This Row],[Fin corrigée si nuit]]-(1+deb_dimJF)),0))*24</f>
        <v>0</v>
      </c>
      <c r="R19" s="4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19" s="41">
        <f>(IF(COUNTIF(JF,H_Oct[[#This Row],[Date]]),MAX(0,MIN(fin_dimJF,H_Oct[[#This Row],[Fin corrigée si nuit]])-MAX(deb_dimJF,H_Oct[[#This Row],[début]])),0)+IF(COUNTIF(JF,H_Oct[[#This Row],[Date]]+1),MAX(0,H_Oct[[#This Row],[Fin corrigée si nuit]]-(1+deb_dimJF)),0))*24</f>
        <v>0</v>
      </c>
      <c r="T19" s="4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0" spans="1:20" x14ac:dyDescent="0.3">
      <c r="A20" s="4"/>
      <c r="B20" s="1"/>
      <c r="C20" s="2"/>
      <c r="D20" s="2"/>
      <c r="E20" s="9"/>
      <c r="F20" s="9"/>
      <c r="G20" s="9"/>
      <c r="H20" s="9"/>
      <c r="I20" s="37">
        <f>0.1*(H_Oct[[#This Row],[Heures de nuit]]+IF(H_Oct[[#This Row],[majoration dim &amp; JF]]="non",0,H_Oct[[#This Row],[heures jour dimanche]]+H_Oct[[#This Row],[heures jour fériés]]))</f>
        <v>0</v>
      </c>
      <c r="J20" s="38">
        <f>(MOD(H_Oct[[#This Row],[Fin]]-H_Oct[[#This Row],[début]],1)-MOD(H_Oct[[#This Row],[PNP Fin]]-H_Oct[[#This Row],[PNP Début]],1))*24</f>
        <v>0</v>
      </c>
      <c r="K20" s="122" t="str">
        <f>IFERROR(VLOOKUP(H_Oct[[#This Row],[Service]],Codes[],4,0),"")</f>
        <v/>
      </c>
      <c r="L20" s="39">
        <f>IF(H_Oct[[#This Row],[PNP Début]]=0,0,IF(H_Oct[[#This Row],[PNP Début]]&lt;H_Oct[[#This Row],[début]],1,0)+H_Oct[[#This Row],[PNP Début]])</f>
        <v>0</v>
      </c>
      <c r="M20" s="40">
        <f>IF(H_Oct[[#This Row],[PNP Fin]]=0,0,IF(H_Oct[[#This Row],[PNP Fin]]&lt;H_Oct[[#This Row],[début]],1,0)+H_Oct[[#This Row],[PNP Fin]])</f>
        <v>0</v>
      </c>
      <c r="N20" s="40">
        <f>IF(H_Oct[[#This Row],[Fin]]&lt;H_Oct[[#This Row],[début]],1,0)+H_Oct[[#This Row],[Fin]]</f>
        <v>0</v>
      </c>
      <c r="O20" s="31">
        <f>IF(H_Oct[[#This Row],[Fin]]&lt;H_Oct[[#This Row],[début]],MAX(0,MIN(H_Oct[[#This Row],[Fin corrigée si nuit]],fin_nuit)-MAX(H_Oct[[#This Row],[début]],deb_nuit))*24,(MAX(deb_nuit,H_Oct[[#This Row],[Fin]])-MAX(deb_nuit,H_Oct[[#This Row],[début]])+MAX(MIN(fin_nuit-1,H_Oct[[#This Row],[Fin]])-MIN(fin_nuit-1,H_Oct[[#This Row],[début]]),0))*24)</f>
        <v>0</v>
      </c>
      <c r="P20" s="41">
        <f>(MAX(0,MIN(H_Oct[[#This Row],[Fin corrigée si nuit]],fin_nuit)-MAX(H_Oct[[#This Row],[début]],deb_nuit))-IF(H_Oct[[#This Row],[PNP Début]]=0,0,MIN(H_Oct[[#This Row],[PNP Fin corrigée]],fin_nuit)-MAX(H_Oct[[#This Row],[PNP Début corrigé]],deb_nuit)))*24</f>
        <v>0</v>
      </c>
      <c r="Q20" s="41">
        <f>(IF(WEEKDAY(H_Oct[[#This Row],[Date]],2)=7,MAX(0,MIN(fin_dimJF,H_Oct[[#This Row],[Fin corrigée si nuit]])-MAX(deb_dimJF,H_Oct[[#This Row],[début]])),0)+IF(WEEKDAY(H_Oct[[#This Row],[Date]],2)=6,MAX(0,H_Oct[[#This Row],[Fin corrigée si nuit]]-(1+deb_dimJF)),0))*24</f>
        <v>0</v>
      </c>
      <c r="R20" s="4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0" s="41">
        <f>(IF(COUNTIF(JF,H_Oct[[#This Row],[Date]]),MAX(0,MIN(fin_dimJF,H_Oct[[#This Row],[Fin corrigée si nuit]])-MAX(deb_dimJF,H_Oct[[#This Row],[début]])),0)+IF(COUNTIF(JF,H_Oct[[#This Row],[Date]]+1),MAX(0,H_Oct[[#This Row],[Fin corrigée si nuit]]-(1+deb_dimJF)),0))*24</f>
        <v>0</v>
      </c>
      <c r="T20" s="4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1" spans="1:20" x14ac:dyDescent="0.3">
      <c r="A21" s="4"/>
      <c r="B21" s="1"/>
      <c r="C21" s="2"/>
      <c r="D21" s="2"/>
      <c r="E21" s="3"/>
      <c r="F21" s="3"/>
      <c r="G21" s="10"/>
      <c r="H21" s="10"/>
      <c r="I21" s="42">
        <f>0.1*(H_Oct[[#This Row],[Heures de nuit]]+IF(H_Oct[[#This Row],[majoration dim &amp; JF]]="non",0,H_Oct[[#This Row],[heures jour dimanche]]+H_Oct[[#This Row],[heures jour fériés]]))</f>
        <v>0</v>
      </c>
      <c r="J21" s="43">
        <f>(MOD(H_Oct[[#This Row],[Fin]]-H_Oct[[#This Row],[début]],1)-MOD(H_Oct[[#This Row],[PNP Fin]]-H_Oct[[#This Row],[PNP Début]],1))*24</f>
        <v>0</v>
      </c>
      <c r="K21" s="123" t="str">
        <f>IFERROR(VLOOKUP(H_Oct[[#This Row],[Service]],Codes[],4,0),"")</f>
        <v/>
      </c>
      <c r="L21" s="44">
        <f>IF(H_Oct[[#This Row],[PNP Début]]=0,0,IF(H_Oct[[#This Row],[PNP Début]]&lt;H_Oct[[#This Row],[début]],1,0)+H_Oct[[#This Row],[PNP Début]])</f>
        <v>0</v>
      </c>
      <c r="M21" s="45">
        <f>IF(H_Oct[[#This Row],[PNP Fin]]=0,0,IF(H_Oct[[#This Row],[PNP Fin]]&lt;H_Oct[[#This Row],[début]],1,0)+H_Oct[[#This Row],[PNP Fin]])</f>
        <v>0</v>
      </c>
      <c r="N21" s="45">
        <f>IF(H_Oct[[#This Row],[Fin]]&lt;H_Oct[[#This Row],[début]],1,0)+H_Oct[[#This Row],[Fin]]</f>
        <v>0</v>
      </c>
      <c r="O21" s="31">
        <f>IF(H_Oct[[#This Row],[Fin]]&lt;H_Oct[[#This Row],[début]],MAX(0,MIN(H_Oct[[#This Row],[Fin corrigée si nuit]],fin_nuit)-MAX(H_Oct[[#This Row],[début]],deb_nuit))*24,(MAX(deb_nuit,H_Oct[[#This Row],[Fin]])-MAX(deb_nuit,H_Oct[[#This Row],[début]])+MAX(MIN(fin_nuit-1,H_Oct[[#This Row],[Fin]])-MIN(fin_nuit-1,H_Oct[[#This Row],[début]]),0))*24)</f>
        <v>0</v>
      </c>
      <c r="P21" s="46">
        <f>(MAX(0,MIN(H_Oct[[#This Row],[Fin corrigée si nuit]],fin_nuit)-MAX(H_Oct[[#This Row],[début]],deb_nuit))-IF(H_Oct[[#This Row],[PNP Début]]=0,0,MIN(H_Oct[[#This Row],[PNP Fin corrigée]],fin_nuit)-MAX(H_Oct[[#This Row],[PNP Début corrigé]],deb_nuit)))*24</f>
        <v>0</v>
      </c>
      <c r="Q21" s="46">
        <f>(IF(WEEKDAY(H_Oct[[#This Row],[Date]],2)=7,MAX(0,MIN(fin_dimJF,H_Oct[[#This Row],[Fin corrigée si nuit]])-MAX(deb_dimJF,H_Oct[[#This Row],[début]])),0)+IF(WEEKDAY(H_Oct[[#This Row],[Date]],2)=6,MAX(0,H_Oct[[#This Row],[Fin corrigée si nuit]]-(1+deb_dimJF)),0))*24</f>
        <v>0</v>
      </c>
      <c r="R21" s="46">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1" s="46">
        <f>(IF(COUNTIF(JF,H_Oct[[#This Row],[Date]]),MAX(0,MIN(fin_dimJF,H_Oct[[#This Row],[Fin corrigée si nuit]])-MAX(deb_dimJF,H_Oct[[#This Row],[début]])),0)+IF(COUNTIF(JF,H_Oct[[#This Row],[Date]]+1),MAX(0,H_Oct[[#This Row],[Fin corrigée si nuit]]-(1+deb_dimJF)),0))*24</f>
        <v>0</v>
      </c>
      <c r="T21" s="46">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2" spans="1:20" x14ac:dyDescent="0.3">
      <c r="A22" s="4"/>
      <c r="B22" s="1"/>
      <c r="C22" s="2"/>
      <c r="D22" s="2"/>
      <c r="E22" s="3"/>
      <c r="F22" s="3"/>
      <c r="G22" s="3"/>
      <c r="H22" s="3"/>
      <c r="I22" s="47">
        <f>0.1*(H_Oct[[#This Row],[Heures de nuit]]+IF(H_Oct[[#This Row],[majoration dim &amp; JF]]="non",0,H_Oct[[#This Row],[heures jour dimanche]]+H_Oct[[#This Row],[heures jour fériés]]))</f>
        <v>0</v>
      </c>
      <c r="J22" s="48">
        <f>(MOD(H_Oct[[#This Row],[Fin]]-H_Oct[[#This Row],[début]],1)-MOD(H_Oct[[#This Row],[PNP Fin]]-H_Oct[[#This Row],[PNP Début]],1))*24</f>
        <v>0</v>
      </c>
      <c r="K22" s="119" t="str">
        <f>IFERROR(VLOOKUP(H_Oct[[#This Row],[Service]],Codes[],4,0),"")</f>
        <v/>
      </c>
      <c r="L22" s="49">
        <f>IF(H_Oct[[#This Row],[PNP Début]]=0,0,IF(H_Oct[[#This Row],[PNP Début]]&lt;H_Oct[[#This Row],[début]],1,0)+H_Oct[[#This Row],[PNP Début]])</f>
        <v>0</v>
      </c>
      <c r="M22" s="50">
        <f>IF(H_Oct[[#This Row],[PNP Fin]]=0,0,IF(H_Oct[[#This Row],[PNP Fin]]&lt;H_Oct[[#This Row],[début]],1,0)+H_Oct[[#This Row],[PNP Fin]])</f>
        <v>0</v>
      </c>
      <c r="N22" s="50">
        <f>IF(H_Oct[[#This Row],[Fin]]&lt;H_Oct[[#This Row],[début]],1,0)+H_Oct[[#This Row],[Fin]]</f>
        <v>0</v>
      </c>
      <c r="O22" s="31">
        <f>IF(H_Oct[[#This Row],[Fin]]&lt;H_Oct[[#This Row],[début]],MAX(0,MIN(H_Oct[[#This Row],[Fin corrigée si nuit]],fin_nuit)-MAX(H_Oct[[#This Row],[début]],deb_nuit))*24,(MAX(deb_nuit,H_Oct[[#This Row],[Fin]])-MAX(deb_nuit,H_Oct[[#This Row],[début]])+MAX(MIN(fin_nuit-1,H_Oct[[#This Row],[Fin]])-MIN(fin_nuit-1,H_Oct[[#This Row],[début]]),0))*24)</f>
        <v>0</v>
      </c>
      <c r="P22" s="51">
        <f>(MAX(0,MIN(H_Oct[[#This Row],[Fin corrigée si nuit]],fin_nuit)-MAX(H_Oct[[#This Row],[début]],deb_nuit))-IF(H_Oct[[#This Row],[PNP Début]]=0,0,MIN(H_Oct[[#This Row],[PNP Fin corrigée]],fin_nuit)-MAX(H_Oct[[#This Row],[PNP Début corrigé]],deb_nuit)))*24</f>
        <v>0</v>
      </c>
      <c r="Q22" s="51">
        <f>(IF(WEEKDAY(H_Oct[[#This Row],[Date]],2)=7,MAX(0,MIN(fin_dimJF,H_Oct[[#This Row],[Fin corrigée si nuit]])-MAX(deb_dimJF,H_Oct[[#This Row],[début]])),0)+IF(WEEKDAY(H_Oct[[#This Row],[Date]],2)=6,MAX(0,H_Oct[[#This Row],[Fin corrigée si nuit]]-(1+deb_dimJF)),0))*24</f>
        <v>0</v>
      </c>
      <c r="R22"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2" s="51">
        <f>(IF(COUNTIF(JF,H_Oct[[#This Row],[Date]]),MAX(0,MIN(fin_dimJF,H_Oct[[#This Row],[Fin corrigée si nuit]])-MAX(deb_dimJF,H_Oct[[#This Row],[début]])),0)+IF(COUNTIF(JF,H_Oct[[#This Row],[Date]]+1),MAX(0,H_Oct[[#This Row],[Fin corrigée si nuit]]-(1+deb_dimJF)),0))*24</f>
        <v>0</v>
      </c>
      <c r="T22"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3" spans="1:20" x14ac:dyDescent="0.3">
      <c r="A23" s="4"/>
      <c r="B23" s="1"/>
      <c r="C23" s="2"/>
      <c r="D23" s="2"/>
      <c r="E23" s="3"/>
      <c r="F23" s="3"/>
      <c r="G23" s="3"/>
      <c r="H23" s="3"/>
      <c r="I23" s="47">
        <f>0.1*(H_Oct[[#This Row],[Heures de nuit]]+IF(H_Oct[[#This Row],[majoration dim &amp; JF]]="non",0,H_Oct[[#This Row],[heures jour dimanche]]+H_Oct[[#This Row],[heures jour fériés]]))</f>
        <v>0</v>
      </c>
      <c r="J23" s="48">
        <f>(MOD(H_Oct[[#This Row],[Fin]]-H_Oct[[#This Row],[début]],1)-MOD(H_Oct[[#This Row],[PNP Fin]]-H_Oct[[#This Row],[PNP Début]],1))*24</f>
        <v>0</v>
      </c>
      <c r="K23" s="119" t="str">
        <f>IFERROR(VLOOKUP(H_Oct[[#This Row],[Service]],Codes[],4,0),"")</f>
        <v/>
      </c>
      <c r="L23" s="49">
        <f>IF(H_Oct[[#This Row],[PNP Début]]=0,0,IF(H_Oct[[#This Row],[PNP Début]]&lt;H_Oct[[#This Row],[début]],1,0)+H_Oct[[#This Row],[PNP Début]])</f>
        <v>0</v>
      </c>
      <c r="M23" s="50">
        <f>IF(H_Oct[[#This Row],[PNP Fin]]=0,0,IF(H_Oct[[#This Row],[PNP Fin]]&lt;H_Oct[[#This Row],[début]],1,0)+H_Oct[[#This Row],[PNP Fin]])</f>
        <v>0</v>
      </c>
      <c r="N23" s="50">
        <f>IF(H_Oct[[#This Row],[Fin]]&lt;H_Oct[[#This Row],[début]],1,0)+H_Oct[[#This Row],[Fin]]</f>
        <v>0</v>
      </c>
      <c r="O23" s="31">
        <f>IF(H_Oct[[#This Row],[Fin]]&lt;H_Oct[[#This Row],[début]],MAX(0,MIN(H_Oct[[#This Row],[Fin corrigée si nuit]],fin_nuit)-MAX(H_Oct[[#This Row],[début]],deb_nuit))*24,(MAX(deb_nuit,H_Oct[[#This Row],[Fin]])-MAX(deb_nuit,H_Oct[[#This Row],[début]])+MAX(MIN(fin_nuit-1,H_Oct[[#This Row],[Fin]])-MIN(fin_nuit-1,H_Oct[[#This Row],[début]]),0))*24)</f>
        <v>0</v>
      </c>
      <c r="P23" s="51">
        <f>(MAX(0,MIN(H_Oct[[#This Row],[Fin corrigée si nuit]],fin_nuit)-MAX(H_Oct[[#This Row],[début]],deb_nuit))-IF(H_Oct[[#This Row],[PNP Début]]=0,0,MIN(H_Oct[[#This Row],[PNP Fin corrigée]],fin_nuit)-MAX(H_Oct[[#This Row],[PNP Début corrigé]],deb_nuit)))*24</f>
        <v>0</v>
      </c>
      <c r="Q23" s="51">
        <f>(IF(WEEKDAY(H_Oct[[#This Row],[Date]],2)=7,MAX(0,MIN(fin_dimJF,H_Oct[[#This Row],[Fin corrigée si nuit]])-MAX(deb_dimJF,H_Oct[[#This Row],[début]])),0)+IF(WEEKDAY(H_Oct[[#This Row],[Date]],2)=6,MAX(0,H_Oct[[#This Row],[Fin corrigée si nuit]]-(1+deb_dimJF)),0))*24</f>
        <v>0</v>
      </c>
      <c r="R23"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3" s="51">
        <f>(IF(COUNTIF(JF,H_Oct[[#This Row],[Date]]),MAX(0,MIN(fin_dimJF,H_Oct[[#This Row],[Fin corrigée si nuit]])-MAX(deb_dimJF,H_Oct[[#This Row],[début]])),0)+IF(COUNTIF(JF,H_Oct[[#This Row],[Date]]+1),MAX(0,H_Oct[[#This Row],[Fin corrigée si nuit]]-(1+deb_dimJF)),0))*24</f>
        <v>0</v>
      </c>
      <c r="T23"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4" spans="1:20" x14ac:dyDescent="0.3">
      <c r="A24" s="4"/>
      <c r="B24" s="1"/>
      <c r="C24" s="2"/>
      <c r="D24" s="2"/>
      <c r="E24" s="3"/>
      <c r="F24" s="3"/>
      <c r="G24" s="3"/>
      <c r="H24" s="3"/>
      <c r="I24" s="47">
        <f>0.1*(H_Oct[[#This Row],[Heures de nuit]]+IF(H_Oct[[#This Row],[majoration dim &amp; JF]]="non",0,H_Oct[[#This Row],[heures jour dimanche]]+H_Oct[[#This Row],[heures jour fériés]]))</f>
        <v>0</v>
      </c>
      <c r="J24" s="48">
        <f>(MOD(H_Oct[[#This Row],[Fin]]-H_Oct[[#This Row],[début]],1)-MOD(H_Oct[[#This Row],[PNP Fin]]-H_Oct[[#This Row],[PNP Début]],1))*24</f>
        <v>0</v>
      </c>
      <c r="K24" s="119" t="str">
        <f>IFERROR(VLOOKUP(H_Oct[[#This Row],[Service]],Codes[],4,0),"")</f>
        <v/>
      </c>
      <c r="L24" s="49">
        <f>IF(H_Oct[[#This Row],[PNP Début]]=0,0,IF(H_Oct[[#This Row],[PNP Début]]&lt;H_Oct[[#This Row],[début]],1,0)+H_Oct[[#This Row],[PNP Début]])</f>
        <v>0</v>
      </c>
      <c r="M24" s="50">
        <f>IF(H_Oct[[#This Row],[PNP Fin]]=0,0,IF(H_Oct[[#This Row],[PNP Fin]]&lt;H_Oct[[#This Row],[début]],1,0)+H_Oct[[#This Row],[PNP Fin]])</f>
        <v>0</v>
      </c>
      <c r="N24" s="50">
        <f>IF(H_Oct[[#This Row],[Fin]]&lt;H_Oct[[#This Row],[début]],1,0)+H_Oct[[#This Row],[Fin]]</f>
        <v>0</v>
      </c>
      <c r="O24" s="31">
        <f>IF(H_Oct[[#This Row],[Fin]]&lt;H_Oct[[#This Row],[début]],MAX(0,MIN(H_Oct[[#This Row],[Fin corrigée si nuit]],fin_nuit)-MAX(H_Oct[[#This Row],[début]],deb_nuit))*24,(MAX(deb_nuit,H_Oct[[#This Row],[Fin]])-MAX(deb_nuit,H_Oct[[#This Row],[début]])+MAX(MIN(fin_nuit-1,H_Oct[[#This Row],[Fin]])-MIN(fin_nuit-1,H_Oct[[#This Row],[début]]),0))*24)</f>
        <v>0</v>
      </c>
      <c r="P24" s="51">
        <f>(MAX(0,MIN(H_Oct[[#This Row],[Fin corrigée si nuit]],fin_nuit)-MAX(H_Oct[[#This Row],[début]],deb_nuit))-IF(H_Oct[[#This Row],[PNP Début]]=0,0,MIN(H_Oct[[#This Row],[PNP Fin corrigée]],fin_nuit)-MAX(H_Oct[[#This Row],[PNP Début corrigé]],deb_nuit)))*24</f>
        <v>0</v>
      </c>
      <c r="Q24" s="51">
        <f>(IF(WEEKDAY(H_Oct[[#This Row],[Date]],2)=7,MAX(0,MIN(fin_dimJF,H_Oct[[#This Row],[Fin corrigée si nuit]])-MAX(deb_dimJF,H_Oct[[#This Row],[début]])),0)+IF(WEEKDAY(H_Oct[[#This Row],[Date]],2)=6,MAX(0,H_Oct[[#This Row],[Fin corrigée si nuit]]-(1+deb_dimJF)),0))*24</f>
        <v>0</v>
      </c>
      <c r="R24"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4" s="51">
        <f>(IF(COUNTIF(JF,H_Oct[[#This Row],[Date]]),MAX(0,MIN(fin_dimJF,H_Oct[[#This Row],[Fin corrigée si nuit]])-MAX(deb_dimJF,H_Oct[[#This Row],[début]])),0)+IF(COUNTIF(JF,H_Oct[[#This Row],[Date]]+1),MAX(0,H_Oct[[#This Row],[Fin corrigée si nuit]]-(1+deb_dimJF)),0))*24</f>
        <v>0</v>
      </c>
      <c r="T24"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5" spans="1:20" x14ac:dyDescent="0.3">
      <c r="A25" s="4"/>
      <c r="B25" s="1"/>
      <c r="C25" s="2"/>
      <c r="D25" s="2"/>
      <c r="E25" s="3"/>
      <c r="F25" s="3"/>
      <c r="G25" s="3"/>
      <c r="H25" s="3"/>
      <c r="I25" s="47">
        <f>0.1*(H_Oct[[#This Row],[Heures de nuit]]+IF(H_Oct[[#This Row],[majoration dim &amp; JF]]="non",0,H_Oct[[#This Row],[heures jour dimanche]]+H_Oct[[#This Row],[heures jour fériés]]))</f>
        <v>0</v>
      </c>
      <c r="J25" s="48">
        <f>(MOD(H_Oct[[#This Row],[Fin]]-H_Oct[[#This Row],[début]],1)-MOD(H_Oct[[#This Row],[PNP Fin]]-H_Oct[[#This Row],[PNP Début]],1))*24</f>
        <v>0</v>
      </c>
      <c r="K25" s="119" t="str">
        <f>IFERROR(VLOOKUP(H_Oct[[#This Row],[Service]],Codes[],4,0),"")</f>
        <v/>
      </c>
      <c r="L25" s="49">
        <f>IF(H_Oct[[#This Row],[PNP Début]]=0,0,IF(H_Oct[[#This Row],[PNP Début]]&lt;H_Oct[[#This Row],[début]],1,0)+H_Oct[[#This Row],[PNP Début]])</f>
        <v>0</v>
      </c>
      <c r="M25" s="50">
        <f>IF(H_Oct[[#This Row],[PNP Fin]]=0,0,IF(H_Oct[[#This Row],[PNP Fin]]&lt;H_Oct[[#This Row],[début]],1,0)+H_Oct[[#This Row],[PNP Fin]])</f>
        <v>0</v>
      </c>
      <c r="N25" s="50">
        <f>IF(H_Oct[[#This Row],[Fin]]&lt;H_Oct[[#This Row],[début]],1,0)+H_Oct[[#This Row],[Fin]]</f>
        <v>0</v>
      </c>
      <c r="O25" s="31">
        <f>IF(H_Oct[[#This Row],[Fin]]&lt;H_Oct[[#This Row],[début]],MAX(0,MIN(H_Oct[[#This Row],[Fin corrigée si nuit]],fin_nuit)-MAX(H_Oct[[#This Row],[début]],deb_nuit))*24,(MAX(deb_nuit,H_Oct[[#This Row],[Fin]])-MAX(deb_nuit,H_Oct[[#This Row],[début]])+MAX(MIN(fin_nuit-1,H_Oct[[#This Row],[Fin]])-MIN(fin_nuit-1,H_Oct[[#This Row],[début]]),0))*24)</f>
        <v>0</v>
      </c>
      <c r="P25" s="51">
        <f>(MAX(0,MIN(H_Oct[[#This Row],[Fin corrigée si nuit]],fin_nuit)-MAX(H_Oct[[#This Row],[début]],deb_nuit))-IF(H_Oct[[#This Row],[PNP Début]]=0,0,MIN(H_Oct[[#This Row],[PNP Fin corrigée]],fin_nuit)-MAX(H_Oct[[#This Row],[PNP Début corrigé]],deb_nuit)))*24</f>
        <v>0</v>
      </c>
      <c r="Q25" s="51">
        <f>(IF(WEEKDAY(H_Oct[[#This Row],[Date]],2)=7,MAX(0,MIN(fin_dimJF,H_Oct[[#This Row],[Fin corrigée si nuit]])-MAX(deb_dimJF,H_Oct[[#This Row],[début]])),0)+IF(WEEKDAY(H_Oct[[#This Row],[Date]],2)=6,MAX(0,H_Oct[[#This Row],[Fin corrigée si nuit]]-(1+deb_dimJF)),0))*24</f>
        <v>0</v>
      </c>
      <c r="R25"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5" s="51">
        <f>(IF(COUNTIF(JF,H_Oct[[#This Row],[Date]]),MAX(0,MIN(fin_dimJF,H_Oct[[#This Row],[Fin corrigée si nuit]])-MAX(deb_dimJF,H_Oct[[#This Row],[début]])),0)+IF(COUNTIF(JF,H_Oct[[#This Row],[Date]]+1),MAX(0,H_Oct[[#This Row],[Fin corrigée si nuit]]-(1+deb_dimJF)),0))*24</f>
        <v>0</v>
      </c>
      <c r="T25"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6" spans="1:20" ht="14.4" customHeight="1" x14ac:dyDescent="0.3">
      <c r="A26" s="4"/>
      <c r="B26" s="1"/>
      <c r="C26" s="2"/>
      <c r="D26" s="2"/>
      <c r="E26" s="3"/>
      <c r="F26" s="3"/>
      <c r="G26" s="3"/>
      <c r="H26" s="3"/>
      <c r="I26" s="47">
        <f>0.1*(H_Oct[[#This Row],[Heures de nuit]]+IF(H_Oct[[#This Row],[majoration dim &amp; JF]]="non",0,H_Oct[[#This Row],[heures jour dimanche]]+H_Oct[[#This Row],[heures jour fériés]]))</f>
        <v>0</v>
      </c>
      <c r="J26" s="48">
        <f>(MOD(H_Oct[[#This Row],[Fin]]-H_Oct[[#This Row],[début]],1)-MOD(H_Oct[[#This Row],[PNP Fin]]-H_Oct[[#This Row],[PNP Début]],1))*24</f>
        <v>0</v>
      </c>
      <c r="K26" s="119" t="str">
        <f>IFERROR(VLOOKUP(H_Oct[[#This Row],[Service]],Codes[],4,0),"")</f>
        <v/>
      </c>
      <c r="L26" s="49">
        <f>IF(H_Oct[[#This Row],[PNP Début]]=0,0,IF(H_Oct[[#This Row],[PNP Début]]&lt;H_Oct[[#This Row],[début]],1,0)+H_Oct[[#This Row],[PNP Début]])</f>
        <v>0</v>
      </c>
      <c r="M26" s="50">
        <f>IF(H_Oct[[#This Row],[PNP Fin]]=0,0,IF(H_Oct[[#This Row],[PNP Fin]]&lt;H_Oct[[#This Row],[début]],1,0)+H_Oct[[#This Row],[PNP Fin]])</f>
        <v>0</v>
      </c>
      <c r="N26" s="50">
        <f>IF(H_Oct[[#This Row],[Fin]]&lt;H_Oct[[#This Row],[début]],1,0)+H_Oct[[#This Row],[Fin]]</f>
        <v>0</v>
      </c>
      <c r="O26" s="31">
        <f>IF(H_Oct[[#This Row],[Fin]]&lt;H_Oct[[#This Row],[début]],MAX(0,MIN(H_Oct[[#This Row],[Fin corrigée si nuit]],fin_nuit)-MAX(H_Oct[[#This Row],[début]],deb_nuit))*24,(MAX(deb_nuit,H_Oct[[#This Row],[Fin]])-MAX(deb_nuit,H_Oct[[#This Row],[début]])+MAX(MIN(fin_nuit-1,H_Oct[[#This Row],[Fin]])-MIN(fin_nuit-1,H_Oct[[#This Row],[début]]),0))*24)</f>
        <v>0</v>
      </c>
      <c r="P26" s="51">
        <f>(MAX(0,MIN(H_Oct[[#This Row],[Fin corrigée si nuit]],fin_nuit)-MAX(H_Oct[[#This Row],[début]],deb_nuit))-IF(H_Oct[[#This Row],[PNP Début]]=0,0,MIN(H_Oct[[#This Row],[PNP Fin corrigée]],fin_nuit)-MAX(H_Oct[[#This Row],[PNP Début corrigé]],deb_nuit)))*24</f>
        <v>0</v>
      </c>
      <c r="Q26" s="51">
        <f>(IF(WEEKDAY(H_Oct[[#This Row],[Date]],2)=7,MAX(0,MIN(fin_dimJF,H_Oct[[#This Row],[Fin corrigée si nuit]])-MAX(deb_dimJF,H_Oct[[#This Row],[début]])),0)+IF(WEEKDAY(H_Oct[[#This Row],[Date]],2)=6,MAX(0,H_Oct[[#This Row],[Fin corrigée si nuit]]-(1+deb_dimJF)),0))*24</f>
        <v>0</v>
      </c>
      <c r="R26"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6" s="51">
        <f>(IF(COUNTIF(JF,H_Oct[[#This Row],[Date]]),MAX(0,MIN(fin_dimJF,H_Oct[[#This Row],[Fin corrigée si nuit]])-MAX(deb_dimJF,H_Oct[[#This Row],[début]])),0)+IF(COUNTIF(JF,H_Oct[[#This Row],[Date]]+1),MAX(0,H_Oct[[#This Row],[Fin corrigée si nuit]]-(1+deb_dimJF)),0))*24</f>
        <v>0</v>
      </c>
      <c r="T26"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7" spans="1:20" x14ac:dyDescent="0.3">
      <c r="A27" s="4"/>
      <c r="B27" s="1"/>
      <c r="C27" s="2"/>
      <c r="D27" s="2"/>
      <c r="E27" s="3"/>
      <c r="F27" s="3"/>
      <c r="G27" s="3"/>
      <c r="H27" s="3"/>
      <c r="I27" s="47">
        <f>0.1*(H_Oct[[#This Row],[Heures de nuit]]+IF(H_Oct[[#This Row],[majoration dim &amp; JF]]="non",0,H_Oct[[#This Row],[heures jour dimanche]]+H_Oct[[#This Row],[heures jour fériés]]))</f>
        <v>0</v>
      </c>
      <c r="J27" s="48">
        <f>(MOD(H_Oct[[#This Row],[Fin]]-H_Oct[[#This Row],[début]],1)-MOD(H_Oct[[#This Row],[PNP Fin]]-H_Oct[[#This Row],[PNP Début]],1))*24</f>
        <v>0</v>
      </c>
      <c r="K27" s="119" t="str">
        <f>IFERROR(VLOOKUP(H_Oct[[#This Row],[Service]],Codes[],4,0),"")</f>
        <v/>
      </c>
      <c r="L27" s="49">
        <f>IF(H_Oct[[#This Row],[PNP Début]]=0,0,IF(H_Oct[[#This Row],[PNP Début]]&lt;H_Oct[[#This Row],[début]],1,0)+H_Oct[[#This Row],[PNP Début]])</f>
        <v>0</v>
      </c>
      <c r="M27" s="50">
        <f>IF(H_Oct[[#This Row],[PNP Fin]]=0,0,IF(H_Oct[[#This Row],[PNP Fin]]&lt;H_Oct[[#This Row],[début]],1,0)+H_Oct[[#This Row],[PNP Fin]])</f>
        <v>0</v>
      </c>
      <c r="N27" s="50">
        <f>IF(H_Oct[[#This Row],[Fin]]&lt;H_Oct[[#This Row],[début]],1,0)+H_Oct[[#This Row],[Fin]]</f>
        <v>0</v>
      </c>
      <c r="O27" s="31">
        <f>IF(H_Oct[[#This Row],[Fin]]&lt;H_Oct[[#This Row],[début]],MAX(0,MIN(H_Oct[[#This Row],[Fin corrigée si nuit]],fin_nuit)-MAX(H_Oct[[#This Row],[début]],deb_nuit))*24,(MAX(deb_nuit,H_Oct[[#This Row],[Fin]])-MAX(deb_nuit,H_Oct[[#This Row],[début]])+MAX(MIN(fin_nuit-1,H_Oct[[#This Row],[Fin]])-MIN(fin_nuit-1,H_Oct[[#This Row],[début]]),0))*24)</f>
        <v>0</v>
      </c>
      <c r="P27" s="51">
        <f>(MAX(0,MIN(H_Oct[[#This Row],[Fin corrigée si nuit]],fin_nuit)-MAX(H_Oct[[#This Row],[début]],deb_nuit))-IF(H_Oct[[#This Row],[PNP Début]]=0,0,MIN(H_Oct[[#This Row],[PNP Fin corrigée]],fin_nuit)-MAX(H_Oct[[#This Row],[PNP Début corrigé]],deb_nuit)))*24</f>
        <v>0</v>
      </c>
      <c r="Q27" s="51">
        <f>(IF(WEEKDAY(H_Oct[[#This Row],[Date]],2)=7,MAX(0,MIN(fin_dimJF,H_Oct[[#This Row],[Fin corrigée si nuit]])-MAX(deb_dimJF,H_Oct[[#This Row],[début]])),0)+IF(WEEKDAY(H_Oct[[#This Row],[Date]],2)=6,MAX(0,H_Oct[[#This Row],[Fin corrigée si nuit]]-(1+deb_dimJF)),0))*24</f>
        <v>0</v>
      </c>
      <c r="R27"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7" s="51">
        <f>(IF(COUNTIF(JF,H_Oct[[#This Row],[Date]]),MAX(0,MIN(fin_dimJF,H_Oct[[#This Row],[Fin corrigée si nuit]])-MAX(deb_dimJF,H_Oct[[#This Row],[début]])),0)+IF(COUNTIF(JF,H_Oct[[#This Row],[Date]]+1),MAX(0,H_Oct[[#This Row],[Fin corrigée si nuit]]-(1+deb_dimJF)),0))*24</f>
        <v>0</v>
      </c>
      <c r="T27"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8" spans="1:20" x14ac:dyDescent="0.3">
      <c r="A28" s="4"/>
      <c r="B28" s="1"/>
      <c r="C28" s="2"/>
      <c r="D28" s="2"/>
      <c r="E28" s="3"/>
      <c r="F28" s="3"/>
      <c r="G28" s="3"/>
      <c r="H28" s="3"/>
      <c r="I28" s="47">
        <f>0.1*(H_Oct[[#This Row],[Heures de nuit]]+IF(H_Oct[[#This Row],[majoration dim &amp; JF]]="non",0,H_Oct[[#This Row],[heures jour dimanche]]+H_Oct[[#This Row],[heures jour fériés]]))</f>
        <v>0</v>
      </c>
      <c r="J28" s="48">
        <f>(MOD(H_Oct[[#This Row],[Fin]]-H_Oct[[#This Row],[début]],1)-MOD(H_Oct[[#This Row],[PNP Fin]]-H_Oct[[#This Row],[PNP Début]],1))*24</f>
        <v>0</v>
      </c>
      <c r="K28" s="119" t="str">
        <f>IFERROR(VLOOKUP(H_Oct[[#This Row],[Service]],Codes[],4,0),"")</f>
        <v/>
      </c>
      <c r="L28" s="49">
        <f>IF(H_Oct[[#This Row],[PNP Début]]=0,0,IF(H_Oct[[#This Row],[PNP Début]]&lt;H_Oct[[#This Row],[début]],1,0)+H_Oct[[#This Row],[PNP Début]])</f>
        <v>0</v>
      </c>
      <c r="M28" s="50">
        <f>IF(H_Oct[[#This Row],[PNP Fin]]=0,0,IF(H_Oct[[#This Row],[PNP Fin]]&lt;H_Oct[[#This Row],[début]],1,0)+H_Oct[[#This Row],[PNP Fin]])</f>
        <v>0</v>
      </c>
      <c r="N28" s="50">
        <f>IF(H_Oct[[#This Row],[Fin]]&lt;H_Oct[[#This Row],[début]],1,0)+H_Oct[[#This Row],[Fin]]</f>
        <v>0</v>
      </c>
      <c r="O28" s="31">
        <f>IF(H_Oct[[#This Row],[Fin]]&lt;H_Oct[[#This Row],[début]],MAX(0,MIN(H_Oct[[#This Row],[Fin corrigée si nuit]],fin_nuit)-MAX(H_Oct[[#This Row],[début]],deb_nuit))*24,(MAX(deb_nuit,H_Oct[[#This Row],[Fin]])-MAX(deb_nuit,H_Oct[[#This Row],[début]])+MAX(MIN(fin_nuit-1,H_Oct[[#This Row],[Fin]])-MIN(fin_nuit-1,H_Oct[[#This Row],[début]]),0))*24)</f>
        <v>0</v>
      </c>
      <c r="P28" s="51">
        <f>(MAX(0,MIN(H_Oct[[#This Row],[Fin corrigée si nuit]],fin_nuit)-MAX(H_Oct[[#This Row],[début]],deb_nuit))-IF(H_Oct[[#This Row],[PNP Début]]=0,0,MIN(H_Oct[[#This Row],[PNP Fin corrigée]],fin_nuit)-MAX(H_Oct[[#This Row],[PNP Début corrigé]],deb_nuit)))*24</f>
        <v>0</v>
      </c>
      <c r="Q28" s="51">
        <f>(IF(WEEKDAY(H_Oct[[#This Row],[Date]],2)=7,MAX(0,MIN(fin_dimJF,H_Oct[[#This Row],[Fin corrigée si nuit]])-MAX(deb_dimJF,H_Oct[[#This Row],[début]])),0)+IF(WEEKDAY(H_Oct[[#This Row],[Date]],2)=6,MAX(0,H_Oct[[#This Row],[Fin corrigée si nuit]]-(1+deb_dimJF)),0))*24</f>
        <v>0</v>
      </c>
      <c r="R28"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8" s="51">
        <f>(IF(COUNTIF(JF,H_Oct[[#This Row],[Date]]),MAX(0,MIN(fin_dimJF,H_Oct[[#This Row],[Fin corrigée si nuit]])-MAX(deb_dimJF,H_Oct[[#This Row],[début]])),0)+IF(COUNTIF(JF,H_Oct[[#This Row],[Date]]+1),MAX(0,H_Oct[[#This Row],[Fin corrigée si nuit]]-(1+deb_dimJF)),0))*24</f>
        <v>0</v>
      </c>
      <c r="T28"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29" spans="1:20" x14ac:dyDescent="0.3">
      <c r="A29" s="4"/>
      <c r="B29" s="1"/>
      <c r="C29" s="2"/>
      <c r="D29" s="2"/>
      <c r="E29" s="3"/>
      <c r="F29" s="3"/>
      <c r="G29" s="3"/>
      <c r="H29" s="3"/>
      <c r="I29" s="47">
        <f>0.1*(H_Oct[[#This Row],[Heures de nuit]]+IF(H_Oct[[#This Row],[majoration dim &amp; JF]]="non",0,H_Oct[[#This Row],[heures jour dimanche]]+H_Oct[[#This Row],[heures jour fériés]]))</f>
        <v>0</v>
      </c>
      <c r="J29" s="48">
        <f>(MOD(H_Oct[[#This Row],[Fin]]-H_Oct[[#This Row],[début]],1)-MOD(H_Oct[[#This Row],[PNP Fin]]-H_Oct[[#This Row],[PNP Début]],1))*24</f>
        <v>0</v>
      </c>
      <c r="K29" s="119" t="str">
        <f>IFERROR(VLOOKUP(H_Oct[[#This Row],[Service]],Codes[],4,0),"")</f>
        <v/>
      </c>
      <c r="L29" s="49">
        <f>IF(H_Oct[[#This Row],[PNP Début]]=0,0,IF(H_Oct[[#This Row],[PNP Début]]&lt;H_Oct[[#This Row],[début]],1,0)+H_Oct[[#This Row],[PNP Début]])</f>
        <v>0</v>
      </c>
      <c r="M29" s="50">
        <f>IF(H_Oct[[#This Row],[PNP Fin]]=0,0,IF(H_Oct[[#This Row],[PNP Fin]]&lt;H_Oct[[#This Row],[début]],1,0)+H_Oct[[#This Row],[PNP Fin]])</f>
        <v>0</v>
      </c>
      <c r="N29" s="50">
        <f>IF(H_Oct[[#This Row],[Fin]]&lt;H_Oct[[#This Row],[début]],1,0)+H_Oct[[#This Row],[Fin]]</f>
        <v>0</v>
      </c>
      <c r="O29" s="31">
        <f>IF(H_Oct[[#This Row],[Fin]]&lt;H_Oct[[#This Row],[début]],MAX(0,MIN(H_Oct[[#This Row],[Fin corrigée si nuit]],fin_nuit)-MAX(H_Oct[[#This Row],[début]],deb_nuit))*24,(MAX(deb_nuit,H_Oct[[#This Row],[Fin]])-MAX(deb_nuit,H_Oct[[#This Row],[début]])+MAX(MIN(fin_nuit-1,H_Oct[[#This Row],[Fin]])-MIN(fin_nuit-1,H_Oct[[#This Row],[début]]),0))*24)</f>
        <v>0</v>
      </c>
      <c r="P29" s="51">
        <f>(MAX(0,MIN(H_Oct[[#This Row],[Fin corrigée si nuit]],fin_nuit)-MAX(H_Oct[[#This Row],[début]],deb_nuit))-IF(H_Oct[[#This Row],[PNP Début]]=0,0,MIN(H_Oct[[#This Row],[PNP Fin corrigée]],fin_nuit)-MAX(H_Oct[[#This Row],[PNP Début corrigé]],deb_nuit)))*24</f>
        <v>0</v>
      </c>
      <c r="Q29" s="51">
        <f>(IF(WEEKDAY(H_Oct[[#This Row],[Date]],2)=7,MAX(0,MIN(fin_dimJF,H_Oct[[#This Row],[Fin corrigée si nuit]])-MAX(deb_dimJF,H_Oct[[#This Row],[début]])),0)+IF(WEEKDAY(H_Oct[[#This Row],[Date]],2)=6,MAX(0,H_Oct[[#This Row],[Fin corrigée si nuit]]-(1+deb_dimJF)),0))*24</f>
        <v>0</v>
      </c>
      <c r="R29"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29" s="51">
        <f>(IF(COUNTIF(JF,H_Oct[[#This Row],[Date]]),MAX(0,MIN(fin_dimJF,H_Oct[[#This Row],[Fin corrigée si nuit]])-MAX(deb_dimJF,H_Oct[[#This Row],[début]])),0)+IF(COUNTIF(JF,H_Oct[[#This Row],[Date]]+1),MAX(0,H_Oct[[#This Row],[Fin corrigée si nuit]]-(1+deb_dimJF)),0))*24</f>
        <v>0</v>
      </c>
      <c r="T29"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0" spans="1:20" x14ac:dyDescent="0.3">
      <c r="A30" s="4"/>
      <c r="B30" s="1"/>
      <c r="C30" s="2"/>
      <c r="D30" s="2"/>
      <c r="E30" s="3"/>
      <c r="F30" s="3"/>
      <c r="G30" s="3"/>
      <c r="H30" s="3"/>
      <c r="I30" s="47">
        <f>0.1*(H_Oct[[#This Row],[Heures de nuit]]+IF(H_Oct[[#This Row],[majoration dim &amp; JF]]="non",0,H_Oct[[#This Row],[heures jour dimanche]]+H_Oct[[#This Row],[heures jour fériés]]))</f>
        <v>0</v>
      </c>
      <c r="J30" s="48">
        <f>(MOD(H_Oct[[#This Row],[Fin]]-H_Oct[[#This Row],[début]],1)-MOD(H_Oct[[#This Row],[PNP Fin]]-H_Oct[[#This Row],[PNP Début]],1))*24</f>
        <v>0</v>
      </c>
      <c r="K30" s="119" t="str">
        <f>IFERROR(VLOOKUP(H_Oct[[#This Row],[Service]],Codes[],4,0),"")</f>
        <v/>
      </c>
      <c r="L30" s="49">
        <f>IF(H_Oct[[#This Row],[PNP Début]]=0,0,IF(H_Oct[[#This Row],[PNP Début]]&lt;H_Oct[[#This Row],[début]],1,0)+H_Oct[[#This Row],[PNP Début]])</f>
        <v>0</v>
      </c>
      <c r="M30" s="50">
        <f>IF(H_Oct[[#This Row],[PNP Fin]]=0,0,IF(H_Oct[[#This Row],[PNP Fin]]&lt;H_Oct[[#This Row],[début]],1,0)+H_Oct[[#This Row],[PNP Fin]])</f>
        <v>0</v>
      </c>
      <c r="N30" s="50">
        <f>IF(H_Oct[[#This Row],[Fin]]&lt;H_Oct[[#This Row],[début]],1,0)+H_Oct[[#This Row],[Fin]]</f>
        <v>0</v>
      </c>
      <c r="O30" s="31">
        <f>IF(H_Oct[[#This Row],[Fin]]&lt;H_Oct[[#This Row],[début]],MAX(0,MIN(H_Oct[[#This Row],[Fin corrigée si nuit]],fin_nuit)-MAX(H_Oct[[#This Row],[début]],deb_nuit))*24,(MAX(deb_nuit,H_Oct[[#This Row],[Fin]])-MAX(deb_nuit,H_Oct[[#This Row],[début]])+MAX(MIN(fin_nuit-1,H_Oct[[#This Row],[Fin]])-MIN(fin_nuit-1,H_Oct[[#This Row],[début]]),0))*24)</f>
        <v>0</v>
      </c>
      <c r="P30" s="51">
        <f>(MAX(0,MIN(H_Oct[[#This Row],[Fin corrigée si nuit]],fin_nuit)-MAX(H_Oct[[#This Row],[début]],deb_nuit))-IF(H_Oct[[#This Row],[PNP Début]]=0,0,MIN(H_Oct[[#This Row],[PNP Fin corrigée]],fin_nuit)-MAX(H_Oct[[#This Row],[PNP Début corrigé]],deb_nuit)))*24</f>
        <v>0</v>
      </c>
      <c r="Q30" s="51">
        <f>(IF(WEEKDAY(H_Oct[[#This Row],[Date]],2)=7,MAX(0,MIN(fin_dimJF,H_Oct[[#This Row],[Fin corrigée si nuit]])-MAX(deb_dimJF,H_Oct[[#This Row],[début]])),0)+IF(WEEKDAY(H_Oct[[#This Row],[Date]],2)=6,MAX(0,H_Oct[[#This Row],[Fin corrigée si nuit]]-(1+deb_dimJF)),0))*24</f>
        <v>0</v>
      </c>
      <c r="R30"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0" s="51">
        <f>(IF(COUNTIF(JF,H_Oct[[#This Row],[Date]]),MAX(0,MIN(fin_dimJF,H_Oct[[#This Row],[Fin corrigée si nuit]])-MAX(deb_dimJF,H_Oct[[#This Row],[début]])),0)+IF(COUNTIF(JF,H_Oct[[#This Row],[Date]]+1),MAX(0,H_Oct[[#This Row],[Fin corrigée si nuit]]-(1+deb_dimJF)),0))*24</f>
        <v>0</v>
      </c>
      <c r="T30"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1" spans="1:20" x14ac:dyDescent="0.3">
      <c r="A31" s="4"/>
      <c r="B31" s="1"/>
      <c r="C31" s="2"/>
      <c r="D31" s="2"/>
      <c r="E31" s="3"/>
      <c r="F31" s="3"/>
      <c r="G31" s="3"/>
      <c r="H31" s="3"/>
      <c r="I31" s="47">
        <f>0.1*(H_Oct[[#This Row],[Heures de nuit]]+IF(H_Oct[[#This Row],[majoration dim &amp; JF]]="non",0,H_Oct[[#This Row],[heures jour dimanche]]+H_Oct[[#This Row],[heures jour fériés]]))</f>
        <v>0</v>
      </c>
      <c r="J31" s="48">
        <f>(MOD(H_Oct[[#This Row],[Fin]]-H_Oct[[#This Row],[début]],1)-MOD(H_Oct[[#This Row],[PNP Fin]]-H_Oct[[#This Row],[PNP Début]],1))*24</f>
        <v>0</v>
      </c>
      <c r="K31" s="119" t="str">
        <f>IFERROR(VLOOKUP(H_Oct[[#This Row],[Service]],Codes[],4,0),"")</f>
        <v/>
      </c>
      <c r="L31" s="49">
        <f>IF(H_Oct[[#This Row],[PNP Début]]=0,0,IF(H_Oct[[#This Row],[PNP Début]]&lt;H_Oct[[#This Row],[début]],1,0)+H_Oct[[#This Row],[PNP Début]])</f>
        <v>0</v>
      </c>
      <c r="M31" s="50">
        <f>IF(H_Oct[[#This Row],[PNP Fin]]=0,0,IF(H_Oct[[#This Row],[PNP Fin]]&lt;H_Oct[[#This Row],[début]],1,0)+H_Oct[[#This Row],[PNP Fin]])</f>
        <v>0</v>
      </c>
      <c r="N31" s="50">
        <f>IF(H_Oct[[#This Row],[Fin]]&lt;H_Oct[[#This Row],[début]],1,0)+H_Oct[[#This Row],[Fin]]</f>
        <v>0</v>
      </c>
      <c r="O31" s="31">
        <f>IF(H_Oct[[#This Row],[Fin]]&lt;H_Oct[[#This Row],[début]],MAX(0,MIN(H_Oct[[#This Row],[Fin corrigée si nuit]],fin_nuit)-MAX(H_Oct[[#This Row],[début]],deb_nuit))*24,(MAX(deb_nuit,H_Oct[[#This Row],[Fin]])-MAX(deb_nuit,H_Oct[[#This Row],[début]])+MAX(MIN(fin_nuit-1,H_Oct[[#This Row],[Fin]])-MIN(fin_nuit-1,H_Oct[[#This Row],[début]]),0))*24)</f>
        <v>0</v>
      </c>
      <c r="P31" s="51">
        <f>(MAX(0,MIN(H_Oct[[#This Row],[Fin corrigée si nuit]],fin_nuit)-MAX(H_Oct[[#This Row],[début]],deb_nuit))-IF(H_Oct[[#This Row],[PNP Début]]=0,0,MIN(H_Oct[[#This Row],[PNP Fin corrigée]],fin_nuit)-MAX(H_Oct[[#This Row],[PNP Début corrigé]],deb_nuit)))*24</f>
        <v>0</v>
      </c>
      <c r="Q31" s="51">
        <f>(IF(WEEKDAY(H_Oct[[#This Row],[Date]],2)=7,MAX(0,MIN(fin_dimJF,H_Oct[[#This Row],[Fin corrigée si nuit]])-MAX(deb_dimJF,H_Oct[[#This Row],[début]])),0)+IF(WEEKDAY(H_Oct[[#This Row],[Date]],2)=6,MAX(0,H_Oct[[#This Row],[Fin corrigée si nuit]]-(1+deb_dimJF)),0))*24</f>
        <v>0</v>
      </c>
      <c r="R31"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1" s="51">
        <f>(IF(COUNTIF(JF,H_Oct[[#This Row],[Date]]),MAX(0,MIN(fin_dimJF,H_Oct[[#This Row],[Fin corrigée si nuit]])-MAX(deb_dimJF,H_Oct[[#This Row],[début]])),0)+IF(COUNTIF(JF,H_Oct[[#This Row],[Date]]+1),MAX(0,H_Oct[[#This Row],[Fin corrigée si nuit]]-(1+deb_dimJF)),0))*24</f>
        <v>0</v>
      </c>
      <c r="T31"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2" spans="1:20" ht="14.55" customHeight="1" x14ac:dyDescent="0.3">
      <c r="A32" s="4"/>
      <c r="B32" s="1"/>
      <c r="C32" s="2"/>
      <c r="D32" s="2"/>
      <c r="E32" s="3"/>
      <c r="F32" s="3"/>
      <c r="G32" s="3"/>
      <c r="H32" s="3"/>
      <c r="I32" s="47">
        <f>0.1*(H_Oct[[#This Row],[Heures de nuit]]+IF(H_Oct[[#This Row],[majoration dim &amp; JF]]="non",0,H_Oct[[#This Row],[heures jour dimanche]]+H_Oct[[#This Row],[heures jour fériés]]))</f>
        <v>0</v>
      </c>
      <c r="J32" s="48">
        <f>(MOD(H_Oct[[#This Row],[Fin]]-H_Oct[[#This Row],[début]],1)-MOD(H_Oct[[#This Row],[PNP Fin]]-H_Oct[[#This Row],[PNP Début]],1))*24</f>
        <v>0</v>
      </c>
      <c r="K32" s="119" t="str">
        <f>IFERROR(VLOOKUP(H_Oct[[#This Row],[Service]],Codes[],4,0),"")</f>
        <v/>
      </c>
      <c r="L32" s="49">
        <f>IF(H_Oct[[#This Row],[PNP Début]]=0,0,IF(H_Oct[[#This Row],[PNP Début]]&lt;H_Oct[[#This Row],[début]],1,0)+H_Oct[[#This Row],[PNP Début]])</f>
        <v>0</v>
      </c>
      <c r="M32" s="50">
        <f>IF(H_Oct[[#This Row],[PNP Fin]]=0,0,IF(H_Oct[[#This Row],[PNP Fin]]&lt;H_Oct[[#This Row],[début]],1,0)+H_Oct[[#This Row],[PNP Fin]])</f>
        <v>0</v>
      </c>
      <c r="N32" s="50">
        <f>IF(H_Oct[[#This Row],[Fin]]&lt;H_Oct[[#This Row],[début]],1,0)+H_Oct[[#This Row],[Fin]]</f>
        <v>0</v>
      </c>
      <c r="O32" s="31">
        <f>IF(H_Oct[[#This Row],[Fin]]&lt;H_Oct[[#This Row],[début]],MAX(0,MIN(H_Oct[[#This Row],[Fin corrigée si nuit]],fin_nuit)-MAX(H_Oct[[#This Row],[début]],deb_nuit))*24,(MAX(deb_nuit,H_Oct[[#This Row],[Fin]])-MAX(deb_nuit,H_Oct[[#This Row],[début]])+MAX(MIN(fin_nuit-1,H_Oct[[#This Row],[Fin]])-MIN(fin_nuit-1,H_Oct[[#This Row],[début]]),0))*24)</f>
        <v>0</v>
      </c>
      <c r="P32" s="51">
        <f>(MAX(0,MIN(H_Oct[[#This Row],[Fin corrigée si nuit]],fin_nuit)-MAX(H_Oct[[#This Row],[début]],deb_nuit))-IF(H_Oct[[#This Row],[PNP Début]]=0,0,MIN(H_Oct[[#This Row],[PNP Fin corrigée]],fin_nuit)-MAX(H_Oct[[#This Row],[PNP Début corrigé]],deb_nuit)))*24</f>
        <v>0</v>
      </c>
      <c r="Q32" s="51">
        <f>(IF(WEEKDAY(H_Oct[[#This Row],[Date]],2)=7,MAX(0,MIN(fin_dimJF,H_Oct[[#This Row],[Fin corrigée si nuit]])-MAX(deb_dimJF,H_Oct[[#This Row],[début]])),0)+IF(WEEKDAY(H_Oct[[#This Row],[Date]],2)=6,MAX(0,H_Oct[[#This Row],[Fin corrigée si nuit]]-(1+deb_dimJF)),0))*24</f>
        <v>0</v>
      </c>
      <c r="R32"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2" s="51">
        <f>(IF(COUNTIF(JF,H_Oct[[#This Row],[Date]]),MAX(0,MIN(fin_dimJF,H_Oct[[#This Row],[Fin corrigée si nuit]])-MAX(deb_dimJF,H_Oct[[#This Row],[début]])),0)+IF(COUNTIF(JF,H_Oct[[#This Row],[Date]]+1),MAX(0,H_Oct[[#This Row],[Fin corrigée si nuit]]-(1+deb_dimJF)),0))*24</f>
        <v>0</v>
      </c>
      <c r="T32"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3" spans="1:20" x14ac:dyDescent="0.3">
      <c r="A33" s="4"/>
      <c r="B33" s="1"/>
      <c r="C33" s="2"/>
      <c r="D33" s="2"/>
      <c r="E33" s="3"/>
      <c r="F33" s="3"/>
      <c r="G33" s="3"/>
      <c r="H33" s="3"/>
      <c r="I33" s="47">
        <f>0.1*(H_Oct[[#This Row],[Heures de nuit]]+IF(H_Oct[[#This Row],[majoration dim &amp; JF]]="non",0,H_Oct[[#This Row],[heures jour dimanche]]+H_Oct[[#This Row],[heures jour fériés]]))</f>
        <v>0</v>
      </c>
      <c r="J33" s="48">
        <f>(MOD(H_Oct[[#This Row],[Fin]]-H_Oct[[#This Row],[début]],1)-MOD(H_Oct[[#This Row],[PNP Fin]]-H_Oct[[#This Row],[PNP Début]],1))*24</f>
        <v>0</v>
      </c>
      <c r="K33" s="119" t="str">
        <f>IFERROR(VLOOKUP(H_Oct[[#This Row],[Service]],Codes[],4,0),"")</f>
        <v/>
      </c>
      <c r="L33" s="49">
        <f>IF(H_Oct[[#This Row],[PNP Début]]=0,0,IF(H_Oct[[#This Row],[PNP Début]]&lt;H_Oct[[#This Row],[début]],1,0)+H_Oct[[#This Row],[PNP Début]])</f>
        <v>0</v>
      </c>
      <c r="M33" s="50">
        <f>IF(H_Oct[[#This Row],[PNP Fin]]=0,0,IF(H_Oct[[#This Row],[PNP Fin]]&lt;H_Oct[[#This Row],[début]],1,0)+H_Oct[[#This Row],[PNP Fin]])</f>
        <v>0</v>
      </c>
      <c r="N33" s="50">
        <f>IF(H_Oct[[#This Row],[Fin]]&lt;H_Oct[[#This Row],[début]],1,0)+H_Oct[[#This Row],[Fin]]</f>
        <v>0</v>
      </c>
      <c r="O33" s="31">
        <f>IF(H_Oct[[#This Row],[Fin]]&lt;H_Oct[[#This Row],[début]],MAX(0,MIN(H_Oct[[#This Row],[Fin corrigée si nuit]],fin_nuit)-MAX(H_Oct[[#This Row],[début]],deb_nuit))*24,(MAX(deb_nuit,H_Oct[[#This Row],[Fin]])-MAX(deb_nuit,H_Oct[[#This Row],[début]])+MAX(MIN(fin_nuit-1,H_Oct[[#This Row],[Fin]])-MIN(fin_nuit-1,H_Oct[[#This Row],[début]]),0))*24)</f>
        <v>0</v>
      </c>
      <c r="P33" s="51">
        <f>(MAX(0,MIN(H_Oct[[#This Row],[Fin corrigée si nuit]],fin_nuit)-MAX(H_Oct[[#This Row],[début]],deb_nuit))-IF(H_Oct[[#This Row],[PNP Début]]=0,0,MIN(H_Oct[[#This Row],[PNP Fin corrigée]],fin_nuit)-MAX(H_Oct[[#This Row],[PNP Début corrigé]],deb_nuit)))*24</f>
        <v>0</v>
      </c>
      <c r="Q33" s="51">
        <f>(IF(WEEKDAY(H_Oct[[#This Row],[Date]],2)=7,MAX(0,MIN(fin_dimJF,H_Oct[[#This Row],[Fin corrigée si nuit]])-MAX(deb_dimJF,H_Oct[[#This Row],[début]])),0)+IF(WEEKDAY(H_Oct[[#This Row],[Date]],2)=6,MAX(0,H_Oct[[#This Row],[Fin corrigée si nuit]]-(1+deb_dimJF)),0))*24</f>
        <v>0</v>
      </c>
      <c r="R33"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3" s="51">
        <f>(IF(COUNTIF(JF,H_Oct[[#This Row],[Date]]),MAX(0,MIN(fin_dimJF,H_Oct[[#This Row],[Fin corrigée si nuit]])-MAX(deb_dimJF,H_Oct[[#This Row],[début]])),0)+IF(COUNTIF(JF,H_Oct[[#This Row],[Date]]+1),MAX(0,H_Oct[[#This Row],[Fin corrigée si nuit]]-(1+deb_dimJF)),0))*24</f>
        <v>0</v>
      </c>
      <c r="T33"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4" spans="1:20" x14ac:dyDescent="0.3">
      <c r="A34" s="4"/>
      <c r="B34" s="1"/>
      <c r="C34" s="2"/>
      <c r="D34" s="2"/>
      <c r="E34" s="3"/>
      <c r="F34" s="3"/>
      <c r="G34" s="3"/>
      <c r="H34" s="3"/>
      <c r="I34" s="47">
        <f>0.1*(H_Oct[[#This Row],[Heures de nuit]]+IF(H_Oct[[#This Row],[majoration dim &amp; JF]]="non",0,H_Oct[[#This Row],[heures jour dimanche]]+H_Oct[[#This Row],[heures jour fériés]]))</f>
        <v>0</v>
      </c>
      <c r="J34" s="48">
        <f>(MOD(H_Oct[[#This Row],[Fin]]-H_Oct[[#This Row],[début]],1)-MOD(H_Oct[[#This Row],[PNP Fin]]-H_Oct[[#This Row],[PNP Début]],1))*24</f>
        <v>0</v>
      </c>
      <c r="K34" s="119" t="str">
        <f>IFERROR(VLOOKUP(H_Oct[[#This Row],[Service]],Codes[],4,0),"")</f>
        <v/>
      </c>
      <c r="L34" s="49">
        <f>IF(H_Oct[[#This Row],[PNP Début]]=0,0,IF(H_Oct[[#This Row],[PNP Début]]&lt;H_Oct[[#This Row],[début]],1,0)+H_Oct[[#This Row],[PNP Début]])</f>
        <v>0</v>
      </c>
      <c r="M34" s="50">
        <f>IF(H_Oct[[#This Row],[PNP Fin]]=0,0,IF(H_Oct[[#This Row],[PNP Fin]]&lt;H_Oct[[#This Row],[début]],1,0)+H_Oct[[#This Row],[PNP Fin]])</f>
        <v>0</v>
      </c>
      <c r="N34" s="50">
        <f>IF(H_Oct[[#This Row],[Fin]]&lt;H_Oct[[#This Row],[début]],1,0)+H_Oct[[#This Row],[Fin]]</f>
        <v>0</v>
      </c>
      <c r="O34" s="31">
        <f>IF(H_Oct[[#This Row],[Fin]]&lt;H_Oct[[#This Row],[début]],MAX(0,MIN(H_Oct[[#This Row],[Fin corrigée si nuit]],fin_nuit)-MAX(H_Oct[[#This Row],[début]],deb_nuit))*24,(MAX(deb_nuit,H_Oct[[#This Row],[Fin]])-MAX(deb_nuit,H_Oct[[#This Row],[début]])+MAX(MIN(fin_nuit-1,H_Oct[[#This Row],[Fin]])-MIN(fin_nuit-1,H_Oct[[#This Row],[début]]),0))*24)</f>
        <v>0</v>
      </c>
      <c r="P34" s="51">
        <f>(MAX(0,MIN(H_Oct[[#This Row],[Fin corrigée si nuit]],fin_nuit)-MAX(H_Oct[[#This Row],[début]],deb_nuit))-IF(H_Oct[[#This Row],[PNP Début]]=0,0,MIN(H_Oct[[#This Row],[PNP Fin corrigée]],fin_nuit)-MAX(H_Oct[[#This Row],[PNP Début corrigé]],deb_nuit)))*24</f>
        <v>0</v>
      </c>
      <c r="Q34" s="51">
        <f>(IF(WEEKDAY(H_Oct[[#This Row],[Date]],2)=7,MAX(0,MIN(fin_dimJF,H_Oct[[#This Row],[Fin corrigée si nuit]])-MAX(deb_dimJF,H_Oct[[#This Row],[début]])),0)+IF(WEEKDAY(H_Oct[[#This Row],[Date]],2)=6,MAX(0,H_Oct[[#This Row],[Fin corrigée si nuit]]-(1+deb_dimJF)),0))*24</f>
        <v>0</v>
      </c>
      <c r="R34"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4" s="51">
        <f>(IF(COUNTIF(JF,H_Oct[[#This Row],[Date]]),MAX(0,MIN(fin_dimJF,H_Oct[[#This Row],[Fin corrigée si nuit]])-MAX(deb_dimJF,H_Oct[[#This Row],[début]])),0)+IF(COUNTIF(JF,H_Oct[[#This Row],[Date]]+1),MAX(0,H_Oct[[#This Row],[Fin corrigée si nuit]]-(1+deb_dimJF)),0))*24</f>
        <v>0</v>
      </c>
      <c r="T34"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5" spans="1:20" x14ac:dyDescent="0.3">
      <c r="A35" s="4"/>
      <c r="B35" s="1"/>
      <c r="C35" s="2"/>
      <c r="D35" s="2"/>
      <c r="E35" s="3"/>
      <c r="F35" s="3"/>
      <c r="G35" s="3"/>
      <c r="H35" s="3"/>
      <c r="I35" s="47">
        <f>0.1*(H_Oct[[#This Row],[Heures de nuit]]+IF(H_Oct[[#This Row],[majoration dim &amp; JF]]="non",0,H_Oct[[#This Row],[heures jour dimanche]]+H_Oct[[#This Row],[heures jour fériés]]))</f>
        <v>0</v>
      </c>
      <c r="J35" s="48">
        <f>(MOD(H_Oct[[#This Row],[Fin]]-H_Oct[[#This Row],[début]],1)-MOD(H_Oct[[#This Row],[PNP Fin]]-H_Oct[[#This Row],[PNP Début]],1))*24</f>
        <v>0</v>
      </c>
      <c r="K35" s="119" t="str">
        <f>IFERROR(VLOOKUP(H_Oct[[#This Row],[Service]],Codes[],4,0),"")</f>
        <v/>
      </c>
      <c r="L35" s="49">
        <f>IF(H_Oct[[#This Row],[PNP Début]]=0,0,IF(H_Oct[[#This Row],[PNP Début]]&lt;H_Oct[[#This Row],[début]],1,0)+H_Oct[[#This Row],[PNP Début]])</f>
        <v>0</v>
      </c>
      <c r="M35" s="50">
        <f>IF(H_Oct[[#This Row],[PNP Fin]]=0,0,IF(H_Oct[[#This Row],[PNP Fin]]&lt;H_Oct[[#This Row],[début]],1,0)+H_Oct[[#This Row],[PNP Fin]])</f>
        <v>0</v>
      </c>
      <c r="N35" s="50">
        <f>IF(H_Oct[[#This Row],[Fin]]&lt;H_Oct[[#This Row],[début]],1,0)+H_Oct[[#This Row],[Fin]]</f>
        <v>0</v>
      </c>
      <c r="O35" s="31">
        <f>IF(H_Oct[[#This Row],[Fin]]&lt;H_Oct[[#This Row],[début]],MAX(0,MIN(H_Oct[[#This Row],[Fin corrigée si nuit]],fin_nuit)-MAX(H_Oct[[#This Row],[début]],deb_nuit))*24,(MAX(deb_nuit,H_Oct[[#This Row],[Fin]])-MAX(deb_nuit,H_Oct[[#This Row],[début]])+MAX(MIN(fin_nuit-1,H_Oct[[#This Row],[Fin]])-MIN(fin_nuit-1,H_Oct[[#This Row],[début]]),0))*24)</f>
        <v>0</v>
      </c>
      <c r="P35" s="51">
        <f>(MAX(0,MIN(H_Oct[[#This Row],[Fin corrigée si nuit]],fin_nuit)-MAX(H_Oct[[#This Row],[début]],deb_nuit))-IF(H_Oct[[#This Row],[PNP Début]]=0,0,MIN(H_Oct[[#This Row],[PNP Fin corrigée]],fin_nuit)-MAX(H_Oct[[#This Row],[PNP Début corrigé]],deb_nuit)))*24</f>
        <v>0</v>
      </c>
      <c r="Q35" s="51">
        <f>(IF(WEEKDAY(H_Oct[[#This Row],[Date]],2)=7,MAX(0,MIN(fin_dimJF,H_Oct[[#This Row],[Fin corrigée si nuit]])-MAX(deb_dimJF,H_Oct[[#This Row],[début]])),0)+IF(WEEKDAY(H_Oct[[#This Row],[Date]],2)=6,MAX(0,H_Oct[[#This Row],[Fin corrigée si nuit]]-(1+deb_dimJF)),0))*24</f>
        <v>0</v>
      </c>
      <c r="R35"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5" s="51">
        <f>(IF(COUNTIF(JF,H_Oct[[#This Row],[Date]]),MAX(0,MIN(fin_dimJF,H_Oct[[#This Row],[Fin corrigée si nuit]])-MAX(deb_dimJF,H_Oct[[#This Row],[début]])),0)+IF(COUNTIF(JF,H_Oct[[#This Row],[Date]]+1),MAX(0,H_Oct[[#This Row],[Fin corrigée si nuit]]-(1+deb_dimJF)),0))*24</f>
        <v>0</v>
      </c>
      <c r="T35"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6" spans="1:20" x14ac:dyDescent="0.3">
      <c r="A36" s="4"/>
      <c r="B36" s="1"/>
      <c r="C36" s="2"/>
      <c r="D36" s="2"/>
      <c r="E36" s="3"/>
      <c r="F36" s="3"/>
      <c r="G36" s="3"/>
      <c r="H36" s="3"/>
      <c r="I36" s="47">
        <f>0.1*(H_Oct[[#This Row],[Heures de nuit]]+IF(H_Oct[[#This Row],[majoration dim &amp; JF]]="non",0,H_Oct[[#This Row],[heures jour dimanche]]+H_Oct[[#This Row],[heures jour fériés]]))</f>
        <v>0</v>
      </c>
      <c r="J36" s="48">
        <f>(MOD(H_Oct[[#This Row],[Fin]]-H_Oct[[#This Row],[début]],1)-MOD(H_Oct[[#This Row],[PNP Fin]]-H_Oct[[#This Row],[PNP Début]],1))*24</f>
        <v>0</v>
      </c>
      <c r="K36" s="119" t="str">
        <f>IFERROR(VLOOKUP(H_Oct[[#This Row],[Service]],Codes[],4,0),"")</f>
        <v/>
      </c>
      <c r="L36" s="49">
        <f>IF(H_Oct[[#This Row],[PNP Début]]=0,0,IF(H_Oct[[#This Row],[PNP Début]]&lt;H_Oct[[#This Row],[début]],1,0)+H_Oct[[#This Row],[PNP Début]])</f>
        <v>0</v>
      </c>
      <c r="M36" s="50">
        <f>IF(H_Oct[[#This Row],[PNP Fin]]=0,0,IF(H_Oct[[#This Row],[PNP Fin]]&lt;H_Oct[[#This Row],[début]],1,0)+H_Oct[[#This Row],[PNP Fin]])</f>
        <v>0</v>
      </c>
      <c r="N36" s="50">
        <f>IF(H_Oct[[#This Row],[Fin]]&lt;H_Oct[[#This Row],[début]],1,0)+H_Oct[[#This Row],[Fin]]</f>
        <v>0</v>
      </c>
      <c r="O36" s="31">
        <f>IF(H_Oct[[#This Row],[Fin]]&lt;H_Oct[[#This Row],[début]],MAX(0,MIN(H_Oct[[#This Row],[Fin corrigée si nuit]],fin_nuit)-MAX(H_Oct[[#This Row],[début]],deb_nuit))*24,(MAX(deb_nuit,H_Oct[[#This Row],[Fin]])-MAX(deb_nuit,H_Oct[[#This Row],[début]])+MAX(MIN(fin_nuit-1,H_Oct[[#This Row],[Fin]])-MIN(fin_nuit-1,H_Oct[[#This Row],[début]]),0))*24)</f>
        <v>0</v>
      </c>
      <c r="P36" s="51">
        <f>(MAX(0,MIN(H_Oct[[#This Row],[Fin corrigée si nuit]],fin_nuit)-MAX(H_Oct[[#This Row],[début]],deb_nuit))-IF(H_Oct[[#This Row],[PNP Début]]=0,0,MIN(H_Oct[[#This Row],[PNP Fin corrigée]],fin_nuit)-MAX(H_Oct[[#This Row],[PNP Début corrigé]],deb_nuit)))*24</f>
        <v>0</v>
      </c>
      <c r="Q36" s="51">
        <f>(IF(WEEKDAY(H_Oct[[#This Row],[Date]],2)=7,MAX(0,MIN(fin_dimJF,H_Oct[[#This Row],[Fin corrigée si nuit]])-MAX(deb_dimJF,H_Oct[[#This Row],[début]])),0)+IF(WEEKDAY(H_Oct[[#This Row],[Date]],2)=6,MAX(0,H_Oct[[#This Row],[Fin corrigée si nuit]]-(1+deb_dimJF)),0))*24</f>
        <v>0</v>
      </c>
      <c r="R36"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6" s="51">
        <f>(IF(COUNTIF(JF,H_Oct[[#This Row],[Date]]),MAX(0,MIN(fin_dimJF,H_Oct[[#This Row],[Fin corrigée si nuit]])-MAX(deb_dimJF,H_Oct[[#This Row],[début]])),0)+IF(COUNTIF(JF,H_Oct[[#This Row],[Date]]+1),MAX(0,H_Oct[[#This Row],[Fin corrigée si nuit]]-(1+deb_dimJF)),0))*24</f>
        <v>0</v>
      </c>
      <c r="T36"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7" spans="1:20" x14ac:dyDescent="0.3">
      <c r="A37" s="4"/>
      <c r="B37" s="1"/>
      <c r="C37" s="2"/>
      <c r="D37" s="2"/>
      <c r="E37" s="3"/>
      <c r="F37" s="3"/>
      <c r="G37" s="3"/>
      <c r="H37" s="3"/>
      <c r="I37" s="47">
        <f>0.1*(H_Oct[[#This Row],[Heures de nuit]]+IF(H_Oct[[#This Row],[majoration dim &amp; JF]]="non",0,H_Oct[[#This Row],[heures jour dimanche]]+H_Oct[[#This Row],[heures jour fériés]]))</f>
        <v>0</v>
      </c>
      <c r="J37" s="48">
        <f>(MOD(H_Oct[[#This Row],[Fin]]-H_Oct[[#This Row],[début]],1)-MOD(H_Oct[[#This Row],[PNP Fin]]-H_Oct[[#This Row],[PNP Début]],1))*24</f>
        <v>0</v>
      </c>
      <c r="K37" s="119" t="str">
        <f>IFERROR(VLOOKUP(H_Oct[[#This Row],[Service]],Codes[],4,0),"")</f>
        <v/>
      </c>
      <c r="L37" s="49">
        <f>IF(H_Oct[[#This Row],[PNP Début]]=0,0,IF(H_Oct[[#This Row],[PNP Début]]&lt;H_Oct[[#This Row],[début]],1,0)+H_Oct[[#This Row],[PNP Début]])</f>
        <v>0</v>
      </c>
      <c r="M37" s="50">
        <f>IF(H_Oct[[#This Row],[PNP Fin]]=0,0,IF(H_Oct[[#This Row],[PNP Fin]]&lt;H_Oct[[#This Row],[début]],1,0)+H_Oct[[#This Row],[PNP Fin]])</f>
        <v>0</v>
      </c>
      <c r="N37" s="50">
        <f>IF(H_Oct[[#This Row],[Fin]]&lt;H_Oct[[#This Row],[début]],1,0)+H_Oct[[#This Row],[Fin]]</f>
        <v>0</v>
      </c>
      <c r="O37" s="31">
        <f>IF(H_Oct[[#This Row],[Fin]]&lt;H_Oct[[#This Row],[début]],MAX(0,MIN(H_Oct[[#This Row],[Fin corrigée si nuit]],fin_nuit)-MAX(H_Oct[[#This Row],[début]],deb_nuit))*24,(MAX(deb_nuit,H_Oct[[#This Row],[Fin]])-MAX(deb_nuit,H_Oct[[#This Row],[début]])+MAX(MIN(fin_nuit-1,H_Oct[[#This Row],[Fin]])-MIN(fin_nuit-1,H_Oct[[#This Row],[début]]),0))*24)</f>
        <v>0</v>
      </c>
      <c r="P37" s="51">
        <f>(MAX(0,MIN(H_Oct[[#This Row],[Fin corrigée si nuit]],fin_nuit)-MAX(H_Oct[[#This Row],[début]],deb_nuit))-IF(H_Oct[[#This Row],[PNP Début]]=0,0,MIN(H_Oct[[#This Row],[PNP Fin corrigée]],fin_nuit)-MAX(H_Oct[[#This Row],[PNP Début corrigé]],deb_nuit)))*24</f>
        <v>0</v>
      </c>
      <c r="Q37" s="51">
        <f>(IF(WEEKDAY(H_Oct[[#This Row],[Date]],2)=7,MAX(0,MIN(fin_dimJF,H_Oct[[#This Row],[Fin corrigée si nuit]])-MAX(deb_dimJF,H_Oct[[#This Row],[début]])),0)+IF(WEEKDAY(H_Oct[[#This Row],[Date]],2)=6,MAX(0,H_Oct[[#This Row],[Fin corrigée si nuit]]-(1+deb_dimJF)),0))*24</f>
        <v>0</v>
      </c>
      <c r="R37"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7" s="51">
        <f>(IF(COUNTIF(JF,H_Oct[[#This Row],[Date]]),MAX(0,MIN(fin_dimJF,H_Oct[[#This Row],[Fin corrigée si nuit]])-MAX(deb_dimJF,H_Oct[[#This Row],[début]])),0)+IF(COUNTIF(JF,H_Oct[[#This Row],[Date]]+1),MAX(0,H_Oct[[#This Row],[Fin corrigée si nuit]]-(1+deb_dimJF)),0))*24</f>
        <v>0</v>
      </c>
      <c r="T37"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8" spans="1:20" x14ac:dyDescent="0.3">
      <c r="A38" s="4"/>
      <c r="B38" s="1"/>
      <c r="C38" s="2"/>
      <c r="D38" s="2"/>
      <c r="E38" s="3"/>
      <c r="F38" s="3"/>
      <c r="G38" s="3"/>
      <c r="H38" s="3"/>
      <c r="I38" s="47">
        <f>0.1*(H_Oct[[#This Row],[Heures de nuit]]+IF(H_Oct[[#This Row],[majoration dim &amp; JF]]="non",0,H_Oct[[#This Row],[heures jour dimanche]]+H_Oct[[#This Row],[heures jour fériés]]))</f>
        <v>0</v>
      </c>
      <c r="J38" s="48">
        <f>(MOD(H_Oct[[#This Row],[Fin]]-H_Oct[[#This Row],[début]],1)-MOD(H_Oct[[#This Row],[PNP Fin]]-H_Oct[[#This Row],[PNP Début]],1))*24</f>
        <v>0</v>
      </c>
      <c r="K38" s="119" t="str">
        <f>IFERROR(VLOOKUP(H_Oct[[#This Row],[Service]],Codes[],4,0),"")</f>
        <v/>
      </c>
      <c r="L38" s="49">
        <f>IF(H_Oct[[#This Row],[PNP Début]]=0,0,IF(H_Oct[[#This Row],[PNP Début]]&lt;H_Oct[[#This Row],[début]],1,0)+H_Oct[[#This Row],[PNP Début]])</f>
        <v>0</v>
      </c>
      <c r="M38" s="50">
        <f>IF(H_Oct[[#This Row],[PNP Fin]]=0,0,IF(H_Oct[[#This Row],[PNP Fin]]&lt;H_Oct[[#This Row],[début]],1,0)+H_Oct[[#This Row],[PNP Fin]])</f>
        <v>0</v>
      </c>
      <c r="N38" s="50">
        <f>IF(H_Oct[[#This Row],[Fin]]&lt;H_Oct[[#This Row],[début]],1,0)+H_Oct[[#This Row],[Fin]]</f>
        <v>0</v>
      </c>
      <c r="O38" s="31">
        <f>IF(H_Oct[[#This Row],[Fin]]&lt;H_Oct[[#This Row],[début]],MAX(0,MIN(H_Oct[[#This Row],[Fin corrigée si nuit]],fin_nuit)-MAX(H_Oct[[#This Row],[début]],deb_nuit))*24,(MAX(deb_nuit,H_Oct[[#This Row],[Fin]])-MAX(deb_nuit,H_Oct[[#This Row],[début]])+MAX(MIN(fin_nuit-1,H_Oct[[#This Row],[Fin]])-MIN(fin_nuit-1,H_Oct[[#This Row],[début]]),0))*24)</f>
        <v>0</v>
      </c>
      <c r="P38" s="51">
        <f>(MAX(0,MIN(H_Oct[[#This Row],[Fin corrigée si nuit]],fin_nuit)-MAX(H_Oct[[#This Row],[début]],deb_nuit))-IF(H_Oct[[#This Row],[PNP Début]]=0,0,MIN(H_Oct[[#This Row],[PNP Fin corrigée]],fin_nuit)-MAX(H_Oct[[#This Row],[PNP Début corrigé]],deb_nuit)))*24</f>
        <v>0</v>
      </c>
      <c r="Q38" s="51">
        <f>(IF(WEEKDAY(H_Oct[[#This Row],[Date]],2)=7,MAX(0,MIN(fin_dimJF,H_Oct[[#This Row],[Fin corrigée si nuit]])-MAX(deb_dimJF,H_Oct[[#This Row],[début]])),0)+IF(WEEKDAY(H_Oct[[#This Row],[Date]],2)=6,MAX(0,H_Oct[[#This Row],[Fin corrigée si nuit]]-(1+deb_dimJF)),0))*24</f>
        <v>0</v>
      </c>
      <c r="R38"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8" s="51">
        <f>(IF(COUNTIF(JF,H_Oct[[#This Row],[Date]]),MAX(0,MIN(fin_dimJF,H_Oct[[#This Row],[Fin corrigée si nuit]])-MAX(deb_dimJF,H_Oct[[#This Row],[début]])),0)+IF(COUNTIF(JF,H_Oct[[#This Row],[Date]]+1),MAX(0,H_Oct[[#This Row],[Fin corrigée si nuit]]-(1+deb_dimJF)),0))*24</f>
        <v>0</v>
      </c>
      <c r="T38"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39" spans="1:20" x14ac:dyDescent="0.3">
      <c r="A39" s="4"/>
      <c r="B39" s="1"/>
      <c r="C39" s="2"/>
      <c r="D39" s="2"/>
      <c r="E39" s="3"/>
      <c r="F39" s="3"/>
      <c r="G39" s="3"/>
      <c r="H39" s="3"/>
      <c r="I39" s="47">
        <f>0.1*(H_Oct[[#This Row],[Heures de nuit]]+IF(H_Oct[[#This Row],[majoration dim &amp; JF]]="non",0,H_Oct[[#This Row],[heures jour dimanche]]+H_Oct[[#This Row],[heures jour fériés]]))</f>
        <v>0</v>
      </c>
      <c r="J39" s="48">
        <f>(MOD(H_Oct[[#This Row],[Fin]]-H_Oct[[#This Row],[début]],1)-MOD(H_Oct[[#This Row],[PNP Fin]]-H_Oct[[#This Row],[PNP Début]],1))*24</f>
        <v>0</v>
      </c>
      <c r="K39" s="119" t="str">
        <f>IFERROR(VLOOKUP(H_Oct[[#This Row],[Service]],Codes[],4,0),"")</f>
        <v/>
      </c>
      <c r="L39" s="49">
        <f>IF(H_Oct[[#This Row],[PNP Début]]=0,0,IF(H_Oct[[#This Row],[PNP Début]]&lt;H_Oct[[#This Row],[début]],1,0)+H_Oct[[#This Row],[PNP Début]])</f>
        <v>0</v>
      </c>
      <c r="M39" s="50">
        <f>IF(H_Oct[[#This Row],[PNP Fin]]=0,0,IF(H_Oct[[#This Row],[PNP Fin]]&lt;H_Oct[[#This Row],[début]],1,0)+H_Oct[[#This Row],[PNP Fin]])</f>
        <v>0</v>
      </c>
      <c r="N39" s="50">
        <f>IF(H_Oct[[#This Row],[Fin]]&lt;H_Oct[[#This Row],[début]],1,0)+H_Oct[[#This Row],[Fin]]</f>
        <v>0</v>
      </c>
      <c r="O39" s="31">
        <f>IF(H_Oct[[#This Row],[Fin]]&lt;H_Oct[[#This Row],[début]],MAX(0,MIN(H_Oct[[#This Row],[Fin corrigée si nuit]],fin_nuit)-MAX(H_Oct[[#This Row],[début]],deb_nuit))*24,(MAX(deb_nuit,H_Oct[[#This Row],[Fin]])-MAX(deb_nuit,H_Oct[[#This Row],[début]])+MAX(MIN(fin_nuit-1,H_Oct[[#This Row],[Fin]])-MIN(fin_nuit-1,H_Oct[[#This Row],[début]]),0))*24)</f>
        <v>0</v>
      </c>
      <c r="P39" s="51">
        <f>(MAX(0,MIN(H_Oct[[#This Row],[Fin corrigée si nuit]],fin_nuit)-MAX(H_Oct[[#This Row],[début]],deb_nuit))-IF(H_Oct[[#This Row],[PNP Début]]=0,0,MIN(H_Oct[[#This Row],[PNP Fin corrigée]],fin_nuit)-MAX(H_Oct[[#This Row],[PNP Début corrigé]],deb_nuit)))*24</f>
        <v>0</v>
      </c>
      <c r="Q39" s="51">
        <f>(IF(WEEKDAY(H_Oct[[#This Row],[Date]],2)=7,MAX(0,MIN(fin_dimJF,H_Oct[[#This Row],[Fin corrigée si nuit]])-MAX(deb_dimJF,H_Oct[[#This Row],[début]])),0)+IF(WEEKDAY(H_Oct[[#This Row],[Date]],2)=6,MAX(0,H_Oct[[#This Row],[Fin corrigée si nuit]]-(1+deb_dimJF)),0))*24</f>
        <v>0</v>
      </c>
      <c r="R39"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39" s="51">
        <f>(IF(COUNTIF(JF,H_Oct[[#This Row],[Date]]),MAX(0,MIN(fin_dimJF,H_Oct[[#This Row],[Fin corrigée si nuit]])-MAX(deb_dimJF,H_Oct[[#This Row],[début]])),0)+IF(COUNTIF(JF,H_Oct[[#This Row],[Date]]+1),MAX(0,H_Oct[[#This Row],[Fin corrigée si nuit]]-(1+deb_dimJF)),0))*24</f>
        <v>0</v>
      </c>
      <c r="T39"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0" spans="1:20" x14ac:dyDescent="0.3">
      <c r="A40" s="4"/>
      <c r="B40" s="1"/>
      <c r="C40" s="2"/>
      <c r="D40" s="2"/>
      <c r="E40" s="3"/>
      <c r="F40" s="3"/>
      <c r="G40" s="3"/>
      <c r="H40" s="3"/>
      <c r="I40" s="47">
        <f>0.1*(H_Oct[[#This Row],[Heures de nuit]]+IF(H_Oct[[#This Row],[majoration dim &amp; JF]]="non",0,H_Oct[[#This Row],[heures jour dimanche]]+H_Oct[[#This Row],[heures jour fériés]]))</f>
        <v>0</v>
      </c>
      <c r="J40" s="48">
        <f>(MOD(H_Oct[[#This Row],[Fin]]-H_Oct[[#This Row],[début]],1)-MOD(H_Oct[[#This Row],[PNP Fin]]-H_Oct[[#This Row],[PNP Début]],1))*24</f>
        <v>0</v>
      </c>
      <c r="K40" s="119" t="str">
        <f>IFERROR(VLOOKUP(H_Oct[[#This Row],[Service]],Codes[],4,0),"")</f>
        <v/>
      </c>
      <c r="L40" s="49">
        <f>IF(H_Oct[[#This Row],[PNP Début]]=0,0,IF(H_Oct[[#This Row],[PNP Début]]&lt;H_Oct[[#This Row],[début]],1,0)+H_Oct[[#This Row],[PNP Début]])</f>
        <v>0</v>
      </c>
      <c r="M40" s="50">
        <f>IF(H_Oct[[#This Row],[PNP Fin]]=0,0,IF(H_Oct[[#This Row],[PNP Fin]]&lt;H_Oct[[#This Row],[début]],1,0)+H_Oct[[#This Row],[PNP Fin]])</f>
        <v>0</v>
      </c>
      <c r="N40" s="50">
        <f>IF(H_Oct[[#This Row],[Fin]]&lt;H_Oct[[#This Row],[début]],1,0)+H_Oct[[#This Row],[Fin]]</f>
        <v>0</v>
      </c>
      <c r="O40" s="31">
        <f>IF(H_Oct[[#This Row],[Fin]]&lt;H_Oct[[#This Row],[début]],MAX(0,MIN(H_Oct[[#This Row],[Fin corrigée si nuit]],fin_nuit)-MAX(H_Oct[[#This Row],[début]],deb_nuit))*24,(MAX(deb_nuit,H_Oct[[#This Row],[Fin]])-MAX(deb_nuit,H_Oct[[#This Row],[début]])+MAX(MIN(fin_nuit-1,H_Oct[[#This Row],[Fin]])-MIN(fin_nuit-1,H_Oct[[#This Row],[début]]),0))*24)</f>
        <v>0</v>
      </c>
      <c r="P40" s="51">
        <f>(MAX(0,MIN(H_Oct[[#This Row],[Fin corrigée si nuit]],fin_nuit)-MAX(H_Oct[[#This Row],[début]],deb_nuit))-IF(H_Oct[[#This Row],[PNP Début]]=0,0,MIN(H_Oct[[#This Row],[PNP Fin corrigée]],fin_nuit)-MAX(H_Oct[[#This Row],[PNP Début corrigé]],deb_nuit)))*24</f>
        <v>0</v>
      </c>
      <c r="Q40" s="51">
        <f>(IF(WEEKDAY(H_Oct[[#This Row],[Date]],2)=7,MAX(0,MIN(fin_dimJF,H_Oct[[#This Row],[Fin corrigée si nuit]])-MAX(deb_dimJF,H_Oct[[#This Row],[début]])),0)+IF(WEEKDAY(H_Oct[[#This Row],[Date]],2)=6,MAX(0,H_Oct[[#This Row],[Fin corrigée si nuit]]-(1+deb_dimJF)),0))*24</f>
        <v>0</v>
      </c>
      <c r="R40"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0" s="51">
        <f>(IF(COUNTIF(JF,H_Oct[[#This Row],[Date]]),MAX(0,MIN(fin_dimJF,H_Oct[[#This Row],[Fin corrigée si nuit]])-MAX(deb_dimJF,H_Oct[[#This Row],[début]])),0)+IF(COUNTIF(JF,H_Oct[[#This Row],[Date]]+1),MAX(0,H_Oct[[#This Row],[Fin corrigée si nuit]]-(1+deb_dimJF)),0))*24</f>
        <v>0</v>
      </c>
      <c r="T40"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1" spans="1:20" x14ac:dyDescent="0.3">
      <c r="A41" s="4"/>
      <c r="B41" s="1"/>
      <c r="C41" s="2"/>
      <c r="D41" s="2"/>
      <c r="E41" s="3"/>
      <c r="F41" s="3"/>
      <c r="G41" s="3"/>
      <c r="H41" s="3"/>
      <c r="I41" s="47">
        <f>0.1*(H_Oct[[#This Row],[Heures de nuit]]+IF(H_Oct[[#This Row],[majoration dim &amp; JF]]="non",0,H_Oct[[#This Row],[heures jour dimanche]]+H_Oct[[#This Row],[heures jour fériés]]))</f>
        <v>0</v>
      </c>
      <c r="J41" s="48">
        <f>(MOD(H_Oct[[#This Row],[Fin]]-H_Oct[[#This Row],[début]],1)-MOD(H_Oct[[#This Row],[PNP Fin]]-H_Oct[[#This Row],[PNP Début]],1))*24</f>
        <v>0</v>
      </c>
      <c r="K41" s="119" t="str">
        <f>IFERROR(VLOOKUP(H_Oct[[#This Row],[Service]],Codes[],4,0),"")</f>
        <v/>
      </c>
      <c r="L41" s="49">
        <f>IF(H_Oct[[#This Row],[PNP Début]]=0,0,IF(H_Oct[[#This Row],[PNP Début]]&lt;H_Oct[[#This Row],[début]],1,0)+H_Oct[[#This Row],[PNP Début]])</f>
        <v>0</v>
      </c>
      <c r="M41" s="50">
        <f>IF(H_Oct[[#This Row],[PNP Fin]]=0,0,IF(H_Oct[[#This Row],[PNP Fin]]&lt;H_Oct[[#This Row],[début]],1,0)+H_Oct[[#This Row],[PNP Fin]])</f>
        <v>0</v>
      </c>
      <c r="N41" s="50">
        <f>IF(H_Oct[[#This Row],[Fin]]&lt;H_Oct[[#This Row],[début]],1,0)+H_Oct[[#This Row],[Fin]]</f>
        <v>0</v>
      </c>
      <c r="O41" s="31">
        <f>IF(H_Oct[[#This Row],[Fin]]&lt;H_Oct[[#This Row],[début]],MAX(0,MIN(H_Oct[[#This Row],[Fin corrigée si nuit]],fin_nuit)-MAX(H_Oct[[#This Row],[début]],deb_nuit))*24,(MAX(deb_nuit,H_Oct[[#This Row],[Fin]])-MAX(deb_nuit,H_Oct[[#This Row],[début]])+MAX(MIN(fin_nuit-1,H_Oct[[#This Row],[Fin]])-MIN(fin_nuit-1,H_Oct[[#This Row],[début]]),0))*24)</f>
        <v>0</v>
      </c>
      <c r="P41" s="51">
        <f>(MAX(0,MIN(H_Oct[[#This Row],[Fin corrigée si nuit]],fin_nuit)-MAX(H_Oct[[#This Row],[début]],deb_nuit))-IF(H_Oct[[#This Row],[PNP Début]]=0,0,MIN(H_Oct[[#This Row],[PNP Fin corrigée]],fin_nuit)-MAX(H_Oct[[#This Row],[PNP Début corrigé]],deb_nuit)))*24</f>
        <v>0</v>
      </c>
      <c r="Q41" s="51">
        <f>(IF(WEEKDAY(H_Oct[[#This Row],[Date]],2)=7,MAX(0,MIN(fin_dimJF,H_Oct[[#This Row],[Fin corrigée si nuit]])-MAX(deb_dimJF,H_Oct[[#This Row],[début]])),0)+IF(WEEKDAY(H_Oct[[#This Row],[Date]],2)=6,MAX(0,H_Oct[[#This Row],[Fin corrigée si nuit]]-(1+deb_dimJF)),0))*24</f>
        <v>0</v>
      </c>
      <c r="R41"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1" s="51">
        <f>(IF(COUNTIF(JF,H_Oct[[#This Row],[Date]]),MAX(0,MIN(fin_dimJF,H_Oct[[#This Row],[Fin corrigée si nuit]])-MAX(deb_dimJF,H_Oct[[#This Row],[début]])),0)+IF(COUNTIF(JF,H_Oct[[#This Row],[Date]]+1),MAX(0,H_Oct[[#This Row],[Fin corrigée si nuit]]-(1+deb_dimJF)),0))*24</f>
        <v>0</v>
      </c>
      <c r="T41"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2" spans="1:20" x14ac:dyDescent="0.3">
      <c r="A42" s="4"/>
      <c r="B42" s="1"/>
      <c r="C42" s="2"/>
      <c r="D42" s="2"/>
      <c r="E42" s="3"/>
      <c r="F42" s="3"/>
      <c r="G42" s="3"/>
      <c r="H42" s="3"/>
      <c r="I42" s="47">
        <f>0.1*(H_Oct[[#This Row],[Heures de nuit]]+IF(H_Oct[[#This Row],[majoration dim &amp; JF]]="non",0,H_Oct[[#This Row],[heures jour dimanche]]+H_Oct[[#This Row],[heures jour fériés]]))</f>
        <v>0</v>
      </c>
      <c r="J42" s="48">
        <f>(MOD(H_Oct[[#This Row],[Fin]]-H_Oct[[#This Row],[début]],1)-MOD(H_Oct[[#This Row],[PNP Fin]]-H_Oct[[#This Row],[PNP Début]],1))*24</f>
        <v>0</v>
      </c>
      <c r="K42" s="119" t="str">
        <f>IFERROR(VLOOKUP(H_Oct[[#This Row],[Service]],Codes[],4,0),"")</f>
        <v/>
      </c>
      <c r="L42" s="49">
        <f>IF(H_Oct[[#This Row],[PNP Début]]=0,0,IF(H_Oct[[#This Row],[PNP Début]]&lt;H_Oct[[#This Row],[début]],1,0)+H_Oct[[#This Row],[PNP Début]])</f>
        <v>0</v>
      </c>
      <c r="M42" s="50">
        <f>IF(H_Oct[[#This Row],[PNP Fin]]=0,0,IF(H_Oct[[#This Row],[PNP Fin]]&lt;H_Oct[[#This Row],[début]],1,0)+H_Oct[[#This Row],[PNP Fin]])</f>
        <v>0</v>
      </c>
      <c r="N42" s="50">
        <f>IF(H_Oct[[#This Row],[Fin]]&lt;H_Oct[[#This Row],[début]],1,0)+H_Oct[[#This Row],[Fin]]</f>
        <v>0</v>
      </c>
      <c r="O42" s="31">
        <f>IF(H_Oct[[#This Row],[Fin]]&lt;H_Oct[[#This Row],[début]],MAX(0,MIN(H_Oct[[#This Row],[Fin corrigée si nuit]],fin_nuit)-MAX(H_Oct[[#This Row],[début]],deb_nuit))*24,(MAX(deb_nuit,H_Oct[[#This Row],[Fin]])-MAX(deb_nuit,H_Oct[[#This Row],[début]])+MAX(MIN(fin_nuit-1,H_Oct[[#This Row],[Fin]])-MIN(fin_nuit-1,H_Oct[[#This Row],[début]]),0))*24)</f>
        <v>0</v>
      </c>
      <c r="P42" s="51">
        <f>(MAX(0,MIN(H_Oct[[#This Row],[Fin corrigée si nuit]],fin_nuit)-MAX(H_Oct[[#This Row],[début]],deb_nuit))-IF(H_Oct[[#This Row],[PNP Début]]=0,0,MIN(H_Oct[[#This Row],[PNP Fin corrigée]],fin_nuit)-MAX(H_Oct[[#This Row],[PNP Début corrigé]],deb_nuit)))*24</f>
        <v>0</v>
      </c>
      <c r="Q42" s="51">
        <f>(IF(WEEKDAY(H_Oct[[#This Row],[Date]],2)=7,MAX(0,MIN(fin_dimJF,H_Oct[[#This Row],[Fin corrigée si nuit]])-MAX(deb_dimJF,H_Oct[[#This Row],[début]])),0)+IF(WEEKDAY(H_Oct[[#This Row],[Date]],2)=6,MAX(0,H_Oct[[#This Row],[Fin corrigée si nuit]]-(1+deb_dimJF)),0))*24</f>
        <v>0</v>
      </c>
      <c r="R42"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2" s="51">
        <f>(IF(COUNTIF(JF,H_Oct[[#This Row],[Date]]),MAX(0,MIN(fin_dimJF,H_Oct[[#This Row],[Fin corrigée si nuit]])-MAX(deb_dimJF,H_Oct[[#This Row],[début]])),0)+IF(COUNTIF(JF,H_Oct[[#This Row],[Date]]+1),MAX(0,H_Oct[[#This Row],[Fin corrigée si nuit]]-(1+deb_dimJF)),0))*24</f>
        <v>0</v>
      </c>
      <c r="T42"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3" spans="1:20" x14ac:dyDescent="0.3">
      <c r="A43" s="4"/>
      <c r="B43" s="1"/>
      <c r="C43" s="2"/>
      <c r="D43" s="2"/>
      <c r="E43" s="3"/>
      <c r="F43" s="3"/>
      <c r="G43" s="3"/>
      <c r="H43" s="3"/>
      <c r="I43" s="47">
        <f>0.1*(H_Oct[[#This Row],[Heures de nuit]]+IF(H_Oct[[#This Row],[majoration dim &amp; JF]]="non",0,H_Oct[[#This Row],[heures jour dimanche]]+H_Oct[[#This Row],[heures jour fériés]]))</f>
        <v>0</v>
      </c>
      <c r="J43" s="48">
        <f>(MOD(H_Oct[[#This Row],[Fin]]-H_Oct[[#This Row],[début]],1)-MOD(H_Oct[[#This Row],[PNP Fin]]-H_Oct[[#This Row],[PNP Début]],1))*24</f>
        <v>0</v>
      </c>
      <c r="K43" s="119" t="str">
        <f>IFERROR(VLOOKUP(H_Oct[[#This Row],[Service]],Codes[],4,0),"")</f>
        <v/>
      </c>
      <c r="L43" s="49">
        <f>IF(H_Oct[[#This Row],[PNP Début]]=0,0,IF(H_Oct[[#This Row],[PNP Début]]&lt;H_Oct[[#This Row],[début]],1,0)+H_Oct[[#This Row],[PNP Début]])</f>
        <v>0</v>
      </c>
      <c r="M43" s="50">
        <f>IF(H_Oct[[#This Row],[PNP Fin]]=0,0,IF(H_Oct[[#This Row],[PNP Fin]]&lt;H_Oct[[#This Row],[début]],1,0)+H_Oct[[#This Row],[PNP Fin]])</f>
        <v>0</v>
      </c>
      <c r="N43" s="50">
        <f>IF(H_Oct[[#This Row],[Fin]]&lt;H_Oct[[#This Row],[début]],1,0)+H_Oct[[#This Row],[Fin]]</f>
        <v>0</v>
      </c>
      <c r="O43" s="31">
        <f>IF(H_Oct[[#This Row],[Fin]]&lt;H_Oct[[#This Row],[début]],MAX(0,MIN(H_Oct[[#This Row],[Fin corrigée si nuit]],fin_nuit)-MAX(H_Oct[[#This Row],[début]],deb_nuit))*24,(MAX(deb_nuit,H_Oct[[#This Row],[Fin]])-MAX(deb_nuit,H_Oct[[#This Row],[début]])+MAX(MIN(fin_nuit-1,H_Oct[[#This Row],[Fin]])-MIN(fin_nuit-1,H_Oct[[#This Row],[début]]),0))*24)</f>
        <v>0</v>
      </c>
      <c r="P43" s="51">
        <f>(MAX(0,MIN(H_Oct[[#This Row],[Fin corrigée si nuit]],fin_nuit)-MAX(H_Oct[[#This Row],[début]],deb_nuit))-IF(H_Oct[[#This Row],[PNP Début]]=0,0,MIN(H_Oct[[#This Row],[PNP Fin corrigée]],fin_nuit)-MAX(H_Oct[[#This Row],[PNP Début corrigé]],deb_nuit)))*24</f>
        <v>0</v>
      </c>
      <c r="Q43" s="51">
        <f>(IF(WEEKDAY(H_Oct[[#This Row],[Date]],2)=7,MAX(0,MIN(fin_dimJF,H_Oct[[#This Row],[Fin corrigée si nuit]])-MAX(deb_dimJF,H_Oct[[#This Row],[début]])),0)+IF(WEEKDAY(H_Oct[[#This Row],[Date]],2)=6,MAX(0,H_Oct[[#This Row],[Fin corrigée si nuit]]-(1+deb_dimJF)),0))*24</f>
        <v>0</v>
      </c>
      <c r="R43"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3" s="51">
        <f>(IF(COUNTIF(JF,H_Oct[[#This Row],[Date]]),MAX(0,MIN(fin_dimJF,H_Oct[[#This Row],[Fin corrigée si nuit]])-MAX(deb_dimJF,H_Oct[[#This Row],[début]])),0)+IF(COUNTIF(JF,H_Oct[[#This Row],[Date]]+1),MAX(0,H_Oct[[#This Row],[Fin corrigée si nuit]]-(1+deb_dimJF)),0))*24</f>
        <v>0</v>
      </c>
      <c r="T43"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4" spans="1:20" x14ac:dyDescent="0.3">
      <c r="A44" s="4"/>
      <c r="B44" s="1"/>
      <c r="C44" s="2"/>
      <c r="D44" s="2"/>
      <c r="E44" s="3"/>
      <c r="F44" s="3"/>
      <c r="G44" s="3"/>
      <c r="H44" s="3"/>
      <c r="I44" s="47">
        <f>0.1*(H_Oct[[#This Row],[Heures de nuit]]+IF(H_Oct[[#This Row],[majoration dim &amp; JF]]="non",0,H_Oct[[#This Row],[heures jour dimanche]]+H_Oct[[#This Row],[heures jour fériés]]))</f>
        <v>0</v>
      </c>
      <c r="J44" s="48">
        <f>(MOD(H_Oct[[#This Row],[Fin]]-H_Oct[[#This Row],[début]],1)-MOD(H_Oct[[#This Row],[PNP Fin]]-H_Oct[[#This Row],[PNP Début]],1))*24</f>
        <v>0</v>
      </c>
      <c r="K44" s="119" t="str">
        <f>IFERROR(VLOOKUP(H_Oct[[#This Row],[Service]],Codes[],4,0),"")</f>
        <v/>
      </c>
      <c r="L44" s="49">
        <f>IF(H_Oct[[#This Row],[PNP Début]]=0,0,IF(H_Oct[[#This Row],[PNP Début]]&lt;H_Oct[[#This Row],[début]],1,0)+H_Oct[[#This Row],[PNP Début]])</f>
        <v>0</v>
      </c>
      <c r="M44" s="50">
        <f>IF(H_Oct[[#This Row],[PNP Fin]]=0,0,IF(H_Oct[[#This Row],[PNP Fin]]&lt;H_Oct[[#This Row],[début]],1,0)+H_Oct[[#This Row],[PNP Fin]])</f>
        <v>0</v>
      </c>
      <c r="N44" s="50">
        <f>IF(H_Oct[[#This Row],[Fin]]&lt;H_Oct[[#This Row],[début]],1,0)+H_Oct[[#This Row],[Fin]]</f>
        <v>0</v>
      </c>
      <c r="O44" s="31">
        <f>IF(H_Oct[[#This Row],[Fin]]&lt;H_Oct[[#This Row],[début]],MAX(0,MIN(H_Oct[[#This Row],[Fin corrigée si nuit]],fin_nuit)-MAX(H_Oct[[#This Row],[début]],deb_nuit))*24,(MAX(deb_nuit,H_Oct[[#This Row],[Fin]])-MAX(deb_nuit,H_Oct[[#This Row],[début]])+MAX(MIN(fin_nuit-1,H_Oct[[#This Row],[Fin]])-MIN(fin_nuit-1,H_Oct[[#This Row],[début]]),0))*24)</f>
        <v>0</v>
      </c>
      <c r="P44" s="51">
        <f>(MAX(0,MIN(H_Oct[[#This Row],[Fin corrigée si nuit]],fin_nuit)-MAX(H_Oct[[#This Row],[début]],deb_nuit))-IF(H_Oct[[#This Row],[PNP Début]]=0,0,MIN(H_Oct[[#This Row],[PNP Fin corrigée]],fin_nuit)-MAX(H_Oct[[#This Row],[PNP Début corrigé]],deb_nuit)))*24</f>
        <v>0</v>
      </c>
      <c r="Q44" s="51">
        <f>(IF(WEEKDAY(H_Oct[[#This Row],[Date]],2)=7,MAX(0,MIN(fin_dimJF,H_Oct[[#This Row],[Fin corrigée si nuit]])-MAX(deb_dimJF,H_Oct[[#This Row],[début]])),0)+IF(WEEKDAY(H_Oct[[#This Row],[Date]],2)=6,MAX(0,H_Oct[[#This Row],[Fin corrigée si nuit]]-(1+deb_dimJF)),0))*24</f>
        <v>0</v>
      </c>
      <c r="R44"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4" s="51">
        <f>(IF(COUNTIF(JF,H_Oct[[#This Row],[Date]]),MAX(0,MIN(fin_dimJF,H_Oct[[#This Row],[Fin corrigée si nuit]])-MAX(deb_dimJF,H_Oct[[#This Row],[début]])),0)+IF(COUNTIF(JF,H_Oct[[#This Row],[Date]]+1),MAX(0,H_Oct[[#This Row],[Fin corrigée si nuit]]-(1+deb_dimJF)),0))*24</f>
        <v>0</v>
      </c>
      <c r="T44"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5" spans="1:20" x14ac:dyDescent="0.3">
      <c r="A45" s="4"/>
      <c r="B45" s="1"/>
      <c r="C45" s="2"/>
      <c r="D45" s="2"/>
      <c r="E45" s="3"/>
      <c r="F45" s="3"/>
      <c r="G45" s="3"/>
      <c r="H45" s="3"/>
      <c r="I45" s="47">
        <f>0.1*(H_Oct[[#This Row],[Heures de nuit]]+IF(H_Oct[[#This Row],[majoration dim &amp; JF]]="non",0,H_Oct[[#This Row],[heures jour dimanche]]+H_Oct[[#This Row],[heures jour fériés]]))</f>
        <v>0</v>
      </c>
      <c r="J45" s="48">
        <f>(MOD(H_Oct[[#This Row],[Fin]]-H_Oct[[#This Row],[début]],1)-MOD(H_Oct[[#This Row],[PNP Fin]]-H_Oct[[#This Row],[PNP Début]],1))*24</f>
        <v>0</v>
      </c>
      <c r="K45" s="119" t="str">
        <f>IFERROR(VLOOKUP(H_Oct[[#This Row],[Service]],Codes[],4,0),"")</f>
        <v/>
      </c>
      <c r="L45" s="49">
        <f>IF(H_Oct[[#This Row],[PNP Début]]=0,0,IF(H_Oct[[#This Row],[PNP Début]]&lt;H_Oct[[#This Row],[début]],1,0)+H_Oct[[#This Row],[PNP Début]])</f>
        <v>0</v>
      </c>
      <c r="M45" s="50">
        <f>IF(H_Oct[[#This Row],[PNP Fin]]=0,0,IF(H_Oct[[#This Row],[PNP Fin]]&lt;H_Oct[[#This Row],[début]],1,0)+H_Oct[[#This Row],[PNP Fin]])</f>
        <v>0</v>
      </c>
      <c r="N45" s="50">
        <f>IF(H_Oct[[#This Row],[Fin]]&lt;H_Oct[[#This Row],[début]],1,0)+H_Oct[[#This Row],[Fin]]</f>
        <v>0</v>
      </c>
      <c r="O45" s="31">
        <f>IF(H_Oct[[#This Row],[Fin]]&lt;H_Oct[[#This Row],[début]],MAX(0,MIN(H_Oct[[#This Row],[Fin corrigée si nuit]],fin_nuit)-MAX(H_Oct[[#This Row],[début]],deb_nuit))*24,(MAX(deb_nuit,H_Oct[[#This Row],[Fin]])-MAX(deb_nuit,H_Oct[[#This Row],[début]])+MAX(MIN(fin_nuit-1,H_Oct[[#This Row],[Fin]])-MIN(fin_nuit-1,H_Oct[[#This Row],[début]]),0))*24)</f>
        <v>0</v>
      </c>
      <c r="P45" s="51">
        <f>(MAX(0,MIN(H_Oct[[#This Row],[Fin corrigée si nuit]],fin_nuit)-MAX(H_Oct[[#This Row],[début]],deb_nuit))-IF(H_Oct[[#This Row],[PNP Début]]=0,0,MIN(H_Oct[[#This Row],[PNP Fin corrigée]],fin_nuit)-MAX(H_Oct[[#This Row],[PNP Début corrigé]],deb_nuit)))*24</f>
        <v>0</v>
      </c>
      <c r="Q45" s="51">
        <f>(IF(WEEKDAY(H_Oct[[#This Row],[Date]],2)=7,MAX(0,MIN(fin_dimJF,H_Oct[[#This Row],[Fin corrigée si nuit]])-MAX(deb_dimJF,H_Oct[[#This Row],[début]])),0)+IF(WEEKDAY(H_Oct[[#This Row],[Date]],2)=6,MAX(0,H_Oct[[#This Row],[Fin corrigée si nuit]]-(1+deb_dimJF)),0))*24</f>
        <v>0</v>
      </c>
      <c r="R45"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5" s="51">
        <f>(IF(COUNTIF(JF,H_Oct[[#This Row],[Date]]),MAX(0,MIN(fin_dimJF,H_Oct[[#This Row],[Fin corrigée si nuit]])-MAX(deb_dimJF,H_Oct[[#This Row],[début]])),0)+IF(COUNTIF(JF,H_Oct[[#This Row],[Date]]+1),MAX(0,H_Oct[[#This Row],[Fin corrigée si nuit]]-(1+deb_dimJF)),0))*24</f>
        <v>0</v>
      </c>
      <c r="T45"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6" spans="1:20" x14ac:dyDescent="0.3">
      <c r="A46" s="4"/>
      <c r="B46" s="1"/>
      <c r="C46" s="2"/>
      <c r="D46" s="2"/>
      <c r="E46" s="3"/>
      <c r="F46" s="3"/>
      <c r="G46" s="3"/>
      <c r="H46" s="3"/>
      <c r="I46" s="47">
        <f>0.1*(H_Oct[[#This Row],[Heures de nuit]]+IF(H_Oct[[#This Row],[majoration dim &amp; JF]]="non",0,H_Oct[[#This Row],[heures jour dimanche]]+H_Oct[[#This Row],[heures jour fériés]]))</f>
        <v>0</v>
      </c>
      <c r="J46" s="48">
        <f>(MOD(H_Oct[[#This Row],[Fin]]-H_Oct[[#This Row],[début]],1)-MOD(H_Oct[[#This Row],[PNP Fin]]-H_Oct[[#This Row],[PNP Début]],1))*24</f>
        <v>0</v>
      </c>
      <c r="K46" s="119" t="str">
        <f>IFERROR(VLOOKUP(H_Oct[[#This Row],[Service]],Codes[],4,0),"")</f>
        <v/>
      </c>
      <c r="L46" s="49">
        <f>IF(H_Oct[[#This Row],[PNP Début]]=0,0,IF(H_Oct[[#This Row],[PNP Début]]&lt;H_Oct[[#This Row],[début]],1,0)+H_Oct[[#This Row],[PNP Début]])</f>
        <v>0</v>
      </c>
      <c r="M46" s="50">
        <f>IF(H_Oct[[#This Row],[PNP Fin]]=0,0,IF(H_Oct[[#This Row],[PNP Fin]]&lt;H_Oct[[#This Row],[début]],1,0)+H_Oct[[#This Row],[PNP Fin]])</f>
        <v>0</v>
      </c>
      <c r="N46" s="50">
        <f>IF(H_Oct[[#This Row],[Fin]]&lt;H_Oct[[#This Row],[début]],1,0)+H_Oct[[#This Row],[Fin]]</f>
        <v>0</v>
      </c>
      <c r="O46" s="31">
        <f>IF(H_Oct[[#This Row],[Fin]]&lt;H_Oct[[#This Row],[début]],MAX(0,MIN(H_Oct[[#This Row],[Fin corrigée si nuit]],fin_nuit)-MAX(H_Oct[[#This Row],[début]],deb_nuit))*24,(MAX(deb_nuit,H_Oct[[#This Row],[Fin]])-MAX(deb_nuit,H_Oct[[#This Row],[début]])+MAX(MIN(fin_nuit-1,H_Oct[[#This Row],[Fin]])-MIN(fin_nuit-1,H_Oct[[#This Row],[début]]),0))*24)</f>
        <v>0</v>
      </c>
      <c r="P46" s="51">
        <f>(MAX(0,MIN(H_Oct[[#This Row],[Fin corrigée si nuit]],fin_nuit)-MAX(H_Oct[[#This Row],[début]],deb_nuit))-IF(H_Oct[[#This Row],[PNP Début]]=0,0,MIN(H_Oct[[#This Row],[PNP Fin corrigée]],fin_nuit)-MAX(H_Oct[[#This Row],[PNP Début corrigé]],deb_nuit)))*24</f>
        <v>0</v>
      </c>
      <c r="Q46" s="51">
        <f>(IF(WEEKDAY(H_Oct[[#This Row],[Date]],2)=7,MAX(0,MIN(fin_dimJF,H_Oct[[#This Row],[Fin corrigée si nuit]])-MAX(deb_dimJF,H_Oct[[#This Row],[début]])),0)+IF(WEEKDAY(H_Oct[[#This Row],[Date]],2)=6,MAX(0,H_Oct[[#This Row],[Fin corrigée si nuit]]-(1+deb_dimJF)),0))*24</f>
        <v>0</v>
      </c>
      <c r="R46"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6" s="51">
        <f>(IF(COUNTIF(JF,H_Oct[[#This Row],[Date]]),MAX(0,MIN(fin_dimJF,H_Oct[[#This Row],[Fin corrigée si nuit]])-MAX(deb_dimJF,H_Oct[[#This Row],[début]])),0)+IF(COUNTIF(JF,H_Oct[[#This Row],[Date]]+1),MAX(0,H_Oct[[#This Row],[Fin corrigée si nuit]]-(1+deb_dimJF)),0))*24</f>
        <v>0</v>
      </c>
      <c r="T46"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7" spans="1:20" x14ac:dyDescent="0.3">
      <c r="A47" s="4"/>
      <c r="B47" s="1"/>
      <c r="C47" s="2"/>
      <c r="D47" s="2"/>
      <c r="E47" s="3"/>
      <c r="F47" s="3"/>
      <c r="G47" s="3"/>
      <c r="H47" s="3"/>
      <c r="I47" s="47">
        <f>0.1*(H_Oct[[#This Row],[Heures de nuit]]+IF(H_Oct[[#This Row],[majoration dim &amp; JF]]="non",0,H_Oct[[#This Row],[heures jour dimanche]]+H_Oct[[#This Row],[heures jour fériés]]))</f>
        <v>0</v>
      </c>
      <c r="J47" s="48">
        <f>(MOD(H_Oct[[#This Row],[Fin]]-H_Oct[[#This Row],[début]],1)-MOD(H_Oct[[#This Row],[PNP Fin]]-H_Oct[[#This Row],[PNP Début]],1))*24</f>
        <v>0</v>
      </c>
      <c r="K47" s="119" t="str">
        <f>IFERROR(VLOOKUP(H_Oct[[#This Row],[Service]],Codes[],4,0),"")</f>
        <v/>
      </c>
      <c r="L47" s="49">
        <f>IF(H_Oct[[#This Row],[PNP Début]]=0,0,IF(H_Oct[[#This Row],[PNP Début]]&lt;H_Oct[[#This Row],[début]],1,0)+H_Oct[[#This Row],[PNP Début]])</f>
        <v>0</v>
      </c>
      <c r="M47" s="50">
        <f>IF(H_Oct[[#This Row],[PNP Fin]]=0,0,IF(H_Oct[[#This Row],[PNP Fin]]&lt;H_Oct[[#This Row],[début]],1,0)+H_Oct[[#This Row],[PNP Fin]])</f>
        <v>0</v>
      </c>
      <c r="N47" s="50">
        <f>IF(H_Oct[[#This Row],[Fin]]&lt;H_Oct[[#This Row],[début]],1,0)+H_Oct[[#This Row],[Fin]]</f>
        <v>0</v>
      </c>
      <c r="O47" s="31">
        <f>IF(H_Oct[[#This Row],[Fin]]&lt;H_Oct[[#This Row],[début]],MAX(0,MIN(H_Oct[[#This Row],[Fin corrigée si nuit]],fin_nuit)-MAX(H_Oct[[#This Row],[début]],deb_nuit))*24,(MAX(deb_nuit,H_Oct[[#This Row],[Fin]])-MAX(deb_nuit,H_Oct[[#This Row],[début]])+MAX(MIN(fin_nuit-1,H_Oct[[#This Row],[Fin]])-MIN(fin_nuit-1,H_Oct[[#This Row],[début]]),0))*24)</f>
        <v>0</v>
      </c>
      <c r="P47" s="51">
        <f>(MAX(0,MIN(H_Oct[[#This Row],[Fin corrigée si nuit]],fin_nuit)-MAX(H_Oct[[#This Row],[début]],deb_nuit))-IF(H_Oct[[#This Row],[PNP Début]]=0,0,MIN(H_Oct[[#This Row],[PNP Fin corrigée]],fin_nuit)-MAX(H_Oct[[#This Row],[PNP Début corrigé]],deb_nuit)))*24</f>
        <v>0</v>
      </c>
      <c r="Q47" s="51">
        <f>(IF(WEEKDAY(H_Oct[[#This Row],[Date]],2)=7,MAX(0,MIN(fin_dimJF,H_Oct[[#This Row],[Fin corrigée si nuit]])-MAX(deb_dimJF,H_Oct[[#This Row],[début]])),0)+IF(WEEKDAY(H_Oct[[#This Row],[Date]],2)=6,MAX(0,H_Oct[[#This Row],[Fin corrigée si nuit]]-(1+deb_dimJF)),0))*24</f>
        <v>0</v>
      </c>
      <c r="R47"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7" s="51">
        <f>(IF(COUNTIF(JF,H_Oct[[#This Row],[Date]]),MAX(0,MIN(fin_dimJF,H_Oct[[#This Row],[Fin corrigée si nuit]])-MAX(deb_dimJF,H_Oct[[#This Row],[début]])),0)+IF(COUNTIF(JF,H_Oct[[#This Row],[Date]]+1),MAX(0,H_Oct[[#This Row],[Fin corrigée si nuit]]-(1+deb_dimJF)),0))*24</f>
        <v>0</v>
      </c>
      <c r="T47"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8" spans="1:20" x14ac:dyDescent="0.3">
      <c r="A48" s="4"/>
      <c r="B48" s="1"/>
      <c r="C48" s="2"/>
      <c r="D48" s="2"/>
      <c r="E48" s="3"/>
      <c r="F48" s="3"/>
      <c r="G48" s="3"/>
      <c r="H48" s="3"/>
      <c r="I48" s="47">
        <f>0.1*(H_Oct[[#This Row],[Heures de nuit]]+IF(H_Oct[[#This Row],[majoration dim &amp; JF]]="non",0,H_Oct[[#This Row],[heures jour dimanche]]+H_Oct[[#This Row],[heures jour fériés]]))</f>
        <v>0</v>
      </c>
      <c r="J48" s="48">
        <f>(MOD(H_Oct[[#This Row],[Fin]]-H_Oct[[#This Row],[début]],1)-MOD(H_Oct[[#This Row],[PNP Fin]]-H_Oct[[#This Row],[PNP Début]],1))*24</f>
        <v>0</v>
      </c>
      <c r="K48" s="119" t="str">
        <f>IFERROR(VLOOKUP(H_Oct[[#This Row],[Service]],Codes[],4,0),"")</f>
        <v/>
      </c>
      <c r="L48" s="49">
        <f>IF(H_Oct[[#This Row],[PNP Début]]=0,0,IF(H_Oct[[#This Row],[PNP Début]]&lt;H_Oct[[#This Row],[début]],1,0)+H_Oct[[#This Row],[PNP Début]])</f>
        <v>0</v>
      </c>
      <c r="M48" s="50">
        <f>IF(H_Oct[[#This Row],[PNP Fin]]=0,0,IF(H_Oct[[#This Row],[PNP Fin]]&lt;H_Oct[[#This Row],[début]],1,0)+H_Oct[[#This Row],[PNP Fin]])</f>
        <v>0</v>
      </c>
      <c r="N48" s="50">
        <f>IF(H_Oct[[#This Row],[Fin]]&lt;H_Oct[[#This Row],[début]],1,0)+H_Oct[[#This Row],[Fin]]</f>
        <v>0</v>
      </c>
      <c r="O48" s="31">
        <f>IF(H_Oct[[#This Row],[Fin]]&lt;H_Oct[[#This Row],[début]],MAX(0,MIN(H_Oct[[#This Row],[Fin corrigée si nuit]],fin_nuit)-MAX(H_Oct[[#This Row],[début]],deb_nuit))*24,(MAX(deb_nuit,H_Oct[[#This Row],[Fin]])-MAX(deb_nuit,H_Oct[[#This Row],[début]])+MAX(MIN(fin_nuit-1,H_Oct[[#This Row],[Fin]])-MIN(fin_nuit-1,H_Oct[[#This Row],[début]]),0))*24)</f>
        <v>0</v>
      </c>
      <c r="P48" s="51">
        <f>(MAX(0,MIN(H_Oct[[#This Row],[Fin corrigée si nuit]],fin_nuit)-MAX(H_Oct[[#This Row],[début]],deb_nuit))-IF(H_Oct[[#This Row],[PNP Début]]=0,0,MIN(H_Oct[[#This Row],[PNP Fin corrigée]],fin_nuit)-MAX(H_Oct[[#This Row],[PNP Début corrigé]],deb_nuit)))*24</f>
        <v>0</v>
      </c>
      <c r="Q48" s="51">
        <f>(IF(WEEKDAY(H_Oct[[#This Row],[Date]],2)=7,MAX(0,MIN(fin_dimJF,H_Oct[[#This Row],[Fin corrigée si nuit]])-MAX(deb_dimJF,H_Oct[[#This Row],[début]])),0)+IF(WEEKDAY(H_Oct[[#This Row],[Date]],2)=6,MAX(0,H_Oct[[#This Row],[Fin corrigée si nuit]]-(1+deb_dimJF)),0))*24</f>
        <v>0</v>
      </c>
      <c r="R48"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8" s="51">
        <f>(IF(COUNTIF(JF,H_Oct[[#This Row],[Date]]),MAX(0,MIN(fin_dimJF,H_Oct[[#This Row],[Fin corrigée si nuit]])-MAX(deb_dimJF,H_Oct[[#This Row],[début]])),0)+IF(COUNTIF(JF,H_Oct[[#This Row],[Date]]+1),MAX(0,H_Oct[[#This Row],[Fin corrigée si nuit]]-(1+deb_dimJF)),0))*24</f>
        <v>0</v>
      </c>
      <c r="T48"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49" spans="1:20" ht="15" thickBot="1" x14ac:dyDescent="0.35">
      <c r="A49" s="4"/>
      <c r="B49" s="1"/>
      <c r="C49" s="2"/>
      <c r="D49" s="2"/>
      <c r="E49" s="3"/>
      <c r="F49" s="3"/>
      <c r="G49" s="3"/>
      <c r="H49" s="3"/>
      <c r="I49" s="47">
        <f>0.1*(H_Oct[[#This Row],[Heures de nuit]]+IF(H_Oct[[#This Row],[majoration dim &amp; JF]]="non",0,H_Oct[[#This Row],[heures jour dimanche]]+H_Oct[[#This Row],[heures jour fériés]]))</f>
        <v>0</v>
      </c>
      <c r="J49" s="48">
        <f>(MOD(H_Oct[[#This Row],[Fin]]-H_Oct[[#This Row],[début]],1)-MOD(H_Oct[[#This Row],[PNP Fin]]-H_Oct[[#This Row],[PNP Début]],1))*24</f>
        <v>0</v>
      </c>
      <c r="K49" s="119" t="str">
        <f>IFERROR(VLOOKUP(H_Oct[[#This Row],[Service]],Codes[],4,0),"")</f>
        <v/>
      </c>
      <c r="L49" s="49">
        <f>IF(H_Oct[[#This Row],[PNP Début]]=0,0,IF(H_Oct[[#This Row],[PNP Début]]&lt;H_Oct[[#This Row],[début]],1,0)+H_Oct[[#This Row],[PNP Début]])</f>
        <v>0</v>
      </c>
      <c r="M49" s="50">
        <f>IF(H_Oct[[#This Row],[PNP Fin]]=0,0,IF(H_Oct[[#This Row],[PNP Fin]]&lt;H_Oct[[#This Row],[début]],1,0)+H_Oct[[#This Row],[PNP Fin]])</f>
        <v>0</v>
      </c>
      <c r="N49" s="50">
        <f>IF(H_Oct[[#This Row],[Fin]]&lt;H_Oct[[#This Row],[début]],1,0)+H_Oct[[#This Row],[Fin]]</f>
        <v>0</v>
      </c>
      <c r="O49" s="31">
        <f>IF(H_Oct[[#This Row],[Fin]]&lt;H_Oct[[#This Row],[début]],MAX(0,MIN(H_Oct[[#This Row],[Fin corrigée si nuit]],fin_nuit)-MAX(H_Oct[[#This Row],[début]],deb_nuit))*24,(MAX(deb_nuit,H_Oct[[#This Row],[Fin]])-MAX(deb_nuit,H_Oct[[#This Row],[début]])+MAX(MIN(fin_nuit-1,H_Oct[[#This Row],[Fin]])-MIN(fin_nuit-1,H_Oct[[#This Row],[début]]),0))*24)</f>
        <v>0</v>
      </c>
      <c r="P49" s="51">
        <f>(MAX(0,MIN(H_Oct[[#This Row],[Fin corrigée si nuit]],fin_nuit)-MAX(H_Oct[[#This Row],[début]],deb_nuit))-IF(H_Oct[[#This Row],[PNP Début]]=0,0,MIN(H_Oct[[#This Row],[PNP Fin corrigée]],fin_nuit)-MAX(H_Oct[[#This Row],[PNP Début corrigé]],deb_nuit)))*24</f>
        <v>0</v>
      </c>
      <c r="Q49" s="51">
        <f>(IF(WEEKDAY(H_Oct[[#This Row],[Date]],2)=7,MAX(0,MIN(fin_dimJF,H_Oct[[#This Row],[Fin corrigée si nuit]])-MAX(deb_dimJF,H_Oct[[#This Row],[début]])),0)+IF(WEEKDAY(H_Oct[[#This Row],[Date]],2)=6,MAX(0,H_Oct[[#This Row],[Fin corrigée si nuit]]-(1+deb_dimJF)),0))*24</f>
        <v>0</v>
      </c>
      <c r="R49" s="51">
        <f>(IF(WEEKDAY(H_Oct[[#This Row],[Date]],2)=7,MAX(0,MIN(fin_dimJF,H_Oct[[#This Row],[Fin corrigée si nuit]])-MAX(deb_dimJF,H_Oct[[#This Row],[début]])),0)+IF(WEEKDAY(H_Oct[[#This Row],[Date]],2)=6,MAX(0,H_Oct[[#This Row],[Fin corrigée si nuit]]-(1+deb_dimJF)),0))*24-
(IF(WEEKDAY(H_Oct[[#This Row],[Date]],2)=7,MAX(0,MIN(fin_dimJF,H_Oct[[#This Row],[PNP Fin corrigée]])-MAX(deb_dimJF,H_Oct[[#This Row],[PNP Début corrigé]])),0)+IF(WEEKDAY(H_Oct[[#This Row],[Date]],2)=6,MAX(0,H_Oct[[#This Row],[PNP Fin corrigée]]-(1+deb_dimJF)),0))*24</f>
        <v>0</v>
      </c>
      <c r="S49" s="51">
        <f>(IF(COUNTIF(JF,H_Oct[[#This Row],[Date]]),MAX(0,MIN(fin_dimJF,H_Oct[[#This Row],[Fin corrigée si nuit]])-MAX(deb_dimJF,H_Oct[[#This Row],[début]])),0)+IF(COUNTIF(JF,H_Oct[[#This Row],[Date]]+1),MAX(0,H_Oct[[#This Row],[Fin corrigée si nuit]]-(1+deb_dimJF)),0))*24</f>
        <v>0</v>
      </c>
      <c r="T49" s="51">
        <f>(IF(COUNTIF(JF,H_Oct[[#This Row],[Date]]),MAX(0,MIN(fin_dimJF,H_Oct[[#This Row],[Fin corrigée si nuit]])-MAX(deb_dimJF,H_Oct[[#This Row],[début]])),0)+IF(COUNTIF(JF,H_Oct[[#This Row],[Date]]+1),MAX(0,H_Oct[[#This Row],[Fin corrigée si nuit]]-(1+deb_dimJF)),0))*24-
(IF(COUNTIF(JF,H_Oct[[#This Row],[Date]]),MAX(0,MIN(fin_dimJF,H_Oct[[#This Row],[PNP Fin corrigée]])-MAX(deb_dimJF,H_Oct[[#This Row],[PNP Début corrigé]])),0)+IF(COUNTIF(JF,H_Oct[[#This Row],[Date]]+1),MAX(0,H_Oct[[#This Row],[PNP Fin corrigée]]-(1+deb_dimJF)),0))*24</f>
        <v>0</v>
      </c>
    </row>
    <row r="50" spans="1:20" ht="16.2" thickBot="1" x14ac:dyDescent="0.35">
      <c r="A50" s="52"/>
      <c r="B50" s="15"/>
      <c r="C50" s="15"/>
      <c r="D50" s="15"/>
      <c r="E50" s="144" t="s">
        <v>29</v>
      </c>
      <c r="F50" s="145"/>
      <c r="G50" s="145"/>
      <c r="H50" s="146"/>
      <c r="I50" s="53">
        <f>SUM(H_Oct[Majoration])</f>
        <v>0</v>
      </c>
      <c r="J50" s="54">
        <f>SUM(H_Oct[Heures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77" priority="1">
      <formula>$K13="non"</formula>
    </cfRule>
  </conditionalFormatting>
  <dataValidations count="3">
    <dataValidation allowBlank="1" showInputMessage="1" showErrorMessage="1" error="Tapez les heures sous le format_x000a_00:00" sqref="L12:O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K5">
      <formula1>42736</formula1>
    </dataValidation>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13313" r:id="rId4" name="CommandButton1">
          <controlPr defaultSize="0" print="0" autoLine="0" r:id="rId5">
            <anchor moveWithCells="1">
              <from>
                <xdr:col>9</xdr:col>
                <xdr:colOff>495300</xdr:colOff>
                <xdr:row>0</xdr:row>
                <xdr:rowOff>99060</xdr:rowOff>
              </from>
              <to>
                <xdr:col>9</xdr:col>
                <xdr:colOff>1280160</xdr:colOff>
                <xdr:row>3</xdr:row>
                <xdr:rowOff>213360</xdr:rowOff>
              </to>
            </anchor>
          </controlPr>
        </control>
      </mc:Choice>
      <mc:Fallback>
        <control shapeId="13313"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Z60"/>
  <sheetViews>
    <sheetView topLeftCell="B1" zoomScale="80" zoomScaleNormal="80" zoomScalePageLayoutView="55" workbookViewId="0">
      <selection activeCell="X17" sqref="X17"/>
    </sheetView>
  </sheetViews>
  <sheetFormatPr baseColWidth="10" defaultRowHeight="14.4" x14ac:dyDescent="0.3"/>
  <cols>
    <col min="1" max="1" width="20.664062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6.554687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f>'Janvier 18'!B5</f>
        <v>0</v>
      </c>
      <c r="C5" s="17" t="s">
        <v>36</v>
      </c>
      <c r="D5" s="164">
        <f>'Janvier 18'!D5:F5</f>
        <v>0</v>
      </c>
      <c r="E5" s="165"/>
      <c r="F5" s="165"/>
      <c r="G5" s="137" t="s">
        <v>22</v>
      </c>
      <c r="H5" s="137"/>
      <c r="I5" s="59" t="str">
        <f ca="1">MID(CELL("filename",A1),FIND("]",CELL("filename",A1))+1,99)</f>
        <v>Novembre 18</v>
      </c>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f>'Janvier 18'!B7</f>
        <v>0</v>
      </c>
      <c r="C7" s="21" t="s">
        <v>24</v>
      </c>
      <c r="D7" s="21"/>
      <c r="E7" s="83">
        <f>'Janvier 18'!E7</f>
        <v>0</v>
      </c>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ht="14.4" customHeight="1"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ht="14.4" customHeight="1"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customHeight="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0.1*(H_Nov[[#This Row],[Heures de nuit]]+IF(H_Nov[[#This Row],[majoration dim &amp; JF]]="non",0,H_Nov[[#This Row],[heures jour dimanche]]+H_Nov[[#This Row],[heures jour fériés]]))</f>
        <v>0</v>
      </c>
      <c r="J13" s="29">
        <f>(MOD(H_Nov[[#This Row],[Fin]]-H_Nov[[#This Row],[début]],1)-MOD(H_Nov[[#This Row],[PNP Fin]]-H_Nov[[#This Row],[PNP Début]],1))*24</f>
        <v>0</v>
      </c>
      <c r="K13" s="29" t="str">
        <f>IFERROR(VLOOKUP(H_Nov[[#This Row],[Service]],Codes[],4,0),"")</f>
        <v/>
      </c>
      <c r="L13" s="30">
        <f>IF(H_Nov[[#This Row],[PNP Début]]=0,0,IF(H_Nov[[#This Row],[PNP Début]]&lt;H_Nov[[#This Row],[début]],1,0)+H_Nov[[#This Row],[PNP Début]])</f>
        <v>0</v>
      </c>
      <c r="M13" s="30">
        <f>IF(H_Nov[[#This Row],[PNP Fin]]=0,0,IF(H_Nov[[#This Row],[PNP Fin]]&lt;H_Nov[[#This Row],[début]],1,0)+H_Nov[[#This Row],[PNP Fin]])</f>
        <v>0</v>
      </c>
      <c r="N13" s="30">
        <f>IF(H_Nov[[#This Row],[Fin]]&lt;H_Nov[[#This Row],[début]],1,0)+H_Nov[[#This Row],[Fin]]</f>
        <v>0</v>
      </c>
      <c r="O13" s="31">
        <f>IF(H_Nov[[#This Row],[Fin]]&lt;H_Nov[[#This Row],[début]],MAX(0,MIN(H_Nov[[#This Row],[Fin corrigée si nuit]],fin_nuit)-MAX(H_Nov[[#This Row],[début]],deb_nuit))*24,(MAX(deb_nuit,H_Nov[[#This Row],[Fin]])-MAX(deb_nuit,H_Nov[[#This Row],[début]])+MAX(MIN(fin_nuit-1,H_Nov[[#This Row],[Fin]])-MIN(fin_nuit-1,H_Nov[[#This Row],[début]]),0))*24)</f>
        <v>0</v>
      </c>
      <c r="P13" s="31">
        <f>(MAX(0,MIN(H_Nov[[#This Row],[Fin corrigée si nuit]],fin_nuit)-MAX(H_Nov[[#This Row],[début]],deb_nuit))-IF(H_Nov[[#This Row],[PNP Début]]=0,0,MIN(H_Nov[[#This Row],[PNP Fin corrigée]],fin_nuit)-MAX(H_Nov[[#This Row],[PNP Début corrigé]],deb_nuit)))*24</f>
        <v>0</v>
      </c>
      <c r="Q13" s="31">
        <f>(IF(WEEKDAY(H_Nov[[#This Row],[Date]],2)=7,MAX(0,MIN(fin_dimJF,H_Nov[[#This Row],[Fin corrigée si nuit]])-MAX(deb_dimJF,H_Nov[[#This Row],[début]])),0)+IF(WEEKDAY(H_Nov[[#This Row],[Date]],2)=6,MAX(0,H_Nov[[#This Row],[Fin corrigée si nuit]]-(1+deb_dimJF)),0))*24</f>
        <v>0</v>
      </c>
      <c r="R13" s="3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13" s="32">
        <f>(IF(COUNTIF(JF,H_Nov[[#This Row],[Date]]),MAX(0,MIN(fin_dimJF,H_Nov[[#This Row],[Fin corrigée si nuit]])-MAX(deb_dimJF,H_Nov[[#This Row],[début]])),0)+IF(COUNTIF(JF,H_Nov[[#This Row],[Date]]+1),MAX(0,H_Nov[[#This Row],[Fin corrigée si nuit]]-(1+deb_dimJF)),0))*24</f>
        <v>0</v>
      </c>
      <c r="T13" s="32">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c r="V13" s="124"/>
      <c r="W13" s="124"/>
      <c r="X13" s="124"/>
      <c r="Y13" s="124"/>
      <c r="Z13" s="124"/>
    </row>
    <row r="14" spans="1:26" x14ac:dyDescent="0.3">
      <c r="A14" s="4"/>
      <c r="B14" s="1"/>
      <c r="C14" s="113"/>
      <c r="D14" s="113"/>
      <c r="E14" s="3"/>
      <c r="F14" s="3"/>
      <c r="G14" s="3"/>
      <c r="H14" s="3"/>
      <c r="I14" s="28">
        <f>0.1*(H_Nov[[#This Row],[Heures de nuit]]+IF(H_Nov[[#This Row],[majoration dim &amp; JF]]="non",0,H_Nov[[#This Row],[heures jour dimanche]]+H_Nov[[#This Row],[heures jour fériés]]))</f>
        <v>0</v>
      </c>
      <c r="J14" s="29">
        <f>(MOD(H_Nov[[#This Row],[Fin]]-H_Nov[[#This Row],[début]],1)-MOD(H_Nov[[#This Row],[PNP Fin]]-H_Nov[[#This Row],[PNP Début]],1))*24</f>
        <v>0</v>
      </c>
      <c r="K14" s="29" t="str">
        <f>IFERROR(VLOOKUP(H_Nov[[#This Row],[Service]],Codes[],4,0),"")</f>
        <v/>
      </c>
      <c r="L14" s="30">
        <f>IF(H_Nov[[#This Row],[PNP Début]]=0,0,IF(H_Nov[[#This Row],[PNP Début]]&lt;H_Nov[[#This Row],[début]],1,0)+H_Nov[[#This Row],[PNP Début]])</f>
        <v>0</v>
      </c>
      <c r="M14" s="30">
        <f>IF(H_Nov[[#This Row],[PNP Fin]]=0,0,IF(H_Nov[[#This Row],[PNP Fin]]&lt;H_Nov[[#This Row],[début]],1,0)+H_Nov[[#This Row],[PNP Fin]])</f>
        <v>0</v>
      </c>
      <c r="N14" s="30">
        <f>IF(H_Nov[[#This Row],[Fin]]&lt;H_Nov[[#This Row],[début]],1,0)+H_Nov[[#This Row],[Fin]]</f>
        <v>0</v>
      </c>
      <c r="O14" s="31">
        <f>IF(H_Nov[[#This Row],[Fin]]&lt;H_Nov[[#This Row],[début]],MAX(0,MIN(H_Nov[[#This Row],[Fin corrigée si nuit]],fin_nuit)-MAX(H_Nov[[#This Row],[début]],deb_nuit))*24,(MAX(deb_nuit,H_Nov[[#This Row],[Fin]])-MAX(deb_nuit,H_Nov[[#This Row],[début]])+MAX(MIN(fin_nuit-1,H_Nov[[#This Row],[Fin]])-MIN(fin_nuit-1,H_Nov[[#This Row],[début]]),0))*24)</f>
        <v>0</v>
      </c>
      <c r="P14" s="31">
        <f>(MAX(0,MIN(H_Nov[[#This Row],[Fin corrigée si nuit]],fin_nuit)-MAX(H_Nov[[#This Row],[début]],deb_nuit))-IF(H_Nov[[#This Row],[PNP Début]]=0,0,MIN(H_Nov[[#This Row],[PNP Fin corrigée]],fin_nuit)-MAX(H_Nov[[#This Row],[PNP Début corrigé]],deb_nuit)))*24</f>
        <v>0</v>
      </c>
      <c r="Q14" s="31">
        <f>(IF(WEEKDAY(H_Nov[[#This Row],[Date]],2)=7,MAX(0,MIN(fin_dimJF,H_Nov[[#This Row],[Fin corrigée si nuit]])-MAX(deb_dimJF,H_Nov[[#This Row],[début]])),0)+IF(WEEKDAY(H_Nov[[#This Row],[Date]],2)=6,MAX(0,H_Nov[[#This Row],[Fin corrigée si nuit]]-(1+deb_dimJF)),0))*24</f>
        <v>0</v>
      </c>
      <c r="R14" s="3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14" s="32">
        <f>(IF(COUNTIF(JF,H_Nov[[#This Row],[Date]]),MAX(0,MIN(fin_dimJF,H_Nov[[#This Row],[Fin corrigée si nuit]])-MAX(deb_dimJF,H_Nov[[#This Row],[début]])),0)+IF(COUNTIF(JF,H_Nov[[#This Row],[Date]]+1),MAX(0,H_Nov[[#This Row],[Fin corrigée si nuit]]-(1+deb_dimJF)),0))*24</f>
        <v>0</v>
      </c>
      <c r="T14" s="32">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c r="V14" s="124"/>
      <c r="W14" s="124"/>
      <c r="X14" s="124"/>
      <c r="Y14" s="124"/>
      <c r="Z14" s="124"/>
    </row>
    <row r="15" spans="1:26" x14ac:dyDescent="0.3">
      <c r="A15" s="4"/>
      <c r="B15" s="1"/>
      <c r="C15" s="2"/>
      <c r="D15" s="2"/>
      <c r="E15" s="3"/>
      <c r="F15" s="3"/>
      <c r="G15" s="3"/>
      <c r="H15" s="3"/>
      <c r="I15" s="28">
        <f>0.1*(H_Nov[[#This Row],[Heures de nuit]]+IF(H_Nov[[#This Row],[majoration dim &amp; JF]]="non",0,H_Nov[[#This Row],[heures jour dimanche]]+H_Nov[[#This Row],[heures jour fériés]]))</f>
        <v>0</v>
      </c>
      <c r="J15" s="29">
        <f>(MOD(H_Nov[[#This Row],[Fin]]-H_Nov[[#This Row],[début]],1)-MOD(H_Nov[[#This Row],[PNP Fin]]-H_Nov[[#This Row],[PNP Début]],1))*24</f>
        <v>0</v>
      </c>
      <c r="K15" s="29" t="str">
        <f>IFERROR(VLOOKUP(H_Nov[[#This Row],[Service]],Codes[],4,0),"")</f>
        <v/>
      </c>
      <c r="L15" s="30">
        <f>IF(H_Nov[[#This Row],[PNP Début]]=0,0,IF(H_Nov[[#This Row],[PNP Début]]&lt;H_Nov[[#This Row],[début]],1,0)+H_Nov[[#This Row],[PNP Début]])</f>
        <v>0</v>
      </c>
      <c r="M15" s="30">
        <f>IF(H_Nov[[#This Row],[PNP Fin]]=0,0,IF(H_Nov[[#This Row],[PNP Fin]]&lt;H_Nov[[#This Row],[début]],1,0)+H_Nov[[#This Row],[PNP Fin]])</f>
        <v>0</v>
      </c>
      <c r="N15" s="30">
        <f>IF(H_Nov[[#This Row],[Fin]]&lt;H_Nov[[#This Row],[début]],1,0)+H_Nov[[#This Row],[Fin]]</f>
        <v>0</v>
      </c>
      <c r="O15" s="31">
        <f>IF(H_Nov[[#This Row],[Fin]]&lt;H_Nov[[#This Row],[début]],MAX(0,MIN(H_Nov[[#This Row],[Fin corrigée si nuit]],fin_nuit)-MAX(H_Nov[[#This Row],[début]],deb_nuit))*24,(MAX(deb_nuit,H_Nov[[#This Row],[Fin]])-MAX(deb_nuit,H_Nov[[#This Row],[début]])+MAX(MIN(fin_nuit-1,H_Nov[[#This Row],[Fin]])-MIN(fin_nuit-1,H_Nov[[#This Row],[début]]),0))*24)</f>
        <v>0</v>
      </c>
      <c r="P15" s="31">
        <f>(MAX(0,MIN(H_Nov[[#This Row],[Fin corrigée si nuit]],fin_nuit)-MAX(H_Nov[[#This Row],[début]],deb_nuit))-IF(H_Nov[[#This Row],[PNP Début]]=0,0,MIN(H_Nov[[#This Row],[PNP Fin corrigée]],fin_nuit)-MAX(H_Nov[[#This Row],[PNP Début corrigé]],deb_nuit)))*24</f>
        <v>0</v>
      </c>
      <c r="Q15" s="31">
        <f>(IF(WEEKDAY(H_Nov[[#This Row],[Date]],2)=7,MAX(0,MIN(fin_dimJF,H_Nov[[#This Row],[Fin corrigée si nuit]])-MAX(deb_dimJF,H_Nov[[#This Row],[début]])),0)+IF(WEEKDAY(H_Nov[[#This Row],[Date]],2)=6,MAX(0,H_Nov[[#This Row],[Fin corrigée si nuit]]-(1+deb_dimJF)),0))*24</f>
        <v>0</v>
      </c>
      <c r="R15" s="3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15" s="32">
        <f>(IF(COUNTIF(JF,H_Nov[[#This Row],[Date]]),MAX(0,MIN(fin_dimJF,H_Nov[[#This Row],[Fin corrigée si nuit]])-MAX(deb_dimJF,H_Nov[[#This Row],[début]])),0)+IF(COUNTIF(JF,H_Nov[[#This Row],[Date]]+1),MAX(0,H_Nov[[#This Row],[Fin corrigée si nuit]]-(1+deb_dimJF)),0))*24</f>
        <v>0</v>
      </c>
      <c r="T15" s="32">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0.1*(H_Nov[[#This Row],[Heures de nuit]]+IF(H_Nov[[#This Row],[majoration dim &amp; JF]]="non",0,H_Nov[[#This Row],[heures jour dimanche]]+H_Nov[[#This Row],[heures jour fériés]]))</f>
        <v>0</v>
      </c>
      <c r="J16" s="33">
        <f>(MOD(H_Nov[[#This Row],[Fin]]-H_Nov[[#This Row],[début]],1)-MOD(H_Nov[[#This Row],[PNP Fin]]-H_Nov[[#This Row],[PNP Début]],1))*24</f>
        <v>0</v>
      </c>
      <c r="K16" s="33" t="str">
        <f>IFERROR(VLOOKUP(H_Nov[[#This Row],[Service]],Codes[],4,0),"")</f>
        <v/>
      </c>
      <c r="L16" s="30">
        <f>IF(H_Nov[[#This Row],[PNP Début]]=0,0,IF(H_Nov[[#This Row],[PNP Début]]&lt;H_Nov[[#This Row],[début]],1,0)+H_Nov[[#This Row],[PNP Début]])</f>
        <v>0</v>
      </c>
      <c r="M16" s="30">
        <f>IF(H_Nov[[#This Row],[PNP Fin]]=0,0,IF(H_Nov[[#This Row],[PNP Fin]]&lt;H_Nov[[#This Row],[début]],1,0)+H_Nov[[#This Row],[PNP Fin]])</f>
        <v>0</v>
      </c>
      <c r="N16" s="34">
        <f>IF(H_Nov[[#This Row],[Fin]]&lt;H_Nov[[#This Row],[début]],1,0)+H_Nov[[#This Row],[Fin]]</f>
        <v>0</v>
      </c>
      <c r="O16" s="31">
        <f>IF(H_Nov[[#This Row],[Fin]]&lt;H_Nov[[#This Row],[début]],MAX(0,MIN(H_Nov[[#This Row],[Fin corrigée si nuit]],fin_nuit)-MAX(H_Nov[[#This Row],[début]],deb_nuit))*24,(MAX(deb_nuit,H_Nov[[#This Row],[Fin]])-MAX(deb_nuit,H_Nov[[#This Row],[début]])+MAX(MIN(fin_nuit-1,H_Nov[[#This Row],[Fin]])-MIN(fin_nuit-1,H_Nov[[#This Row],[début]]),0))*24)</f>
        <v>0</v>
      </c>
      <c r="P16" s="35">
        <f>(MAX(0,MIN(H_Nov[[#This Row],[Fin corrigée si nuit]],fin_nuit)-MAX(H_Nov[[#This Row],[début]],deb_nuit))-IF(H_Nov[[#This Row],[PNP Début]]=0,0,MIN(H_Nov[[#This Row],[PNP Fin corrigée]],fin_nuit)-MAX(H_Nov[[#This Row],[PNP Début corrigé]],deb_nuit)))*24</f>
        <v>0</v>
      </c>
      <c r="Q16" s="35">
        <f>(IF(WEEKDAY(H_Nov[[#This Row],[Date]],2)=7,MAX(0,MIN(fin_dimJF,H_Nov[[#This Row],[Fin corrigée si nuit]])-MAX(deb_dimJF,H_Nov[[#This Row],[début]])),0)+IF(WEEKDAY(H_Nov[[#This Row],[Date]],2)=6,MAX(0,H_Nov[[#This Row],[Fin corrigée si nuit]]-(1+deb_dimJF)),0))*24</f>
        <v>0</v>
      </c>
      <c r="R16" s="3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16" s="36">
        <f>(IF(COUNTIF(JF,H_Nov[[#This Row],[Date]]),MAX(0,MIN(fin_dimJF,H_Nov[[#This Row],[Fin corrigée si nuit]])-MAX(deb_dimJF,H_Nov[[#This Row],[début]])),0)+IF(COUNTIF(JF,H_Nov[[#This Row],[Date]]+1),MAX(0,H_Nov[[#This Row],[Fin corrigée si nuit]]-(1+deb_dimJF)),0))*24</f>
        <v>0</v>
      </c>
      <c r="T16" s="36">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c r="V16" s="127" t="s">
        <v>135</v>
      </c>
      <c r="W16" s="128">
        <f>'Octobre 18'!Z16</f>
        <v>20.100000000000001</v>
      </c>
      <c r="X16" s="128">
        <f>I50</f>
        <v>0</v>
      </c>
      <c r="Y16" s="128"/>
      <c r="Z16" s="128">
        <f>W16+X16-Y16</f>
        <v>20.100000000000001</v>
      </c>
    </row>
    <row r="17" spans="1:20" x14ac:dyDescent="0.3">
      <c r="A17" s="4"/>
      <c r="B17" s="1"/>
      <c r="C17" s="2"/>
      <c r="D17" s="2"/>
      <c r="E17" s="3"/>
      <c r="F17" s="3"/>
      <c r="G17" s="9"/>
      <c r="H17" s="9"/>
      <c r="I17" s="37">
        <f>0.1*(H_Nov[[#This Row],[Heures de nuit]]+IF(H_Nov[[#This Row],[majoration dim &amp; JF]]="non",0,H_Nov[[#This Row],[heures jour dimanche]]+H_Nov[[#This Row],[heures jour fériés]]))</f>
        <v>0</v>
      </c>
      <c r="J17" s="38">
        <f>(MOD(H_Nov[[#This Row],[Fin]]-H_Nov[[#This Row],[début]],1)-MOD(H_Nov[[#This Row],[PNP Fin]]-H_Nov[[#This Row],[PNP Début]],1))*24</f>
        <v>0</v>
      </c>
      <c r="K17" s="122" t="str">
        <f>IFERROR(VLOOKUP(H_Nov[[#This Row],[Service]],Codes[],4,0),"")</f>
        <v/>
      </c>
      <c r="L17" s="39">
        <f>IF(H_Nov[[#This Row],[PNP Début]]=0,0,IF(H_Nov[[#This Row],[PNP Début]]&lt;H_Nov[[#This Row],[début]],1,0)+H_Nov[[#This Row],[PNP Début]])</f>
        <v>0</v>
      </c>
      <c r="M17" s="40">
        <f>IF(H_Nov[[#This Row],[PNP Fin]]=0,0,IF(H_Nov[[#This Row],[PNP Fin]]&lt;H_Nov[[#This Row],[début]],1,0)+H_Nov[[#This Row],[PNP Fin]])</f>
        <v>0</v>
      </c>
      <c r="N17" s="40">
        <f>IF(H_Nov[[#This Row],[Fin]]&lt;H_Nov[[#This Row],[début]],1,0)+H_Nov[[#This Row],[Fin]]</f>
        <v>0</v>
      </c>
      <c r="O17" s="31">
        <f>IF(H_Nov[[#This Row],[Fin]]&lt;H_Nov[[#This Row],[début]],MAX(0,MIN(H_Nov[[#This Row],[Fin corrigée si nuit]],fin_nuit)-MAX(H_Nov[[#This Row],[début]],deb_nuit))*24,(MAX(deb_nuit,H_Nov[[#This Row],[Fin]])-MAX(deb_nuit,H_Nov[[#This Row],[début]])+MAX(MIN(fin_nuit-1,H_Nov[[#This Row],[Fin]])-MIN(fin_nuit-1,H_Nov[[#This Row],[début]]),0))*24)</f>
        <v>0</v>
      </c>
      <c r="P17" s="41">
        <f>(MAX(0,MIN(H_Nov[[#This Row],[Fin corrigée si nuit]],fin_nuit)-MAX(H_Nov[[#This Row],[début]],deb_nuit))-IF(H_Nov[[#This Row],[PNP Début]]=0,0,MIN(H_Nov[[#This Row],[PNP Fin corrigée]],fin_nuit)-MAX(H_Nov[[#This Row],[PNP Début corrigé]],deb_nuit)))*24</f>
        <v>0</v>
      </c>
      <c r="Q17" s="41">
        <f>(IF(WEEKDAY(H_Nov[[#This Row],[Date]],2)=7,MAX(0,MIN(fin_dimJF,H_Nov[[#This Row],[Fin corrigée si nuit]])-MAX(deb_dimJF,H_Nov[[#This Row],[début]])),0)+IF(WEEKDAY(H_Nov[[#This Row],[Date]],2)=6,MAX(0,H_Nov[[#This Row],[Fin corrigée si nuit]]-(1+deb_dimJF)),0))*24</f>
        <v>0</v>
      </c>
      <c r="R17" s="4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17" s="41">
        <f>(IF(COUNTIF(JF,H_Nov[[#This Row],[Date]]),MAX(0,MIN(fin_dimJF,H_Nov[[#This Row],[Fin corrigée si nuit]])-MAX(deb_dimJF,H_Nov[[#This Row],[début]])),0)+IF(COUNTIF(JF,H_Nov[[#This Row],[Date]]+1),MAX(0,H_Nov[[#This Row],[Fin corrigée si nuit]]-(1+deb_dimJF)),0))*24</f>
        <v>0</v>
      </c>
      <c r="T17" s="4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18" spans="1:20" x14ac:dyDescent="0.3">
      <c r="A18" s="4"/>
      <c r="B18" s="1"/>
      <c r="C18" s="2"/>
      <c r="D18" s="2"/>
      <c r="E18" s="9"/>
      <c r="F18" s="9"/>
      <c r="G18" s="9"/>
      <c r="H18" s="9"/>
      <c r="I18" s="37">
        <f>0.1*(H_Nov[[#This Row],[Heures de nuit]]+IF(H_Nov[[#This Row],[majoration dim &amp; JF]]="non",0,H_Nov[[#This Row],[heures jour dimanche]]+H_Nov[[#This Row],[heures jour fériés]]))</f>
        <v>0</v>
      </c>
      <c r="J18" s="38">
        <f>(MOD(H_Nov[[#This Row],[Fin]]-H_Nov[[#This Row],[début]],1)-MOD(H_Nov[[#This Row],[PNP Fin]]-H_Nov[[#This Row],[PNP Début]],1))*24</f>
        <v>0</v>
      </c>
      <c r="K18" s="122" t="str">
        <f>IFERROR(VLOOKUP(H_Nov[[#This Row],[Service]],Codes[],4,0),"")</f>
        <v/>
      </c>
      <c r="L18" s="39">
        <f>IF(H_Nov[[#This Row],[PNP Début]]=0,0,IF(H_Nov[[#This Row],[PNP Début]]&lt;H_Nov[[#This Row],[début]],1,0)+H_Nov[[#This Row],[PNP Début]])</f>
        <v>0</v>
      </c>
      <c r="M18" s="40">
        <f>IF(H_Nov[[#This Row],[PNP Fin]]=0,0,IF(H_Nov[[#This Row],[PNP Fin]]&lt;H_Nov[[#This Row],[début]],1,0)+H_Nov[[#This Row],[PNP Fin]])</f>
        <v>0</v>
      </c>
      <c r="N18" s="40">
        <f>IF(H_Nov[[#This Row],[Fin]]&lt;H_Nov[[#This Row],[début]],1,0)+H_Nov[[#This Row],[Fin]]</f>
        <v>0</v>
      </c>
      <c r="O18" s="31">
        <f>IF(H_Nov[[#This Row],[Fin]]&lt;H_Nov[[#This Row],[début]],MAX(0,MIN(H_Nov[[#This Row],[Fin corrigée si nuit]],fin_nuit)-MAX(H_Nov[[#This Row],[début]],deb_nuit))*24,(MAX(deb_nuit,H_Nov[[#This Row],[Fin]])-MAX(deb_nuit,H_Nov[[#This Row],[début]])+MAX(MIN(fin_nuit-1,H_Nov[[#This Row],[Fin]])-MIN(fin_nuit-1,H_Nov[[#This Row],[début]]),0))*24)</f>
        <v>0</v>
      </c>
      <c r="P18" s="41">
        <f>(MAX(0,MIN(H_Nov[[#This Row],[Fin corrigée si nuit]],fin_nuit)-MAX(H_Nov[[#This Row],[début]],deb_nuit))-IF(H_Nov[[#This Row],[PNP Début]]=0,0,MIN(H_Nov[[#This Row],[PNP Fin corrigée]],fin_nuit)-MAX(H_Nov[[#This Row],[PNP Début corrigé]],deb_nuit)))*24</f>
        <v>0</v>
      </c>
      <c r="Q18" s="41">
        <f>(IF(WEEKDAY(H_Nov[[#This Row],[Date]],2)=7,MAX(0,MIN(fin_dimJF,H_Nov[[#This Row],[Fin corrigée si nuit]])-MAX(deb_dimJF,H_Nov[[#This Row],[début]])),0)+IF(WEEKDAY(H_Nov[[#This Row],[Date]],2)=6,MAX(0,H_Nov[[#This Row],[Fin corrigée si nuit]]-(1+deb_dimJF)),0))*24</f>
        <v>0</v>
      </c>
      <c r="R18" s="4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18" s="41">
        <f>(IF(COUNTIF(JF,H_Nov[[#This Row],[Date]]),MAX(0,MIN(fin_dimJF,H_Nov[[#This Row],[Fin corrigée si nuit]])-MAX(deb_dimJF,H_Nov[[#This Row],[début]])),0)+IF(COUNTIF(JF,H_Nov[[#This Row],[Date]]+1),MAX(0,H_Nov[[#This Row],[Fin corrigée si nuit]]-(1+deb_dimJF)),0))*24</f>
        <v>0</v>
      </c>
      <c r="T18" s="4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19" spans="1:20" x14ac:dyDescent="0.3">
      <c r="A19" s="4"/>
      <c r="B19" s="1"/>
      <c r="C19" s="2"/>
      <c r="D19" s="2"/>
      <c r="E19" s="3"/>
      <c r="F19" s="3"/>
      <c r="G19" s="9"/>
      <c r="H19" s="9"/>
      <c r="I19" s="37">
        <f>0.1*(H_Nov[[#This Row],[Heures de nuit]]+IF(H_Nov[[#This Row],[majoration dim &amp; JF]]="non",0,H_Nov[[#This Row],[heures jour dimanche]]+H_Nov[[#This Row],[heures jour fériés]]))</f>
        <v>0</v>
      </c>
      <c r="J19" s="38">
        <f>(MOD(H_Nov[[#This Row],[Fin]]-H_Nov[[#This Row],[début]],1)-MOD(H_Nov[[#This Row],[PNP Fin]]-H_Nov[[#This Row],[PNP Début]],1))*24</f>
        <v>0</v>
      </c>
      <c r="K19" s="122" t="str">
        <f>IFERROR(VLOOKUP(H_Nov[[#This Row],[Service]],Codes[],4,0),"")</f>
        <v/>
      </c>
      <c r="L19" s="39">
        <f>IF(H_Nov[[#This Row],[PNP Début]]=0,0,IF(H_Nov[[#This Row],[PNP Début]]&lt;H_Nov[[#This Row],[début]],1,0)+H_Nov[[#This Row],[PNP Début]])</f>
        <v>0</v>
      </c>
      <c r="M19" s="40">
        <f>IF(H_Nov[[#This Row],[PNP Fin]]=0,0,IF(H_Nov[[#This Row],[PNP Fin]]&lt;H_Nov[[#This Row],[début]],1,0)+H_Nov[[#This Row],[PNP Fin]])</f>
        <v>0</v>
      </c>
      <c r="N19" s="40">
        <f>IF(H_Nov[[#This Row],[Fin]]&lt;H_Nov[[#This Row],[début]],1,0)+H_Nov[[#This Row],[Fin]]</f>
        <v>0</v>
      </c>
      <c r="O19" s="31">
        <f>IF(H_Nov[[#This Row],[Fin]]&lt;H_Nov[[#This Row],[début]],MAX(0,MIN(H_Nov[[#This Row],[Fin corrigée si nuit]],fin_nuit)-MAX(H_Nov[[#This Row],[début]],deb_nuit))*24,(MAX(deb_nuit,H_Nov[[#This Row],[Fin]])-MAX(deb_nuit,H_Nov[[#This Row],[début]])+MAX(MIN(fin_nuit-1,H_Nov[[#This Row],[Fin]])-MIN(fin_nuit-1,H_Nov[[#This Row],[début]]),0))*24)</f>
        <v>0</v>
      </c>
      <c r="P19" s="41">
        <f>(MAX(0,MIN(H_Nov[[#This Row],[Fin corrigée si nuit]],fin_nuit)-MAX(H_Nov[[#This Row],[début]],deb_nuit))-IF(H_Nov[[#This Row],[PNP Début]]=0,0,MIN(H_Nov[[#This Row],[PNP Fin corrigée]],fin_nuit)-MAX(H_Nov[[#This Row],[PNP Début corrigé]],deb_nuit)))*24</f>
        <v>0</v>
      </c>
      <c r="Q19" s="41">
        <f>(IF(WEEKDAY(H_Nov[[#This Row],[Date]],2)=7,MAX(0,MIN(fin_dimJF,H_Nov[[#This Row],[Fin corrigée si nuit]])-MAX(deb_dimJF,H_Nov[[#This Row],[début]])),0)+IF(WEEKDAY(H_Nov[[#This Row],[Date]],2)=6,MAX(0,H_Nov[[#This Row],[Fin corrigée si nuit]]-(1+deb_dimJF)),0))*24</f>
        <v>0</v>
      </c>
      <c r="R19" s="4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19" s="41">
        <f>(IF(COUNTIF(JF,H_Nov[[#This Row],[Date]]),MAX(0,MIN(fin_dimJF,H_Nov[[#This Row],[Fin corrigée si nuit]])-MAX(deb_dimJF,H_Nov[[#This Row],[début]])),0)+IF(COUNTIF(JF,H_Nov[[#This Row],[Date]]+1),MAX(0,H_Nov[[#This Row],[Fin corrigée si nuit]]-(1+deb_dimJF)),0))*24</f>
        <v>0</v>
      </c>
      <c r="T19" s="4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0" spans="1:20" x14ac:dyDescent="0.3">
      <c r="A20" s="4"/>
      <c r="B20" s="1"/>
      <c r="C20" s="2"/>
      <c r="D20" s="2"/>
      <c r="E20" s="9"/>
      <c r="F20" s="9"/>
      <c r="G20" s="9"/>
      <c r="H20" s="9"/>
      <c r="I20" s="37">
        <f>0.1*(H_Nov[[#This Row],[Heures de nuit]]+IF(H_Nov[[#This Row],[majoration dim &amp; JF]]="non",0,H_Nov[[#This Row],[heures jour dimanche]]+H_Nov[[#This Row],[heures jour fériés]]))</f>
        <v>0</v>
      </c>
      <c r="J20" s="38">
        <f>(MOD(H_Nov[[#This Row],[Fin]]-H_Nov[[#This Row],[début]],1)-MOD(H_Nov[[#This Row],[PNP Fin]]-H_Nov[[#This Row],[PNP Début]],1))*24</f>
        <v>0</v>
      </c>
      <c r="K20" s="122" t="str">
        <f>IFERROR(VLOOKUP(H_Nov[[#This Row],[Service]],Codes[],4,0),"")</f>
        <v/>
      </c>
      <c r="L20" s="39">
        <f>IF(H_Nov[[#This Row],[PNP Début]]=0,0,IF(H_Nov[[#This Row],[PNP Début]]&lt;H_Nov[[#This Row],[début]],1,0)+H_Nov[[#This Row],[PNP Début]])</f>
        <v>0</v>
      </c>
      <c r="M20" s="40">
        <f>IF(H_Nov[[#This Row],[PNP Fin]]=0,0,IF(H_Nov[[#This Row],[PNP Fin]]&lt;H_Nov[[#This Row],[début]],1,0)+H_Nov[[#This Row],[PNP Fin]])</f>
        <v>0</v>
      </c>
      <c r="N20" s="40">
        <f>IF(H_Nov[[#This Row],[Fin]]&lt;H_Nov[[#This Row],[début]],1,0)+H_Nov[[#This Row],[Fin]]</f>
        <v>0</v>
      </c>
      <c r="O20" s="31">
        <f>IF(H_Nov[[#This Row],[Fin]]&lt;H_Nov[[#This Row],[début]],MAX(0,MIN(H_Nov[[#This Row],[Fin corrigée si nuit]],fin_nuit)-MAX(H_Nov[[#This Row],[début]],deb_nuit))*24,(MAX(deb_nuit,H_Nov[[#This Row],[Fin]])-MAX(deb_nuit,H_Nov[[#This Row],[début]])+MAX(MIN(fin_nuit-1,H_Nov[[#This Row],[Fin]])-MIN(fin_nuit-1,H_Nov[[#This Row],[début]]),0))*24)</f>
        <v>0</v>
      </c>
      <c r="P20" s="41">
        <f>(MAX(0,MIN(H_Nov[[#This Row],[Fin corrigée si nuit]],fin_nuit)-MAX(H_Nov[[#This Row],[début]],deb_nuit))-IF(H_Nov[[#This Row],[PNP Début]]=0,0,MIN(H_Nov[[#This Row],[PNP Fin corrigée]],fin_nuit)-MAX(H_Nov[[#This Row],[PNP Début corrigé]],deb_nuit)))*24</f>
        <v>0</v>
      </c>
      <c r="Q20" s="41">
        <f>(IF(WEEKDAY(H_Nov[[#This Row],[Date]],2)=7,MAX(0,MIN(fin_dimJF,H_Nov[[#This Row],[Fin corrigée si nuit]])-MAX(deb_dimJF,H_Nov[[#This Row],[début]])),0)+IF(WEEKDAY(H_Nov[[#This Row],[Date]],2)=6,MAX(0,H_Nov[[#This Row],[Fin corrigée si nuit]]-(1+deb_dimJF)),0))*24</f>
        <v>0</v>
      </c>
      <c r="R20" s="4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0" s="41">
        <f>(IF(COUNTIF(JF,H_Nov[[#This Row],[Date]]),MAX(0,MIN(fin_dimJF,H_Nov[[#This Row],[Fin corrigée si nuit]])-MAX(deb_dimJF,H_Nov[[#This Row],[début]])),0)+IF(COUNTIF(JF,H_Nov[[#This Row],[Date]]+1),MAX(0,H_Nov[[#This Row],[Fin corrigée si nuit]]-(1+deb_dimJF)),0))*24</f>
        <v>0</v>
      </c>
      <c r="T20" s="4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1" spans="1:20" x14ac:dyDescent="0.3">
      <c r="A21" s="4"/>
      <c r="B21" s="1"/>
      <c r="C21" s="2"/>
      <c r="D21" s="2"/>
      <c r="E21" s="3"/>
      <c r="F21" s="3"/>
      <c r="G21" s="10"/>
      <c r="H21" s="10"/>
      <c r="I21" s="42">
        <f>0.1*(H_Nov[[#This Row],[Heures de nuit]]+IF(H_Nov[[#This Row],[majoration dim &amp; JF]]="non",0,H_Nov[[#This Row],[heures jour dimanche]]+H_Nov[[#This Row],[heures jour fériés]]))</f>
        <v>0</v>
      </c>
      <c r="J21" s="43">
        <f>(MOD(H_Nov[[#This Row],[Fin]]-H_Nov[[#This Row],[début]],1)-MOD(H_Nov[[#This Row],[PNP Fin]]-H_Nov[[#This Row],[PNP Début]],1))*24</f>
        <v>0</v>
      </c>
      <c r="K21" s="123" t="str">
        <f>IFERROR(VLOOKUP(H_Nov[[#This Row],[Service]],Codes[],4,0),"")</f>
        <v/>
      </c>
      <c r="L21" s="44">
        <f>IF(H_Nov[[#This Row],[PNP Début]]=0,0,IF(H_Nov[[#This Row],[PNP Début]]&lt;H_Nov[[#This Row],[début]],1,0)+H_Nov[[#This Row],[PNP Début]])</f>
        <v>0</v>
      </c>
      <c r="M21" s="45">
        <f>IF(H_Nov[[#This Row],[PNP Fin]]=0,0,IF(H_Nov[[#This Row],[PNP Fin]]&lt;H_Nov[[#This Row],[début]],1,0)+H_Nov[[#This Row],[PNP Fin]])</f>
        <v>0</v>
      </c>
      <c r="N21" s="45">
        <f>IF(H_Nov[[#This Row],[Fin]]&lt;H_Nov[[#This Row],[début]],1,0)+H_Nov[[#This Row],[Fin]]</f>
        <v>0</v>
      </c>
      <c r="O21" s="31">
        <f>IF(H_Nov[[#This Row],[Fin]]&lt;H_Nov[[#This Row],[début]],MAX(0,MIN(H_Nov[[#This Row],[Fin corrigée si nuit]],fin_nuit)-MAX(H_Nov[[#This Row],[début]],deb_nuit))*24,(MAX(deb_nuit,H_Nov[[#This Row],[Fin]])-MAX(deb_nuit,H_Nov[[#This Row],[début]])+MAX(MIN(fin_nuit-1,H_Nov[[#This Row],[Fin]])-MIN(fin_nuit-1,H_Nov[[#This Row],[début]]),0))*24)</f>
        <v>0</v>
      </c>
      <c r="P21" s="46">
        <f>(MAX(0,MIN(H_Nov[[#This Row],[Fin corrigée si nuit]],fin_nuit)-MAX(H_Nov[[#This Row],[début]],deb_nuit))-IF(H_Nov[[#This Row],[PNP Début]]=0,0,MIN(H_Nov[[#This Row],[PNP Fin corrigée]],fin_nuit)-MAX(H_Nov[[#This Row],[PNP Début corrigé]],deb_nuit)))*24</f>
        <v>0</v>
      </c>
      <c r="Q21" s="46">
        <f>(IF(WEEKDAY(H_Nov[[#This Row],[Date]],2)=7,MAX(0,MIN(fin_dimJF,H_Nov[[#This Row],[Fin corrigée si nuit]])-MAX(deb_dimJF,H_Nov[[#This Row],[début]])),0)+IF(WEEKDAY(H_Nov[[#This Row],[Date]],2)=6,MAX(0,H_Nov[[#This Row],[Fin corrigée si nuit]]-(1+deb_dimJF)),0))*24</f>
        <v>0</v>
      </c>
      <c r="R21" s="46">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1" s="46">
        <f>(IF(COUNTIF(JF,H_Nov[[#This Row],[Date]]),MAX(0,MIN(fin_dimJF,H_Nov[[#This Row],[Fin corrigée si nuit]])-MAX(deb_dimJF,H_Nov[[#This Row],[début]])),0)+IF(COUNTIF(JF,H_Nov[[#This Row],[Date]]+1),MAX(0,H_Nov[[#This Row],[Fin corrigée si nuit]]-(1+deb_dimJF)),0))*24</f>
        <v>0</v>
      </c>
      <c r="T21" s="46">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2" spans="1:20" x14ac:dyDescent="0.3">
      <c r="A22" s="4"/>
      <c r="B22" s="1"/>
      <c r="C22" s="2"/>
      <c r="D22" s="2"/>
      <c r="E22" s="3"/>
      <c r="F22" s="3"/>
      <c r="G22" s="3"/>
      <c r="H22" s="3"/>
      <c r="I22" s="47">
        <f>0.1*(H_Nov[[#This Row],[Heures de nuit]]+IF(H_Nov[[#This Row],[majoration dim &amp; JF]]="non",0,H_Nov[[#This Row],[heures jour dimanche]]+H_Nov[[#This Row],[heures jour fériés]]))</f>
        <v>0</v>
      </c>
      <c r="J22" s="48">
        <f>(MOD(H_Nov[[#This Row],[Fin]]-H_Nov[[#This Row],[début]],1)-MOD(H_Nov[[#This Row],[PNP Fin]]-H_Nov[[#This Row],[PNP Début]],1))*24</f>
        <v>0</v>
      </c>
      <c r="K22" s="119" t="str">
        <f>IFERROR(VLOOKUP(H_Nov[[#This Row],[Service]],Codes[],4,0),"")</f>
        <v/>
      </c>
      <c r="L22" s="49">
        <f>IF(H_Nov[[#This Row],[PNP Début]]=0,0,IF(H_Nov[[#This Row],[PNP Début]]&lt;H_Nov[[#This Row],[début]],1,0)+H_Nov[[#This Row],[PNP Début]])</f>
        <v>0</v>
      </c>
      <c r="M22" s="50">
        <f>IF(H_Nov[[#This Row],[PNP Fin]]=0,0,IF(H_Nov[[#This Row],[PNP Fin]]&lt;H_Nov[[#This Row],[début]],1,0)+H_Nov[[#This Row],[PNP Fin]])</f>
        <v>0</v>
      </c>
      <c r="N22" s="50">
        <f>IF(H_Nov[[#This Row],[Fin]]&lt;H_Nov[[#This Row],[début]],1,0)+H_Nov[[#This Row],[Fin]]</f>
        <v>0</v>
      </c>
      <c r="O22" s="31">
        <f>IF(H_Nov[[#This Row],[Fin]]&lt;H_Nov[[#This Row],[début]],MAX(0,MIN(H_Nov[[#This Row],[Fin corrigée si nuit]],fin_nuit)-MAX(H_Nov[[#This Row],[début]],deb_nuit))*24,(MAX(deb_nuit,H_Nov[[#This Row],[Fin]])-MAX(deb_nuit,H_Nov[[#This Row],[début]])+MAX(MIN(fin_nuit-1,H_Nov[[#This Row],[Fin]])-MIN(fin_nuit-1,H_Nov[[#This Row],[début]]),0))*24)</f>
        <v>0</v>
      </c>
      <c r="P22" s="51">
        <f>(MAX(0,MIN(H_Nov[[#This Row],[Fin corrigée si nuit]],fin_nuit)-MAX(H_Nov[[#This Row],[début]],deb_nuit))-IF(H_Nov[[#This Row],[PNP Début]]=0,0,MIN(H_Nov[[#This Row],[PNP Fin corrigée]],fin_nuit)-MAX(H_Nov[[#This Row],[PNP Début corrigé]],deb_nuit)))*24</f>
        <v>0</v>
      </c>
      <c r="Q22" s="51">
        <f>(IF(WEEKDAY(H_Nov[[#This Row],[Date]],2)=7,MAX(0,MIN(fin_dimJF,H_Nov[[#This Row],[Fin corrigée si nuit]])-MAX(deb_dimJF,H_Nov[[#This Row],[début]])),0)+IF(WEEKDAY(H_Nov[[#This Row],[Date]],2)=6,MAX(0,H_Nov[[#This Row],[Fin corrigée si nuit]]-(1+deb_dimJF)),0))*24</f>
        <v>0</v>
      </c>
      <c r="R22"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2" s="51">
        <f>(IF(COUNTIF(JF,H_Nov[[#This Row],[Date]]),MAX(0,MIN(fin_dimJF,H_Nov[[#This Row],[Fin corrigée si nuit]])-MAX(deb_dimJF,H_Nov[[#This Row],[début]])),0)+IF(COUNTIF(JF,H_Nov[[#This Row],[Date]]+1),MAX(0,H_Nov[[#This Row],[Fin corrigée si nuit]]-(1+deb_dimJF)),0))*24</f>
        <v>0</v>
      </c>
      <c r="T22"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3" spans="1:20" x14ac:dyDescent="0.3">
      <c r="A23" s="4"/>
      <c r="B23" s="1"/>
      <c r="C23" s="2"/>
      <c r="D23" s="2"/>
      <c r="E23" s="3"/>
      <c r="F23" s="3"/>
      <c r="G23" s="3"/>
      <c r="H23" s="3"/>
      <c r="I23" s="47">
        <f>0.1*(H_Nov[[#This Row],[Heures de nuit]]+IF(H_Nov[[#This Row],[majoration dim &amp; JF]]="non",0,H_Nov[[#This Row],[heures jour dimanche]]+H_Nov[[#This Row],[heures jour fériés]]))</f>
        <v>0</v>
      </c>
      <c r="J23" s="48">
        <f>(MOD(H_Nov[[#This Row],[Fin]]-H_Nov[[#This Row],[début]],1)-MOD(H_Nov[[#This Row],[PNP Fin]]-H_Nov[[#This Row],[PNP Début]],1))*24</f>
        <v>0</v>
      </c>
      <c r="K23" s="119" t="str">
        <f>IFERROR(VLOOKUP(H_Nov[[#This Row],[Service]],Codes[],4,0),"")</f>
        <v/>
      </c>
      <c r="L23" s="49">
        <f>IF(H_Nov[[#This Row],[PNP Début]]=0,0,IF(H_Nov[[#This Row],[PNP Début]]&lt;H_Nov[[#This Row],[début]],1,0)+H_Nov[[#This Row],[PNP Début]])</f>
        <v>0</v>
      </c>
      <c r="M23" s="50">
        <f>IF(H_Nov[[#This Row],[PNP Fin]]=0,0,IF(H_Nov[[#This Row],[PNP Fin]]&lt;H_Nov[[#This Row],[début]],1,0)+H_Nov[[#This Row],[PNP Fin]])</f>
        <v>0</v>
      </c>
      <c r="N23" s="50">
        <f>IF(H_Nov[[#This Row],[Fin]]&lt;H_Nov[[#This Row],[début]],1,0)+H_Nov[[#This Row],[Fin]]</f>
        <v>0</v>
      </c>
      <c r="O23" s="31">
        <f>IF(H_Nov[[#This Row],[Fin]]&lt;H_Nov[[#This Row],[début]],MAX(0,MIN(H_Nov[[#This Row],[Fin corrigée si nuit]],fin_nuit)-MAX(H_Nov[[#This Row],[début]],deb_nuit))*24,(MAX(deb_nuit,H_Nov[[#This Row],[Fin]])-MAX(deb_nuit,H_Nov[[#This Row],[début]])+MAX(MIN(fin_nuit-1,H_Nov[[#This Row],[Fin]])-MIN(fin_nuit-1,H_Nov[[#This Row],[début]]),0))*24)</f>
        <v>0</v>
      </c>
      <c r="P23" s="51">
        <f>(MAX(0,MIN(H_Nov[[#This Row],[Fin corrigée si nuit]],fin_nuit)-MAX(H_Nov[[#This Row],[début]],deb_nuit))-IF(H_Nov[[#This Row],[PNP Début]]=0,0,MIN(H_Nov[[#This Row],[PNP Fin corrigée]],fin_nuit)-MAX(H_Nov[[#This Row],[PNP Début corrigé]],deb_nuit)))*24</f>
        <v>0</v>
      </c>
      <c r="Q23" s="51">
        <f>(IF(WEEKDAY(H_Nov[[#This Row],[Date]],2)=7,MAX(0,MIN(fin_dimJF,H_Nov[[#This Row],[Fin corrigée si nuit]])-MAX(deb_dimJF,H_Nov[[#This Row],[début]])),0)+IF(WEEKDAY(H_Nov[[#This Row],[Date]],2)=6,MAX(0,H_Nov[[#This Row],[Fin corrigée si nuit]]-(1+deb_dimJF)),0))*24</f>
        <v>0</v>
      </c>
      <c r="R23"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3" s="51">
        <f>(IF(COUNTIF(JF,H_Nov[[#This Row],[Date]]),MAX(0,MIN(fin_dimJF,H_Nov[[#This Row],[Fin corrigée si nuit]])-MAX(deb_dimJF,H_Nov[[#This Row],[début]])),0)+IF(COUNTIF(JF,H_Nov[[#This Row],[Date]]+1),MAX(0,H_Nov[[#This Row],[Fin corrigée si nuit]]-(1+deb_dimJF)),0))*24</f>
        <v>0</v>
      </c>
      <c r="T23"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4" spans="1:20" x14ac:dyDescent="0.3">
      <c r="A24" s="4"/>
      <c r="B24" s="1"/>
      <c r="C24" s="2"/>
      <c r="D24" s="2"/>
      <c r="E24" s="3"/>
      <c r="F24" s="3"/>
      <c r="G24" s="3"/>
      <c r="H24" s="3"/>
      <c r="I24" s="47">
        <f>0.1*(H_Nov[[#This Row],[Heures de nuit]]+IF(H_Nov[[#This Row],[majoration dim &amp; JF]]="non",0,H_Nov[[#This Row],[heures jour dimanche]]+H_Nov[[#This Row],[heures jour fériés]]))</f>
        <v>0</v>
      </c>
      <c r="J24" s="48">
        <f>(MOD(H_Nov[[#This Row],[Fin]]-H_Nov[[#This Row],[début]],1)-MOD(H_Nov[[#This Row],[PNP Fin]]-H_Nov[[#This Row],[PNP Début]],1))*24</f>
        <v>0</v>
      </c>
      <c r="K24" s="119" t="str">
        <f>IFERROR(VLOOKUP(H_Nov[[#This Row],[Service]],Codes[],4,0),"")</f>
        <v/>
      </c>
      <c r="L24" s="49">
        <f>IF(H_Nov[[#This Row],[PNP Début]]=0,0,IF(H_Nov[[#This Row],[PNP Début]]&lt;H_Nov[[#This Row],[début]],1,0)+H_Nov[[#This Row],[PNP Début]])</f>
        <v>0</v>
      </c>
      <c r="M24" s="50">
        <f>IF(H_Nov[[#This Row],[PNP Fin]]=0,0,IF(H_Nov[[#This Row],[PNP Fin]]&lt;H_Nov[[#This Row],[début]],1,0)+H_Nov[[#This Row],[PNP Fin]])</f>
        <v>0</v>
      </c>
      <c r="N24" s="50">
        <f>IF(H_Nov[[#This Row],[Fin]]&lt;H_Nov[[#This Row],[début]],1,0)+H_Nov[[#This Row],[Fin]]</f>
        <v>0</v>
      </c>
      <c r="O24" s="31">
        <f>IF(H_Nov[[#This Row],[Fin]]&lt;H_Nov[[#This Row],[début]],MAX(0,MIN(H_Nov[[#This Row],[Fin corrigée si nuit]],fin_nuit)-MAX(H_Nov[[#This Row],[début]],deb_nuit))*24,(MAX(deb_nuit,H_Nov[[#This Row],[Fin]])-MAX(deb_nuit,H_Nov[[#This Row],[début]])+MAX(MIN(fin_nuit-1,H_Nov[[#This Row],[Fin]])-MIN(fin_nuit-1,H_Nov[[#This Row],[début]]),0))*24)</f>
        <v>0</v>
      </c>
      <c r="P24" s="51">
        <f>(MAX(0,MIN(H_Nov[[#This Row],[Fin corrigée si nuit]],fin_nuit)-MAX(H_Nov[[#This Row],[début]],deb_nuit))-IF(H_Nov[[#This Row],[PNP Début]]=0,0,MIN(H_Nov[[#This Row],[PNP Fin corrigée]],fin_nuit)-MAX(H_Nov[[#This Row],[PNP Début corrigé]],deb_nuit)))*24</f>
        <v>0</v>
      </c>
      <c r="Q24" s="51">
        <f>(IF(WEEKDAY(H_Nov[[#This Row],[Date]],2)=7,MAX(0,MIN(fin_dimJF,H_Nov[[#This Row],[Fin corrigée si nuit]])-MAX(deb_dimJF,H_Nov[[#This Row],[début]])),0)+IF(WEEKDAY(H_Nov[[#This Row],[Date]],2)=6,MAX(0,H_Nov[[#This Row],[Fin corrigée si nuit]]-(1+deb_dimJF)),0))*24</f>
        <v>0</v>
      </c>
      <c r="R24"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4" s="51">
        <f>(IF(COUNTIF(JF,H_Nov[[#This Row],[Date]]),MAX(0,MIN(fin_dimJF,H_Nov[[#This Row],[Fin corrigée si nuit]])-MAX(deb_dimJF,H_Nov[[#This Row],[début]])),0)+IF(COUNTIF(JF,H_Nov[[#This Row],[Date]]+1),MAX(0,H_Nov[[#This Row],[Fin corrigée si nuit]]-(1+deb_dimJF)),0))*24</f>
        <v>0</v>
      </c>
      <c r="T24"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5" spans="1:20" x14ac:dyDescent="0.3">
      <c r="A25" s="4"/>
      <c r="B25" s="1"/>
      <c r="C25" s="2"/>
      <c r="D25" s="2"/>
      <c r="E25" s="3"/>
      <c r="F25" s="3"/>
      <c r="G25" s="3"/>
      <c r="H25" s="3"/>
      <c r="I25" s="47">
        <f>0.1*(H_Nov[[#This Row],[Heures de nuit]]+IF(H_Nov[[#This Row],[majoration dim &amp; JF]]="non",0,H_Nov[[#This Row],[heures jour dimanche]]+H_Nov[[#This Row],[heures jour fériés]]))</f>
        <v>0</v>
      </c>
      <c r="J25" s="48">
        <f>(MOD(H_Nov[[#This Row],[Fin]]-H_Nov[[#This Row],[début]],1)-MOD(H_Nov[[#This Row],[PNP Fin]]-H_Nov[[#This Row],[PNP Début]],1))*24</f>
        <v>0</v>
      </c>
      <c r="K25" s="119" t="str">
        <f>IFERROR(VLOOKUP(H_Nov[[#This Row],[Service]],Codes[],4,0),"")</f>
        <v/>
      </c>
      <c r="L25" s="49">
        <f>IF(H_Nov[[#This Row],[PNP Début]]=0,0,IF(H_Nov[[#This Row],[PNP Début]]&lt;H_Nov[[#This Row],[début]],1,0)+H_Nov[[#This Row],[PNP Début]])</f>
        <v>0</v>
      </c>
      <c r="M25" s="50">
        <f>IF(H_Nov[[#This Row],[PNP Fin]]=0,0,IF(H_Nov[[#This Row],[PNP Fin]]&lt;H_Nov[[#This Row],[début]],1,0)+H_Nov[[#This Row],[PNP Fin]])</f>
        <v>0</v>
      </c>
      <c r="N25" s="50">
        <f>IF(H_Nov[[#This Row],[Fin]]&lt;H_Nov[[#This Row],[début]],1,0)+H_Nov[[#This Row],[Fin]]</f>
        <v>0</v>
      </c>
      <c r="O25" s="31">
        <f>IF(H_Nov[[#This Row],[Fin]]&lt;H_Nov[[#This Row],[début]],MAX(0,MIN(H_Nov[[#This Row],[Fin corrigée si nuit]],fin_nuit)-MAX(H_Nov[[#This Row],[début]],deb_nuit))*24,(MAX(deb_nuit,H_Nov[[#This Row],[Fin]])-MAX(deb_nuit,H_Nov[[#This Row],[début]])+MAX(MIN(fin_nuit-1,H_Nov[[#This Row],[Fin]])-MIN(fin_nuit-1,H_Nov[[#This Row],[début]]),0))*24)</f>
        <v>0</v>
      </c>
      <c r="P25" s="51">
        <f>(MAX(0,MIN(H_Nov[[#This Row],[Fin corrigée si nuit]],fin_nuit)-MAX(H_Nov[[#This Row],[début]],deb_nuit))-IF(H_Nov[[#This Row],[PNP Début]]=0,0,MIN(H_Nov[[#This Row],[PNP Fin corrigée]],fin_nuit)-MAX(H_Nov[[#This Row],[PNP Début corrigé]],deb_nuit)))*24</f>
        <v>0</v>
      </c>
      <c r="Q25" s="51">
        <f>(IF(WEEKDAY(H_Nov[[#This Row],[Date]],2)=7,MAX(0,MIN(fin_dimJF,H_Nov[[#This Row],[Fin corrigée si nuit]])-MAX(deb_dimJF,H_Nov[[#This Row],[début]])),0)+IF(WEEKDAY(H_Nov[[#This Row],[Date]],2)=6,MAX(0,H_Nov[[#This Row],[Fin corrigée si nuit]]-(1+deb_dimJF)),0))*24</f>
        <v>0</v>
      </c>
      <c r="R25"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5" s="51">
        <f>(IF(COUNTIF(JF,H_Nov[[#This Row],[Date]]),MAX(0,MIN(fin_dimJF,H_Nov[[#This Row],[Fin corrigée si nuit]])-MAX(deb_dimJF,H_Nov[[#This Row],[début]])),0)+IF(COUNTIF(JF,H_Nov[[#This Row],[Date]]+1),MAX(0,H_Nov[[#This Row],[Fin corrigée si nuit]]-(1+deb_dimJF)),0))*24</f>
        <v>0</v>
      </c>
      <c r="T25"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6" spans="1:20" ht="14.4" customHeight="1" x14ac:dyDescent="0.3">
      <c r="A26" s="4"/>
      <c r="B26" s="1"/>
      <c r="C26" s="2"/>
      <c r="D26" s="2"/>
      <c r="E26" s="3"/>
      <c r="F26" s="3"/>
      <c r="G26" s="3"/>
      <c r="H26" s="3"/>
      <c r="I26" s="47">
        <f>0.1*(H_Nov[[#This Row],[Heures de nuit]]+IF(H_Nov[[#This Row],[majoration dim &amp; JF]]="non",0,H_Nov[[#This Row],[heures jour dimanche]]+H_Nov[[#This Row],[heures jour fériés]]))</f>
        <v>0</v>
      </c>
      <c r="J26" s="48">
        <f>(MOD(H_Nov[[#This Row],[Fin]]-H_Nov[[#This Row],[début]],1)-MOD(H_Nov[[#This Row],[PNP Fin]]-H_Nov[[#This Row],[PNP Début]],1))*24</f>
        <v>0</v>
      </c>
      <c r="K26" s="119" t="str">
        <f>IFERROR(VLOOKUP(H_Nov[[#This Row],[Service]],Codes[],4,0),"")</f>
        <v/>
      </c>
      <c r="L26" s="49">
        <f>IF(H_Nov[[#This Row],[PNP Début]]=0,0,IF(H_Nov[[#This Row],[PNP Début]]&lt;H_Nov[[#This Row],[début]],1,0)+H_Nov[[#This Row],[PNP Début]])</f>
        <v>0</v>
      </c>
      <c r="M26" s="50">
        <f>IF(H_Nov[[#This Row],[PNP Fin]]=0,0,IF(H_Nov[[#This Row],[PNP Fin]]&lt;H_Nov[[#This Row],[début]],1,0)+H_Nov[[#This Row],[PNP Fin]])</f>
        <v>0</v>
      </c>
      <c r="N26" s="50">
        <f>IF(H_Nov[[#This Row],[Fin]]&lt;H_Nov[[#This Row],[début]],1,0)+H_Nov[[#This Row],[Fin]]</f>
        <v>0</v>
      </c>
      <c r="O26" s="31">
        <f>IF(H_Nov[[#This Row],[Fin]]&lt;H_Nov[[#This Row],[début]],MAX(0,MIN(H_Nov[[#This Row],[Fin corrigée si nuit]],fin_nuit)-MAX(H_Nov[[#This Row],[début]],deb_nuit))*24,(MAX(deb_nuit,H_Nov[[#This Row],[Fin]])-MAX(deb_nuit,H_Nov[[#This Row],[début]])+MAX(MIN(fin_nuit-1,H_Nov[[#This Row],[Fin]])-MIN(fin_nuit-1,H_Nov[[#This Row],[début]]),0))*24)</f>
        <v>0</v>
      </c>
      <c r="P26" s="51">
        <f>(MAX(0,MIN(H_Nov[[#This Row],[Fin corrigée si nuit]],fin_nuit)-MAX(H_Nov[[#This Row],[début]],deb_nuit))-IF(H_Nov[[#This Row],[PNP Début]]=0,0,MIN(H_Nov[[#This Row],[PNP Fin corrigée]],fin_nuit)-MAX(H_Nov[[#This Row],[PNP Début corrigé]],deb_nuit)))*24</f>
        <v>0</v>
      </c>
      <c r="Q26" s="51">
        <f>(IF(WEEKDAY(H_Nov[[#This Row],[Date]],2)=7,MAX(0,MIN(fin_dimJF,H_Nov[[#This Row],[Fin corrigée si nuit]])-MAX(deb_dimJF,H_Nov[[#This Row],[début]])),0)+IF(WEEKDAY(H_Nov[[#This Row],[Date]],2)=6,MAX(0,H_Nov[[#This Row],[Fin corrigée si nuit]]-(1+deb_dimJF)),0))*24</f>
        <v>0</v>
      </c>
      <c r="R26"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6" s="51">
        <f>(IF(COUNTIF(JF,H_Nov[[#This Row],[Date]]),MAX(0,MIN(fin_dimJF,H_Nov[[#This Row],[Fin corrigée si nuit]])-MAX(deb_dimJF,H_Nov[[#This Row],[début]])),0)+IF(COUNTIF(JF,H_Nov[[#This Row],[Date]]+1),MAX(0,H_Nov[[#This Row],[Fin corrigée si nuit]]-(1+deb_dimJF)),0))*24</f>
        <v>0</v>
      </c>
      <c r="T26"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7" spans="1:20" x14ac:dyDescent="0.3">
      <c r="A27" s="4"/>
      <c r="B27" s="1"/>
      <c r="C27" s="2"/>
      <c r="D27" s="2"/>
      <c r="E27" s="3"/>
      <c r="F27" s="3"/>
      <c r="G27" s="3"/>
      <c r="H27" s="3"/>
      <c r="I27" s="47">
        <f>0.1*(H_Nov[[#This Row],[Heures de nuit]]+IF(H_Nov[[#This Row],[majoration dim &amp; JF]]="non",0,H_Nov[[#This Row],[heures jour dimanche]]+H_Nov[[#This Row],[heures jour fériés]]))</f>
        <v>0</v>
      </c>
      <c r="J27" s="48">
        <f>(MOD(H_Nov[[#This Row],[Fin]]-H_Nov[[#This Row],[début]],1)-MOD(H_Nov[[#This Row],[PNP Fin]]-H_Nov[[#This Row],[PNP Début]],1))*24</f>
        <v>0</v>
      </c>
      <c r="K27" s="119" t="str">
        <f>IFERROR(VLOOKUP(H_Nov[[#This Row],[Service]],Codes[],4,0),"")</f>
        <v/>
      </c>
      <c r="L27" s="49">
        <f>IF(H_Nov[[#This Row],[PNP Début]]=0,0,IF(H_Nov[[#This Row],[PNP Début]]&lt;H_Nov[[#This Row],[début]],1,0)+H_Nov[[#This Row],[PNP Début]])</f>
        <v>0</v>
      </c>
      <c r="M27" s="50">
        <f>IF(H_Nov[[#This Row],[PNP Fin]]=0,0,IF(H_Nov[[#This Row],[PNP Fin]]&lt;H_Nov[[#This Row],[début]],1,0)+H_Nov[[#This Row],[PNP Fin]])</f>
        <v>0</v>
      </c>
      <c r="N27" s="50">
        <f>IF(H_Nov[[#This Row],[Fin]]&lt;H_Nov[[#This Row],[début]],1,0)+H_Nov[[#This Row],[Fin]]</f>
        <v>0</v>
      </c>
      <c r="O27" s="31">
        <f>IF(H_Nov[[#This Row],[Fin]]&lt;H_Nov[[#This Row],[début]],MAX(0,MIN(H_Nov[[#This Row],[Fin corrigée si nuit]],fin_nuit)-MAX(H_Nov[[#This Row],[début]],deb_nuit))*24,(MAX(deb_nuit,H_Nov[[#This Row],[Fin]])-MAX(deb_nuit,H_Nov[[#This Row],[début]])+MAX(MIN(fin_nuit-1,H_Nov[[#This Row],[Fin]])-MIN(fin_nuit-1,H_Nov[[#This Row],[début]]),0))*24)</f>
        <v>0</v>
      </c>
      <c r="P27" s="51">
        <f>(MAX(0,MIN(H_Nov[[#This Row],[Fin corrigée si nuit]],fin_nuit)-MAX(H_Nov[[#This Row],[début]],deb_nuit))-IF(H_Nov[[#This Row],[PNP Début]]=0,0,MIN(H_Nov[[#This Row],[PNP Fin corrigée]],fin_nuit)-MAX(H_Nov[[#This Row],[PNP Début corrigé]],deb_nuit)))*24</f>
        <v>0</v>
      </c>
      <c r="Q27" s="51">
        <f>(IF(WEEKDAY(H_Nov[[#This Row],[Date]],2)=7,MAX(0,MIN(fin_dimJF,H_Nov[[#This Row],[Fin corrigée si nuit]])-MAX(deb_dimJF,H_Nov[[#This Row],[début]])),0)+IF(WEEKDAY(H_Nov[[#This Row],[Date]],2)=6,MAX(0,H_Nov[[#This Row],[Fin corrigée si nuit]]-(1+deb_dimJF)),0))*24</f>
        <v>0</v>
      </c>
      <c r="R27"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7" s="51">
        <f>(IF(COUNTIF(JF,H_Nov[[#This Row],[Date]]),MAX(0,MIN(fin_dimJF,H_Nov[[#This Row],[Fin corrigée si nuit]])-MAX(deb_dimJF,H_Nov[[#This Row],[début]])),0)+IF(COUNTIF(JF,H_Nov[[#This Row],[Date]]+1),MAX(0,H_Nov[[#This Row],[Fin corrigée si nuit]]-(1+deb_dimJF)),0))*24</f>
        <v>0</v>
      </c>
      <c r="T27"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8" spans="1:20" x14ac:dyDescent="0.3">
      <c r="A28" s="4"/>
      <c r="B28" s="1"/>
      <c r="C28" s="2"/>
      <c r="D28" s="2"/>
      <c r="E28" s="3"/>
      <c r="F28" s="3"/>
      <c r="G28" s="3"/>
      <c r="H28" s="3"/>
      <c r="I28" s="47">
        <f>0.1*(H_Nov[[#This Row],[Heures de nuit]]+IF(H_Nov[[#This Row],[majoration dim &amp; JF]]="non",0,H_Nov[[#This Row],[heures jour dimanche]]+H_Nov[[#This Row],[heures jour fériés]]))</f>
        <v>0</v>
      </c>
      <c r="J28" s="48">
        <f>(MOD(H_Nov[[#This Row],[Fin]]-H_Nov[[#This Row],[début]],1)-MOD(H_Nov[[#This Row],[PNP Fin]]-H_Nov[[#This Row],[PNP Début]],1))*24</f>
        <v>0</v>
      </c>
      <c r="K28" s="119" t="str">
        <f>IFERROR(VLOOKUP(H_Nov[[#This Row],[Service]],Codes[],4,0),"")</f>
        <v/>
      </c>
      <c r="L28" s="49">
        <f>IF(H_Nov[[#This Row],[PNP Début]]=0,0,IF(H_Nov[[#This Row],[PNP Début]]&lt;H_Nov[[#This Row],[début]],1,0)+H_Nov[[#This Row],[PNP Début]])</f>
        <v>0</v>
      </c>
      <c r="M28" s="50">
        <f>IF(H_Nov[[#This Row],[PNP Fin]]=0,0,IF(H_Nov[[#This Row],[PNP Fin]]&lt;H_Nov[[#This Row],[début]],1,0)+H_Nov[[#This Row],[PNP Fin]])</f>
        <v>0</v>
      </c>
      <c r="N28" s="50">
        <f>IF(H_Nov[[#This Row],[Fin]]&lt;H_Nov[[#This Row],[début]],1,0)+H_Nov[[#This Row],[Fin]]</f>
        <v>0</v>
      </c>
      <c r="O28" s="31">
        <f>IF(H_Nov[[#This Row],[Fin]]&lt;H_Nov[[#This Row],[début]],MAX(0,MIN(H_Nov[[#This Row],[Fin corrigée si nuit]],fin_nuit)-MAX(H_Nov[[#This Row],[début]],deb_nuit))*24,(MAX(deb_nuit,H_Nov[[#This Row],[Fin]])-MAX(deb_nuit,H_Nov[[#This Row],[début]])+MAX(MIN(fin_nuit-1,H_Nov[[#This Row],[Fin]])-MIN(fin_nuit-1,H_Nov[[#This Row],[début]]),0))*24)</f>
        <v>0</v>
      </c>
      <c r="P28" s="51">
        <f>(MAX(0,MIN(H_Nov[[#This Row],[Fin corrigée si nuit]],fin_nuit)-MAX(H_Nov[[#This Row],[début]],deb_nuit))-IF(H_Nov[[#This Row],[PNP Début]]=0,0,MIN(H_Nov[[#This Row],[PNP Fin corrigée]],fin_nuit)-MAX(H_Nov[[#This Row],[PNP Début corrigé]],deb_nuit)))*24</f>
        <v>0</v>
      </c>
      <c r="Q28" s="51">
        <f>(IF(WEEKDAY(H_Nov[[#This Row],[Date]],2)=7,MAX(0,MIN(fin_dimJF,H_Nov[[#This Row],[Fin corrigée si nuit]])-MAX(deb_dimJF,H_Nov[[#This Row],[début]])),0)+IF(WEEKDAY(H_Nov[[#This Row],[Date]],2)=6,MAX(0,H_Nov[[#This Row],[Fin corrigée si nuit]]-(1+deb_dimJF)),0))*24</f>
        <v>0</v>
      </c>
      <c r="R28"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8" s="51">
        <f>(IF(COUNTIF(JF,H_Nov[[#This Row],[Date]]),MAX(0,MIN(fin_dimJF,H_Nov[[#This Row],[Fin corrigée si nuit]])-MAX(deb_dimJF,H_Nov[[#This Row],[début]])),0)+IF(COUNTIF(JF,H_Nov[[#This Row],[Date]]+1),MAX(0,H_Nov[[#This Row],[Fin corrigée si nuit]]-(1+deb_dimJF)),0))*24</f>
        <v>0</v>
      </c>
      <c r="T28"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29" spans="1:20" x14ac:dyDescent="0.3">
      <c r="A29" s="4"/>
      <c r="B29" s="1"/>
      <c r="C29" s="2"/>
      <c r="D29" s="2"/>
      <c r="E29" s="3"/>
      <c r="F29" s="3"/>
      <c r="G29" s="3"/>
      <c r="H29" s="3"/>
      <c r="I29" s="47">
        <f>0.1*(H_Nov[[#This Row],[Heures de nuit]]+IF(H_Nov[[#This Row],[majoration dim &amp; JF]]="non",0,H_Nov[[#This Row],[heures jour dimanche]]+H_Nov[[#This Row],[heures jour fériés]]))</f>
        <v>0</v>
      </c>
      <c r="J29" s="48">
        <f>(MOD(H_Nov[[#This Row],[Fin]]-H_Nov[[#This Row],[début]],1)-MOD(H_Nov[[#This Row],[PNP Fin]]-H_Nov[[#This Row],[PNP Début]],1))*24</f>
        <v>0</v>
      </c>
      <c r="K29" s="119" t="str">
        <f>IFERROR(VLOOKUP(H_Nov[[#This Row],[Service]],Codes[],4,0),"")</f>
        <v/>
      </c>
      <c r="L29" s="49">
        <f>IF(H_Nov[[#This Row],[PNP Début]]=0,0,IF(H_Nov[[#This Row],[PNP Début]]&lt;H_Nov[[#This Row],[début]],1,0)+H_Nov[[#This Row],[PNP Début]])</f>
        <v>0</v>
      </c>
      <c r="M29" s="50">
        <f>IF(H_Nov[[#This Row],[PNP Fin]]=0,0,IF(H_Nov[[#This Row],[PNP Fin]]&lt;H_Nov[[#This Row],[début]],1,0)+H_Nov[[#This Row],[PNP Fin]])</f>
        <v>0</v>
      </c>
      <c r="N29" s="50">
        <f>IF(H_Nov[[#This Row],[Fin]]&lt;H_Nov[[#This Row],[début]],1,0)+H_Nov[[#This Row],[Fin]]</f>
        <v>0</v>
      </c>
      <c r="O29" s="31">
        <f>IF(H_Nov[[#This Row],[Fin]]&lt;H_Nov[[#This Row],[début]],MAX(0,MIN(H_Nov[[#This Row],[Fin corrigée si nuit]],fin_nuit)-MAX(H_Nov[[#This Row],[début]],deb_nuit))*24,(MAX(deb_nuit,H_Nov[[#This Row],[Fin]])-MAX(deb_nuit,H_Nov[[#This Row],[début]])+MAX(MIN(fin_nuit-1,H_Nov[[#This Row],[Fin]])-MIN(fin_nuit-1,H_Nov[[#This Row],[début]]),0))*24)</f>
        <v>0</v>
      </c>
      <c r="P29" s="51">
        <f>(MAX(0,MIN(H_Nov[[#This Row],[Fin corrigée si nuit]],fin_nuit)-MAX(H_Nov[[#This Row],[début]],deb_nuit))-IF(H_Nov[[#This Row],[PNP Début]]=0,0,MIN(H_Nov[[#This Row],[PNP Fin corrigée]],fin_nuit)-MAX(H_Nov[[#This Row],[PNP Début corrigé]],deb_nuit)))*24</f>
        <v>0</v>
      </c>
      <c r="Q29" s="51">
        <f>(IF(WEEKDAY(H_Nov[[#This Row],[Date]],2)=7,MAX(0,MIN(fin_dimJF,H_Nov[[#This Row],[Fin corrigée si nuit]])-MAX(deb_dimJF,H_Nov[[#This Row],[début]])),0)+IF(WEEKDAY(H_Nov[[#This Row],[Date]],2)=6,MAX(0,H_Nov[[#This Row],[Fin corrigée si nuit]]-(1+deb_dimJF)),0))*24</f>
        <v>0</v>
      </c>
      <c r="R29"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29" s="51">
        <f>(IF(COUNTIF(JF,H_Nov[[#This Row],[Date]]),MAX(0,MIN(fin_dimJF,H_Nov[[#This Row],[Fin corrigée si nuit]])-MAX(deb_dimJF,H_Nov[[#This Row],[début]])),0)+IF(COUNTIF(JF,H_Nov[[#This Row],[Date]]+1),MAX(0,H_Nov[[#This Row],[Fin corrigée si nuit]]-(1+deb_dimJF)),0))*24</f>
        <v>0</v>
      </c>
      <c r="T29"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0" spans="1:20" x14ac:dyDescent="0.3">
      <c r="A30" s="4"/>
      <c r="B30" s="1"/>
      <c r="C30" s="2"/>
      <c r="D30" s="2"/>
      <c r="E30" s="3"/>
      <c r="F30" s="3"/>
      <c r="G30" s="3"/>
      <c r="H30" s="3"/>
      <c r="I30" s="47">
        <f>0.1*(H_Nov[[#This Row],[Heures de nuit]]+IF(H_Nov[[#This Row],[majoration dim &amp; JF]]="non",0,H_Nov[[#This Row],[heures jour dimanche]]+H_Nov[[#This Row],[heures jour fériés]]))</f>
        <v>0</v>
      </c>
      <c r="J30" s="48">
        <f>(MOD(H_Nov[[#This Row],[Fin]]-H_Nov[[#This Row],[début]],1)-MOD(H_Nov[[#This Row],[PNP Fin]]-H_Nov[[#This Row],[PNP Début]],1))*24</f>
        <v>0</v>
      </c>
      <c r="K30" s="119" t="str">
        <f>IFERROR(VLOOKUP(H_Nov[[#This Row],[Service]],Codes[],4,0),"")</f>
        <v/>
      </c>
      <c r="L30" s="49">
        <f>IF(H_Nov[[#This Row],[PNP Début]]=0,0,IF(H_Nov[[#This Row],[PNP Début]]&lt;H_Nov[[#This Row],[début]],1,0)+H_Nov[[#This Row],[PNP Début]])</f>
        <v>0</v>
      </c>
      <c r="M30" s="50">
        <f>IF(H_Nov[[#This Row],[PNP Fin]]=0,0,IF(H_Nov[[#This Row],[PNP Fin]]&lt;H_Nov[[#This Row],[début]],1,0)+H_Nov[[#This Row],[PNP Fin]])</f>
        <v>0</v>
      </c>
      <c r="N30" s="50">
        <f>IF(H_Nov[[#This Row],[Fin]]&lt;H_Nov[[#This Row],[début]],1,0)+H_Nov[[#This Row],[Fin]]</f>
        <v>0</v>
      </c>
      <c r="O30" s="31">
        <f>IF(H_Nov[[#This Row],[Fin]]&lt;H_Nov[[#This Row],[début]],MAX(0,MIN(H_Nov[[#This Row],[Fin corrigée si nuit]],fin_nuit)-MAX(H_Nov[[#This Row],[début]],deb_nuit))*24,(MAX(deb_nuit,H_Nov[[#This Row],[Fin]])-MAX(deb_nuit,H_Nov[[#This Row],[début]])+MAX(MIN(fin_nuit-1,H_Nov[[#This Row],[Fin]])-MIN(fin_nuit-1,H_Nov[[#This Row],[début]]),0))*24)</f>
        <v>0</v>
      </c>
      <c r="P30" s="51">
        <f>(MAX(0,MIN(H_Nov[[#This Row],[Fin corrigée si nuit]],fin_nuit)-MAX(H_Nov[[#This Row],[début]],deb_nuit))-IF(H_Nov[[#This Row],[PNP Début]]=0,0,MIN(H_Nov[[#This Row],[PNP Fin corrigée]],fin_nuit)-MAX(H_Nov[[#This Row],[PNP Début corrigé]],deb_nuit)))*24</f>
        <v>0</v>
      </c>
      <c r="Q30" s="51">
        <f>(IF(WEEKDAY(H_Nov[[#This Row],[Date]],2)=7,MAX(0,MIN(fin_dimJF,H_Nov[[#This Row],[Fin corrigée si nuit]])-MAX(deb_dimJF,H_Nov[[#This Row],[début]])),0)+IF(WEEKDAY(H_Nov[[#This Row],[Date]],2)=6,MAX(0,H_Nov[[#This Row],[Fin corrigée si nuit]]-(1+deb_dimJF)),0))*24</f>
        <v>0</v>
      </c>
      <c r="R30"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0" s="51">
        <f>(IF(COUNTIF(JF,H_Nov[[#This Row],[Date]]),MAX(0,MIN(fin_dimJF,H_Nov[[#This Row],[Fin corrigée si nuit]])-MAX(deb_dimJF,H_Nov[[#This Row],[début]])),0)+IF(COUNTIF(JF,H_Nov[[#This Row],[Date]]+1),MAX(0,H_Nov[[#This Row],[Fin corrigée si nuit]]-(1+deb_dimJF)),0))*24</f>
        <v>0</v>
      </c>
      <c r="T30"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1" spans="1:20" x14ac:dyDescent="0.3">
      <c r="A31" s="4"/>
      <c r="B31" s="1"/>
      <c r="C31" s="2"/>
      <c r="D31" s="2"/>
      <c r="E31" s="3"/>
      <c r="F31" s="3"/>
      <c r="G31" s="3"/>
      <c r="H31" s="3"/>
      <c r="I31" s="47">
        <f>0.1*(H_Nov[[#This Row],[Heures de nuit]]+IF(H_Nov[[#This Row],[majoration dim &amp; JF]]="non",0,H_Nov[[#This Row],[heures jour dimanche]]+H_Nov[[#This Row],[heures jour fériés]]))</f>
        <v>0</v>
      </c>
      <c r="J31" s="48">
        <f>(MOD(H_Nov[[#This Row],[Fin]]-H_Nov[[#This Row],[début]],1)-MOD(H_Nov[[#This Row],[PNP Fin]]-H_Nov[[#This Row],[PNP Début]],1))*24</f>
        <v>0</v>
      </c>
      <c r="K31" s="119" t="str">
        <f>IFERROR(VLOOKUP(H_Nov[[#This Row],[Service]],Codes[],4,0),"")</f>
        <v/>
      </c>
      <c r="L31" s="49">
        <f>IF(H_Nov[[#This Row],[PNP Début]]=0,0,IF(H_Nov[[#This Row],[PNP Début]]&lt;H_Nov[[#This Row],[début]],1,0)+H_Nov[[#This Row],[PNP Début]])</f>
        <v>0</v>
      </c>
      <c r="M31" s="50">
        <f>IF(H_Nov[[#This Row],[PNP Fin]]=0,0,IF(H_Nov[[#This Row],[PNP Fin]]&lt;H_Nov[[#This Row],[début]],1,0)+H_Nov[[#This Row],[PNP Fin]])</f>
        <v>0</v>
      </c>
      <c r="N31" s="50">
        <f>IF(H_Nov[[#This Row],[Fin]]&lt;H_Nov[[#This Row],[début]],1,0)+H_Nov[[#This Row],[Fin]]</f>
        <v>0</v>
      </c>
      <c r="O31" s="31">
        <f>IF(H_Nov[[#This Row],[Fin]]&lt;H_Nov[[#This Row],[début]],MAX(0,MIN(H_Nov[[#This Row],[Fin corrigée si nuit]],fin_nuit)-MAX(H_Nov[[#This Row],[début]],deb_nuit))*24,(MAX(deb_nuit,H_Nov[[#This Row],[Fin]])-MAX(deb_nuit,H_Nov[[#This Row],[début]])+MAX(MIN(fin_nuit-1,H_Nov[[#This Row],[Fin]])-MIN(fin_nuit-1,H_Nov[[#This Row],[début]]),0))*24)</f>
        <v>0</v>
      </c>
      <c r="P31" s="51">
        <f>(MAX(0,MIN(H_Nov[[#This Row],[Fin corrigée si nuit]],fin_nuit)-MAX(H_Nov[[#This Row],[début]],deb_nuit))-IF(H_Nov[[#This Row],[PNP Début]]=0,0,MIN(H_Nov[[#This Row],[PNP Fin corrigée]],fin_nuit)-MAX(H_Nov[[#This Row],[PNP Début corrigé]],deb_nuit)))*24</f>
        <v>0</v>
      </c>
      <c r="Q31" s="51">
        <f>(IF(WEEKDAY(H_Nov[[#This Row],[Date]],2)=7,MAX(0,MIN(fin_dimJF,H_Nov[[#This Row],[Fin corrigée si nuit]])-MAX(deb_dimJF,H_Nov[[#This Row],[début]])),0)+IF(WEEKDAY(H_Nov[[#This Row],[Date]],2)=6,MAX(0,H_Nov[[#This Row],[Fin corrigée si nuit]]-(1+deb_dimJF)),0))*24</f>
        <v>0</v>
      </c>
      <c r="R31"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1" s="51">
        <f>(IF(COUNTIF(JF,H_Nov[[#This Row],[Date]]),MAX(0,MIN(fin_dimJF,H_Nov[[#This Row],[Fin corrigée si nuit]])-MAX(deb_dimJF,H_Nov[[#This Row],[début]])),0)+IF(COUNTIF(JF,H_Nov[[#This Row],[Date]]+1),MAX(0,H_Nov[[#This Row],[Fin corrigée si nuit]]-(1+deb_dimJF)),0))*24</f>
        <v>0</v>
      </c>
      <c r="T31"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2" spans="1:20" ht="14.55" customHeight="1" x14ac:dyDescent="0.3">
      <c r="A32" s="4"/>
      <c r="B32" s="1"/>
      <c r="C32" s="2"/>
      <c r="D32" s="2"/>
      <c r="E32" s="3"/>
      <c r="F32" s="3"/>
      <c r="G32" s="3"/>
      <c r="H32" s="3"/>
      <c r="I32" s="47">
        <f>0.1*(H_Nov[[#This Row],[Heures de nuit]]+IF(H_Nov[[#This Row],[majoration dim &amp; JF]]="non",0,H_Nov[[#This Row],[heures jour dimanche]]+H_Nov[[#This Row],[heures jour fériés]]))</f>
        <v>0</v>
      </c>
      <c r="J32" s="48">
        <f>(MOD(H_Nov[[#This Row],[Fin]]-H_Nov[[#This Row],[début]],1)-MOD(H_Nov[[#This Row],[PNP Fin]]-H_Nov[[#This Row],[PNP Début]],1))*24</f>
        <v>0</v>
      </c>
      <c r="K32" s="119" t="str">
        <f>IFERROR(VLOOKUP(H_Nov[[#This Row],[Service]],Codes[],4,0),"")</f>
        <v/>
      </c>
      <c r="L32" s="49">
        <f>IF(H_Nov[[#This Row],[PNP Début]]=0,0,IF(H_Nov[[#This Row],[PNP Début]]&lt;H_Nov[[#This Row],[début]],1,0)+H_Nov[[#This Row],[PNP Début]])</f>
        <v>0</v>
      </c>
      <c r="M32" s="50">
        <f>IF(H_Nov[[#This Row],[PNP Fin]]=0,0,IF(H_Nov[[#This Row],[PNP Fin]]&lt;H_Nov[[#This Row],[début]],1,0)+H_Nov[[#This Row],[PNP Fin]])</f>
        <v>0</v>
      </c>
      <c r="N32" s="50">
        <f>IF(H_Nov[[#This Row],[Fin]]&lt;H_Nov[[#This Row],[début]],1,0)+H_Nov[[#This Row],[Fin]]</f>
        <v>0</v>
      </c>
      <c r="O32" s="31">
        <f>IF(H_Nov[[#This Row],[Fin]]&lt;H_Nov[[#This Row],[début]],MAX(0,MIN(H_Nov[[#This Row],[Fin corrigée si nuit]],fin_nuit)-MAX(H_Nov[[#This Row],[début]],deb_nuit))*24,(MAX(deb_nuit,H_Nov[[#This Row],[Fin]])-MAX(deb_nuit,H_Nov[[#This Row],[début]])+MAX(MIN(fin_nuit-1,H_Nov[[#This Row],[Fin]])-MIN(fin_nuit-1,H_Nov[[#This Row],[début]]),0))*24)</f>
        <v>0</v>
      </c>
      <c r="P32" s="51">
        <f>(MAX(0,MIN(H_Nov[[#This Row],[Fin corrigée si nuit]],fin_nuit)-MAX(H_Nov[[#This Row],[début]],deb_nuit))-IF(H_Nov[[#This Row],[PNP Début]]=0,0,MIN(H_Nov[[#This Row],[PNP Fin corrigée]],fin_nuit)-MAX(H_Nov[[#This Row],[PNP Début corrigé]],deb_nuit)))*24</f>
        <v>0</v>
      </c>
      <c r="Q32" s="51">
        <f>(IF(WEEKDAY(H_Nov[[#This Row],[Date]],2)=7,MAX(0,MIN(fin_dimJF,H_Nov[[#This Row],[Fin corrigée si nuit]])-MAX(deb_dimJF,H_Nov[[#This Row],[début]])),0)+IF(WEEKDAY(H_Nov[[#This Row],[Date]],2)=6,MAX(0,H_Nov[[#This Row],[Fin corrigée si nuit]]-(1+deb_dimJF)),0))*24</f>
        <v>0</v>
      </c>
      <c r="R32"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2" s="51">
        <f>(IF(COUNTIF(JF,H_Nov[[#This Row],[Date]]),MAX(0,MIN(fin_dimJF,H_Nov[[#This Row],[Fin corrigée si nuit]])-MAX(deb_dimJF,H_Nov[[#This Row],[début]])),0)+IF(COUNTIF(JF,H_Nov[[#This Row],[Date]]+1),MAX(0,H_Nov[[#This Row],[Fin corrigée si nuit]]-(1+deb_dimJF)),0))*24</f>
        <v>0</v>
      </c>
      <c r="T32"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3" spans="1:20" x14ac:dyDescent="0.3">
      <c r="A33" s="4"/>
      <c r="B33" s="1"/>
      <c r="C33" s="2"/>
      <c r="D33" s="2"/>
      <c r="E33" s="3"/>
      <c r="F33" s="3"/>
      <c r="G33" s="3"/>
      <c r="H33" s="3"/>
      <c r="I33" s="47">
        <f>0.1*(H_Nov[[#This Row],[Heures de nuit]]+IF(H_Nov[[#This Row],[majoration dim &amp; JF]]="non",0,H_Nov[[#This Row],[heures jour dimanche]]+H_Nov[[#This Row],[heures jour fériés]]))</f>
        <v>0</v>
      </c>
      <c r="J33" s="48">
        <f>(MOD(H_Nov[[#This Row],[Fin]]-H_Nov[[#This Row],[début]],1)-MOD(H_Nov[[#This Row],[PNP Fin]]-H_Nov[[#This Row],[PNP Début]],1))*24</f>
        <v>0</v>
      </c>
      <c r="K33" s="119" t="str">
        <f>IFERROR(VLOOKUP(H_Nov[[#This Row],[Service]],Codes[],4,0),"")</f>
        <v/>
      </c>
      <c r="L33" s="49">
        <f>IF(H_Nov[[#This Row],[PNP Début]]=0,0,IF(H_Nov[[#This Row],[PNP Début]]&lt;H_Nov[[#This Row],[début]],1,0)+H_Nov[[#This Row],[PNP Début]])</f>
        <v>0</v>
      </c>
      <c r="M33" s="50">
        <f>IF(H_Nov[[#This Row],[PNP Fin]]=0,0,IF(H_Nov[[#This Row],[PNP Fin]]&lt;H_Nov[[#This Row],[début]],1,0)+H_Nov[[#This Row],[PNP Fin]])</f>
        <v>0</v>
      </c>
      <c r="N33" s="50">
        <f>IF(H_Nov[[#This Row],[Fin]]&lt;H_Nov[[#This Row],[début]],1,0)+H_Nov[[#This Row],[Fin]]</f>
        <v>0</v>
      </c>
      <c r="O33" s="31">
        <f>IF(H_Nov[[#This Row],[Fin]]&lt;H_Nov[[#This Row],[début]],MAX(0,MIN(H_Nov[[#This Row],[Fin corrigée si nuit]],fin_nuit)-MAX(H_Nov[[#This Row],[début]],deb_nuit))*24,(MAX(deb_nuit,H_Nov[[#This Row],[Fin]])-MAX(deb_nuit,H_Nov[[#This Row],[début]])+MAX(MIN(fin_nuit-1,H_Nov[[#This Row],[Fin]])-MIN(fin_nuit-1,H_Nov[[#This Row],[début]]),0))*24)</f>
        <v>0</v>
      </c>
      <c r="P33" s="51">
        <f>(MAX(0,MIN(H_Nov[[#This Row],[Fin corrigée si nuit]],fin_nuit)-MAX(H_Nov[[#This Row],[début]],deb_nuit))-IF(H_Nov[[#This Row],[PNP Début]]=0,0,MIN(H_Nov[[#This Row],[PNP Fin corrigée]],fin_nuit)-MAX(H_Nov[[#This Row],[PNP Début corrigé]],deb_nuit)))*24</f>
        <v>0</v>
      </c>
      <c r="Q33" s="51">
        <f>(IF(WEEKDAY(H_Nov[[#This Row],[Date]],2)=7,MAX(0,MIN(fin_dimJF,H_Nov[[#This Row],[Fin corrigée si nuit]])-MAX(deb_dimJF,H_Nov[[#This Row],[début]])),0)+IF(WEEKDAY(H_Nov[[#This Row],[Date]],2)=6,MAX(0,H_Nov[[#This Row],[Fin corrigée si nuit]]-(1+deb_dimJF)),0))*24</f>
        <v>0</v>
      </c>
      <c r="R33"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3" s="51">
        <f>(IF(COUNTIF(JF,H_Nov[[#This Row],[Date]]),MAX(0,MIN(fin_dimJF,H_Nov[[#This Row],[Fin corrigée si nuit]])-MAX(deb_dimJF,H_Nov[[#This Row],[début]])),0)+IF(COUNTIF(JF,H_Nov[[#This Row],[Date]]+1),MAX(0,H_Nov[[#This Row],[Fin corrigée si nuit]]-(1+deb_dimJF)),0))*24</f>
        <v>0</v>
      </c>
      <c r="T33"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4" spans="1:20" x14ac:dyDescent="0.3">
      <c r="A34" s="4"/>
      <c r="B34" s="1"/>
      <c r="C34" s="2"/>
      <c r="D34" s="2"/>
      <c r="E34" s="3"/>
      <c r="F34" s="3"/>
      <c r="G34" s="3"/>
      <c r="H34" s="3"/>
      <c r="I34" s="47">
        <f>0.1*(H_Nov[[#This Row],[Heures de nuit]]+IF(H_Nov[[#This Row],[majoration dim &amp; JF]]="non",0,H_Nov[[#This Row],[heures jour dimanche]]+H_Nov[[#This Row],[heures jour fériés]]))</f>
        <v>0</v>
      </c>
      <c r="J34" s="48">
        <f>(MOD(H_Nov[[#This Row],[Fin]]-H_Nov[[#This Row],[début]],1)-MOD(H_Nov[[#This Row],[PNP Fin]]-H_Nov[[#This Row],[PNP Début]],1))*24</f>
        <v>0</v>
      </c>
      <c r="K34" s="119" t="str">
        <f>IFERROR(VLOOKUP(H_Nov[[#This Row],[Service]],Codes[],4,0),"")</f>
        <v/>
      </c>
      <c r="L34" s="49">
        <f>IF(H_Nov[[#This Row],[PNP Début]]=0,0,IF(H_Nov[[#This Row],[PNP Début]]&lt;H_Nov[[#This Row],[début]],1,0)+H_Nov[[#This Row],[PNP Début]])</f>
        <v>0</v>
      </c>
      <c r="M34" s="50">
        <f>IF(H_Nov[[#This Row],[PNP Fin]]=0,0,IF(H_Nov[[#This Row],[PNP Fin]]&lt;H_Nov[[#This Row],[début]],1,0)+H_Nov[[#This Row],[PNP Fin]])</f>
        <v>0</v>
      </c>
      <c r="N34" s="50">
        <f>IF(H_Nov[[#This Row],[Fin]]&lt;H_Nov[[#This Row],[début]],1,0)+H_Nov[[#This Row],[Fin]]</f>
        <v>0</v>
      </c>
      <c r="O34" s="31">
        <f>IF(H_Nov[[#This Row],[Fin]]&lt;H_Nov[[#This Row],[début]],MAX(0,MIN(H_Nov[[#This Row],[Fin corrigée si nuit]],fin_nuit)-MAX(H_Nov[[#This Row],[début]],deb_nuit))*24,(MAX(deb_nuit,H_Nov[[#This Row],[Fin]])-MAX(deb_nuit,H_Nov[[#This Row],[début]])+MAX(MIN(fin_nuit-1,H_Nov[[#This Row],[Fin]])-MIN(fin_nuit-1,H_Nov[[#This Row],[début]]),0))*24)</f>
        <v>0</v>
      </c>
      <c r="P34" s="51">
        <f>(MAX(0,MIN(H_Nov[[#This Row],[Fin corrigée si nuit]],fin_nuit)-MAX(H_Nov[[#This Row],[début]],deb_nuit))-IF(H_Nov[[#This Row],[PNP Début]]=0,0,MIN(H_Nov[[#This Row],[PNP Fin corrigée]],fin_nuit)-MAX(H_Nov[[#This Row],[PNP Début corrigé]],deb_nuit)))*24</f>
        <v>0</v>
      </c>
      <c r="Q34" s="51">
        <f>(IF(WEEKDAY(H_Nov[[#This Row],[Date]],2)=7,MAX(0,MIN(fin_dimJF,H_Nov[[#This Row],[Fin corrigée si nuit]])-MAX(deb_dimJF,H_Nov[[#This Row],[début]])),0)+IF(WEEKDAY(H_Nov[[#This Row],[Date]],2)=6,MAX(0,H_Nov[[#This Row],[Fin corrigée si nuit]]-(1+deb_dimJF)),0))*24</f>
        <v>0</v>
      </c>
      <c r="R34"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4" s="51">
        <f>(IF(COUNTIF(JF,H_Nov[[#This Row],[Date]]),MAX(0,MIN(fin_dimJF,H_Nov[[#This Row],[Fin corrigée si nuit]])-MAX(deb_dimJF,H_Nov[[#This Row],[début]])),0)+IF(COUNTIF(JF,H_Nov[[#This Row],[Date]]+1),MAX(0,H_Nov[[#This Row],[Fin corrigée si nuit]]-(1+deb_dimJF)),0))*24</f>
        <v>0</v>
      </c>
      <c r="T34"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5" spans="1:20" x14ac:dyDescent="0.3">
      <c r="A35" s="4"/>
      <c r="B35" s="1"/>
      <c r="C35" s="2"/>
      <c r="D35" s="2"/>
      <c r="E35" s="3"/>
      <c r="F35" s="3"/>
      <c r="G35" s="3"/>
      <c r="H35" s="3"/>
      <c r="I35" s="47">
        <f>0.1*(H_Nov[[#This Row],[Heures de nuit]]+IF(H_Nov[[#This Row],[majoration dim &amp; JF]]="non",0,H_Nov[[#This Row],[heures jour dimanche]]+H_Nov[[#This Row],[heures jour fériés]]))</f>
        <v>0</v>
      </c>
      <c r="J35" s="48">
        <f>(MOD(H_Nov[[#This Row],[Fin]]-H_Nov[[#This Row],[début]],1)-MOD(H_Nov[[#This Row],[PNP Fin]]-H_Nov[[#This Row],[PNP Début]],1))*24</f>
        <v>0</v>
      </c>
      <c r="K35" s="119" t="str">
        <f>IFERROR(VLOOKUP(H_Nov[[#This Row],[Service]],Codes[],4,0),"")</f>
        <v/>
      </c>
      <c r="L35" s="49">
        <f>IF(H_Nov[[#This Row],[PNP Début]]=0,0,IF(H_Nov[[#This Row],[PNP Début]]&lt;H_Nov[[#This Row],[début]],1,0)+H_Nov[[#This Row],[PNP Début]])</f>
        <v>0</v>
      </c>
      <c r="M35" s="50">
        <f>IF(H_Nov[[#This Row],[PNP Fin]]=0,0,IF(H_Nov[[#This Row],[PNP Fin]]&lt;H_Nov[[#This Row],[début]],1,0)+H_Nov[[#This Row],[PNP Fin]])</f>
        <v>0</v>
      </c>
      <c r="N35" s="50">
        <f>IF(H_Nov[[#This Row],[Fin]]&lt;H_Nov[[#This Row],[début]],1,0)+H_Nov[[#This Row],[Fin]]</f>
        <v>0</v>
      </c>
      <c r="O35" s="31">
        <f>IF(H_Nov[[#This Row],[Fin]]&lt;H_Nov[[#This Row],[début]],MAX(0,MIN(H_Nov[[#This Row],[Fin corrigée si nuit]],fin_nuit)-MAX(H_Nov[[#This Row],[début]],deb_nuit))*24,(MAX(deb_nuit,H_Nov[[#This Row],[Fin]])-MAX(deb_nuit,H_Nov[[#This Row],[début]])+MAX(MIN(fin_nuit-1,H_Nov[[#This Row],[Fin]])-MIN(fin_nuit-1,H_Nov[[#This Row],[début]]),0))*24)</f>
        <v>0</v>
      </c>
      <c r="P35" s="51">
        <f>(MAX(0,MIN(H_Nov[[#This Row],[Fin corrigée si nuit]],fin_nuit)-MAX(H_Nov[[#This Row],[début]],deb_nuit))-IF(H_Nov[[#This Row],[PNP Début]]=0,0,MIN(H_Nov[[#This Row],[PNP Fin corrigée]],fin_nuit)-MAX(H_Nov[[#This Row],[PNP Début corrigé]],deb_nuit)))*24</f>
        <v>0</v>
      </c>
      <c r="Q35" s="51">
        <f>(IF(WEEKDAY(H_Nov[[#This Row],[Date]],2)=7,MAX(0,MIN(fin_dimJF,H_Nov[[#This Row],[Fin corrigée si nuit]])-MAX(deb_dimJF,H_Nov[[#This Row],[début]])),0)+IF(WEEKDAY(H_Nov[[#This Row],[Date]],2)=6,MAX(0,H_Nov[[#This Row],[Fin corrigée si nuit]]-(1+deb_dimJF)),0))*24</f>
        <v>0</v>
      </c>
      <c r="R35"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5" s="51">
        <f>(IF(COUNTIF(JF,H_Nov[[#This Row],[Date]]),MAX(0,MIN(fin_dimJF,H_Nov[[#This Row],[Fin corrigée si nuit]])-MAX(deb_dimJF,H_Nov[[#This Row],[début]])),0)+IF(COUNTIF(JF,H_Nov[[#This Row],[Date]]+1),MAX(0,H_Nov[[#This Row],[Fin corrigée si nuit]]-(1+deb_dimJF)),0))*24</f>
        <v>0</v>
      </c>
      <c r="T35"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6" spans="1:20" x14ac:dyDescent="0.3">
      <c r="A36" s="4"/>
      <c r="B36" s="1"/>
      <c r="C36" s="2"/>
      <c r="D36" s="2"/>
      <c r="E36" s="3"/>
      <c r="F36" s="3"/>
      <c r="G36" s="3"/>
      <c r="H36" s="3"/>
      <c r="I36" s="47">
        <f>0.1*(H_Nov[[#This Row],[Heures de nuit]]+IF(H_Nov[[#This Row],[majoration dim &amp; JF]]="non",0,H_Nov[[#This Row],[heures jour dimanche]]+H_Nov[[#This Row],[heures jour fériés]]))</f>
        <v>0</v>
      </c>
      <c r="J36" s="48">
        <f>(MOD(H_Nov[[#This Row],[Fin]]-H_Nov[[#This Row],[début]],1)-MOD(H_Nov[[#This Row],[PNP Fin]]-H_Nov[[#This Row],[PNP Début]],1))*24</f>
        <v>0</v>
      </c>
      <c r="K36" s="119" t="str">
        <f>IFERROR(VLOOKUP(H_Nov[[#This Row],[Service]],Codes[],4,0),"")</f>
        <v/>
      </c>
      <c r="L36" s="49">
        <f>IF(H_Nov[[#This Row],[PNP Début]]=0,0,IF(H_Nov[[#This Row],[PNP Début]]&lt;H_Nov[[#This Row],[début]],1,0)+H_Nov[[#This Row],[PNP Début]])</f>
        <v>0</v>
      </c>
      <c r="M36" s="50">
        <f>IF(H_Nov[[#This Row],[PNP Fin]]=0,0,IF(H_Nov[[#This Row],[PNP Fin]]&lt;H_Nov[[#This Row],[début]],1,0)+H_Nov[[#This Row],[PNP Fin]])</f>
        <v>0</v>
      </c>
      <c r="N36" s="50">
        <f>IF(H_Nov[[#This Row],[Fin]]&lt;H_Nov[[#This Row],[début]],1,0)+H_Nov[[#This Row],[Fin]]</f>
        <v>0</v>
      </c>
      <c r="O36" s="31">
        <f>IF(H_Nov[[#This Row],[Fin]]&lt;H_Nov[[#This Row],[début]],MAX(0,MIN(H_Nov[[#This Row],[Fin corrigée si nuit]],fin_nuit)-MAX(H_Nov[[#This Row],[début]],deb_nuit))*24,(MAX(deb_nuit,H_Nov[[#This Row],[Fin]])-MAX(deb_nuit,H_Nov[[#This Row],[début]])+MAX(MIN(fin_nuit-1,H_Nov[[#This Row],[Fin]])-MIN(fin_nuit-1,H_Nov[[#This Row],[début]]),0))*24)</f>
        <v>0</v>
      </c>
      <c r="P36" s="51">
        <f>(MAX(0,MIN(H_Nov[[#This Row],[Fin corrigée si nuit]],fin_nuit)-MAX(H_Nov[[#This Row],[début]],deb_nuit))-IF(H_Nov[[#This Row],[PNP Début]]=0,0,MIN(H_Nov[[#This Row],[PNP Fin corrigée]],fin_nuit)-MAX(H_Nov[[#This Row],[PNP Début corrigé]],deb_nuit)))*24</f>
        <v>0</v>
      </c>
      <c r="Q36" s="51">
        <f>(IF(WEEKDAY(H_Nov[[#This Row],[Date]],2)=7,MAX(0,MIN(fin_dimJF,H_Nov[[#This Row],[Fin corrigée si nuit]])-MAX(deb_dimJF,H_Nov[[#This Row],[début]])),0)+IF(WEEKDAY(H_Nov[[#This Row],[Date]],2)=6,MAX(0,H_Nov[[#This Row],[Fin corrigée si nuit]]-(1+deb_dimJF)),0))*24</f>
        <v>0</v>
      </c>
      <c r="R36"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6" s="51">
        <f>(IF(COUNTIF(JF,H_Nov[[#This Row],[Date]]),MAX(0,MIN(fin_dimJF,H_Nov[[#This Row],[Fin corrigée si nuit]])-MAX(deb_dimJF,H_Nov[[#This Row],[début]])),0)+IF(COUNTIF(JF,H_Nov[[#This Row],[Date]]+1),MAX(0,H_Nov[[#This Row],[Fin corrigée si nuit]]-(1+deb_dimJF)),0))*24</f>
        <v>0</v>
      </c>
      <c r="T36"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7" spans="1:20" x14ac:dyDescent="0.3">
      <c r="A37" s="4"/>
      <c r="B37" s="1"/>
      <c r="C37" s="2"/>
      <c r="D37" s="2"/>
      <c r="E37" s="3"/>
      <c r="F37" s="3"/>
      <c r="G37" s="3"/>
      <c r="H37" s="3"/>
      <c r="I37" s="47">
        <f>0.1*(H_Nov[[#This Row],[Heures de nuit]]+IF(H_Nov[[#This Row],[majoration dim &amp; JF]]="non",0,H_Nov[[#This Row],[heures jour dimanche]]+H_Nov[[#This Row],[heures jour fériés]]))</f>
        <v>0</v>
      </c>
      <c r="J37" s="48">
        <f>(MOD(H_Nov[[#This Row],[Fin]]-H_Nov[[#This Row],[début]],1)-MOD(H_Nov[[#This Row],[PNP Fin]]-H_Nov[[#This Row],[PNP Début]],1))*24</f>
        <v>0</v>
      </c>
      <c r="K37" s="119" t="str">
        <f>IFERROR(VLOOKUP(H_Nov[[#This Row],[Service]],Codes[],4,0),"")</f>
        <v/>
      </c>
      <c r="L37" s="49">
        <f>IF(H_Nov[[#This Row],[PNP Début]]=0,0,IF(H_Nov[[#This Row],[PNP Début]]&lt;H_Nov[[#This Row],[début]],1,0)+H_Nov[[#This Row],[PNP Début]])</f>
        <v>0</v>
      </c>
      <c r="M37" s="50">
        <f>IF(H_Nov[[#This Row],[PNP Fin]]=0,0,IF(H_Nov[[#This Row],[PNP Fin]]&lt;H_Nov[[#This Row],[début]],1,0)+H_Nov[[#This Row],[PNP Fin]])</f>
        <v>0</v>
      </c>
      <c r="N37" s="50">
        <f>IF(H_Nov[[#This Row],[Fin]]&lt;H_Nov[[#This Row],[début]],1,0)+H_Nov[[#This Row],[Fin]]</f>
        <v>0</v>
      </c>
      <c r="O37" s="31">
        <f>IF(H_Nov[[#This Row],[Fin]]&lt;H_Nov[[#This Row],[début]],MAX(0,MIN(H_Nov[[#This Row],[Fin corrigée si nuit]],fin_nuit)-MAX(H_Nov[[#This Row],[début]],deb_nuit))*24,(MAX(deb_nuit,H_Nov[[#This Row],[Fin]])-MAX(deb_nuit,H_Nov[[#This Row],[début]])+MAX(MIN(fin_nuit-1,H_Nov[[#This Row],[Fin]])-MIN(fin_nuit-1,H_Nov[[#This Row],[début]]),0))*24)</f>
        <v>0</v>
      </c>
      <c r="P37" s="51">
        <f>(MAX(0,MIN(H_Nov[[#This Row],[Fin corrigée si nuit]],fin_nuit)-MAX(H_Nov[[#This Row],[début]],deb_nuit))-IF(H_Nov[[#This Row],[PNP Début]]=0,0,MIN(H_Nov[[#This Row],[PNP Fin corrigée]],fin_nuit)-MAX(H_Nov[[#This Row],[PNP Début corrigé]],deb_nuit)))*24</f>
        <v>0</v>
      </c>
      <c r="Q37" s="51">
        <f>(IF(WEEKDAY(H_Nov[[#This Row],[Date]],2)=7,MAX(0,MIN(fin_dimJF,H_Nov[[#This Row],[Fin corrigée si nuit]])-MAX(deb_dimJF,H_Nov[[#This Row],[début]])),0)+IF(WEEKDAY(H_Nov[[#This Row],[Date]],2)=6,MAX(0,H_Nov[[#This Row],[Fin corrigée si nuit]]-(1+deb_dimJF)),0))*24</f>
        <v>0</v>
      </c>
      <c r="R37"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7" s="51">
        <f>(IF(COUNTIF(JF,H_Nov[[#This Row],[Date]]),MAX(0,MIN(fin_dimJF,H_Nov[[#This Row],[Fin corrigée si nuit]])-MAX(deb_dimJF,H_Nov[[#This Row],[début]])),0)+IF(COUNTIF(JF,H_Nov[[#This Row],[Date]]+1),MAX(0,H_Nov[[#This Row],[Fin corrigée si nuit]]-(1+deb_dimJF)),0))*24</f>
        <v>0</v>
      </c>
      <c r="T37"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8" spans="1:20" x14ac:dyDescent="0.3">
      <c r="A38" s="4"/>
      <c r="B38" s="1"/>
      <c r="C38" s="2"/>
      <c r="D38" s="2"/>
      <c r="E38" s="3"/>
      <c r="F38" s="3"/>
      <c r="G38" s="3"/>
      <c r="H38" s="3"/>
      <c r="I38" s="47">
        <f>0.1*(H_Nov[[#This Row],[Heures de nuit]]+IF(H_Nov[[#This Row],[majoration dim &amp; JF]]="non",0,H_Nov[[#This Row],[heures jour dimanche]]+H_Nov[[#This Row],[heures jour fériés]]))</f>
        <v>0</v>
      </c>
      <c r="J38" s="48">
        <f>(MOD(H_Nov[[#This Row],[Fin]]-H_Nov[[#This Row],[début]],1)-MOD(H_Nov[[#This Row],[PNP Fin]]-H_Nov[[#This Row],[PNP Début]],1))*24</f>
        <v>0</v>
      </c>
      <c r="K38" s="119" t="str">
        <f>IFERROR(VLOOKUP(H_Nov[[#This Row],[Service]],Codes[],4,0),"")</f>
        <v/>
      </c>
      <c r="L38" s="49">
        <f>IF(H_Nov[[#This Row],[PNP Début]]=0,0,IF(H_Nov[[#This Row],[PNP Début]]&lt;H_Nov[[#This Row],[début]],1,0)+H_Nov[[#This Row],[PNP Début]])</f>
        <v>0</v>
      </c>
      <c r="M38" s="50">
        <f>IF(H_Nov[[#This Row],[PNP Fin]]=0,0,IF(H_Nov[[#This Row],[PNP Fin]]&lt;H_Nov[[#This Row],[début]],1,0)+H_Nov[[#This Row],[PNP Fin]])</f>
        <v>0</v>
      </c>
      <c r="N38" s="50">
        <f>IF(H_Nov[[#This Row],[Fin]]&lt;H_Nov[[#This Row],[début]],1,0)+H_Nov[[#This Row],[Fin]]</f>
        <v>0</v>
      </c>
      <c r="O38" s="31">
        <f>IF(H_Nov[[#This Row],[Fin]]&lt;H_Nov[[#This Row],[début]],MAX(0,MIN(H_Nov[[#This Row],[Fin corrigée si nuit]],fin_nuit)-MAX(H_Nov[[#This Row],[début]],deb_nuit))*24,(MAX(deb_nuit,H_Nov[[#This Row],[Fin]])-MAX(deb_nuit,H_Nov[[#This Row],[début]])+MAX(MIN(fin_nuit-1,H_Nov[[#This Row],[Fin]])-MIN(fin_nuit-1,H_Nov[[#This Row],[début]]),0))*24)</f>
        <v>0</v>
      </c>
      <c r="P38" s="51">
        <f>(MAX(0,MIN(H_Nov[[#This Row],[Fin corrigée si nuit]],fin_nuit)-MAX(H_Nov[[#This Row],[début]],deb_nuit))-IF(H_Nov[[#This Row],[PNP Début]]=0,0,MIN(H_Nov[[#This Row],[PNP Fin corrigée]],fin_nuit)-MAX(H_Nov[[#This Row],[PNP Début corrigé]],deb_nuit)))*24</f>
        <v>0</v>
      </c>
      <c r="Q38" s="51">
        <f>(IF(WEEKDAY(H_Nov[[#This Row],[Date]],2)=7,MAX(0,MIN(fin_dimJF,H_Nov[[#This Row],[Fin corrigée si nuit]])-MAX(deb_dimJF,H_Nov[[#This Row],[début]])),0)+IF(WEEKDAY(H_Nov[[#This Row],[Date]],2)=6,MAX(0,H_Nov[[#This Row],[Fin corrigée si nuit]]-(1+deb_dimJF)),0))*24</f>
        <v>0</v>
      </c>
      <c r="R38"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8" s="51">
        <f>(IF(COUNTIF(JF,H_Nov[[#This Row],[Date]]),MAX(0,MIN(fin_dimJF,H_Nov[[#This Row],[Fin corrigée si nuit]])-MAX(deb_dimJF,H_Nov[[#This Row],[début]])),0)+IF(COUNTIF(JF,H_Nov[[#This Row],[Date]]+1),MAX(0,H_Nov[[#This Row],[Fin corrigée si nuit]]-(1+deb_dimJF)),0))*24</f>
        <v>0</v>
      </c>
      <c r="T38"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39" spans="1:20" x14ac:dyDescent="0.3">
      <c r="A39" s="4"/>
      <c r="B39" s="1"/>
      <c r="C39" s="2"/>
      <c r="D39" s="2"/>
      <c r="E39" s="3"/>
      <c r="F39" s="3"/>
      <c r="G39" s="3"/>
      <c r="H39" s="3"/>
      <c r="I39" s="47">
        <f>0.1*(H_Nov[[#This Row],[Heures de nuit]]+IF(H_Nov[[#This Row],[majoration dim &amp; JF]]="non",0,H_Nov[[#This Row],[heures jour dimanche]]+H_Nov[[#This Row],[heures jour fériés]]))</f>
        <v>0</v>
      </c>
      <c r="J39" s="48">
        <f>(MOD(H_Nov[[#This Row],[Fin]]-H_Nov[[#This Row],[début]],1)-MOD(H_Nov[[#This Row],[PNP Fin]]-H_Nov[[#This Row],[PNP Début]],1))*24</f>
        <v>0</v>
      </c>
      <c r="K39" s="119" t="str">
        <f>IFERROR(VLOOKUP(H_Nov[[#This Row],[Service]],Codes[],4,0),"")</f>
        <v/>
      </c>
      <c r="L39" s="49">
        <f>IF(H_Nov[[#This Row],[PNP Début]]=0,0,IF(H_Nov[[#This Row],[PNP Début]]&lt;H_Nov[[#This Row],[début]],1,0)+H_Nov[[#This Row],[PNP Début]])</f>
        <v>0</v>
      </c>
      <c r="M39" s="50">
        <f>IF(H_Nov[[#This Row],[PNP Fin]]=0,0,IF(H_Nov[[#This Row],[PNP Fin]]&lt;H_Nov[[#This Row],[début]],1,0)+H_Nov[[#This Row],[PNP Fin]])</f>
        <v>0</v>
      </c>
      <c r="N39" s="50">
        <f>IF(H_Nov[[#This Row],[Fin]]&lt;H_Nov[[#This Row],[début]],1,0)+H_Nov[[#This Row],[Fin]]</f>
        <v>0</v>
      </c>
      <c r="O39" s="31">
        <f>IF(H_Nov[[#This Row],[Fin]]&lt;H_Nov[[#This Row],[début]],MAX(0,MIN(H_Nov[[#This Row],[Fin corrigée si nuit]],fin_nuit)-MAX(H_Nov[[#This Row],[début]],deb_nuit))*24,(MAX(deb_nuit,H_Nov[[#This Row],[Fin]])-MAX(deb_nuit,H_Nov[[#This Row],[début]])+MAX(MIN(fin_nuit-1,H_Nov[[#This Row],[Fin]])-MIN(fin_nuit-1,H_Nov[[#This Row],[début]]),0))*24)</f>
        <v>0</v>
      </c>
      <c r="P39" s="51">
        <f>(MAX(0,MIN(H_Nov[[#This Row],[Fin corrigée si nuit]],fin_nuit)-MAX(H_Nov[[#This Row],[début]],deb_nuit))-IF(H_Nov[[#This Row],[PNP Début]]=0,0,MIN(H_Nov[[#This Row],[PNP Fin corrigée]],fin_nuit)-MAX(H_Nov[[#This Row],[PNP Début corrigé]],deb_nuit)))*24</f>
        <v>0</v>
      </c>
      <c r="Q39" s="51">
        <f>(IF(WEEKDAY(H_Nov[[#This Row],[Date]],2)=7,MAX(0,MIN(fin_dimJF,H_Nov[[#This Row],[Fin corrigée si nuit]])-MAX(deb_dimJF,H_Nov[[#This Row],[début]])),0)+IF(WEEKDAY(H_Nov[[#This Row],[Date]],2)=6,MAX(0,H_Nov[[#This Row],[Fin corrigée si nuit]]-(1+deb_dimJF)),0))*24</f>
        <v>0</v>
      </c>
      <c r="R39"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39" s="51">
        <f>(IF(COUNTIF(JF,H_Nov[[#This Row],[Date]]),MAX(0,MIN(fin_dimJF,H_Nov[[#This Row],[Fin corrigée si nuit]])-MAX(deb_dimJF,H_Nov[[#This Row],[début]])),0)+IF(COUNTIF(JF,H_Nov[[#This Row],[Date]]+1),MAX(0,H_Nov[[#This Row],[Fin corrigée si nuit]]-(1+deb_dimJF)),0))*24</f>
        <v>0</v>
      </c>
      <c r="T39"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0" spans="1:20" x14ac:dyDescent="0.3">
      <c r="A40" s="4"/>
      <c r="B40" s="1"/>
      <c r="C40" s="2"/>
      <c r="D40" s="2"/>
      <c r="E40" s="3"/>
      <c r="F40" s="3"/>
      <c r="G40" s="3"/>
      <c r="H40" s="3"/>
      <c r="I40" s="47">
        <f>0.1*(H_Nov[[#This Row],[Heures de nuit]]+IF(H_Nov[[#This Row],[majoration dim &amp; JF]]="non",0,H_Nov[[#This Row],[heures jour dimanche]]+H_Nov[[#This Row],[heures jour fériés]]))</f>
        <v>0</v>
      </c>
      <c r="J40" s="48">
        <f>(MOD(H_Nov[[#This Row],[Fin]]-H_Nov[[#This Row],[début]],1)-MOD(H_Nov[[#This Row],[PNP Fin]]-H_Nov[[#This Row],[PNP Début]],1))*24</f>
        <v>0</v>
      </c>
      <c r="K40" s="119" t="str">
        <f>IFERROR(VLOOKUP(H_Nov[[#This Row],[Service]],Codes[],4,0),"")</f>
        <v/>
      </c>
      <c r="L40" s="49">
        <f>IF(H_Nov[[#This Row],[PNP Début]]=0,0,IF(H_Nov[[#This Row],[PNP Début]]&lt;H_Nov[[#This Row],[début]],1,0)+H_Nov[[#This Row],[PNP Début]])</f>
        <v>0</v>
      </c>
      <c r="M40" s="50">
        <f>IF(H_Nov[[#This Row],[PNP Fin]]=0,0,IF(H_Nov[[#This Row],[PNP Fin]]&lt;H_Nov[[#This Row],[début]],1,0)+H_Nov[[#This Row],[PNP Fin]])</f>
        <v>0</v>
      </c>
      <c r="N40" s="50">
        <f>IF(H_Nov[[#This Row],[Fin]]&lt;H_Nov[[#This Row],[début]],1,0)+H_Nov[[#This Row],[Fin]]</f>
        <v>0</v>
      </c>
      <c r="O40" s="31">
        <f>IF(H_Nov[[#This Row],[Fin]]&lt;H_Nov[[#This Row],[début]],MAX(0,MIN(H_Nov[[#This Row],[Fin corrigée si nuit]],fin_nuit)-MAX(H_Nov[[#This Row],[début]],deb_nuit))*24,(MAX(deb_nuit,H_Nov[[#This Row],[Fin]])-MAX(deb_nuit,H_Nov[[#This Row],[début]])+MAX(MIN(fin_nuit-1,H_Nov[[#This Row],[Fin]])-MIN(fin_nuit-1,H_Nov[[#This Row],[début]]),0))*24)</f>
        <v>0</v>
      </c>
      <c r="P40" s="51">
        <f>(MAX(0,MIN(H_Nov[[#This Row],[Fin corrigée si nuit]],fin_nuit)-MAX(H_Nov[[#This Row],[début]],deb_nuit))-IF(H_Nov[[#This Row],[PNP Début]]=0,0,MIN(H_Nov[[#This Row],[PNP Fin corrigée]],fin_nuit)-MAX(H_Nov[[#This Row],[PNP Début corrigé]],deb_nuit)))*24</f>
        <v>0</v>
      </c>
      <c r="Q40" s="51">
        <f>(IF(WEEKDAY(H_Nov[[#This Row],[Date]],2)=7,MAX(0,MIN(fin_dimJF,H_Nov[[#This Row],[Fin corrigée si nuit]])-MAX(deb_dimJF,H_Nov[[#This Row],[début]])),0)+IF(WEEKDAY(H_Nov[[#This Row],[Date]],2)=6,MAX(0,H_Nov[[#This Row],[Fin corrigée si nuit]]-(1+deb_dimJF)),0))*24</f>
        <v>0</v>
      </c>
      <c r="R40"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0" s="51">
        <f>(IF(COUNTIF(JF,H_Nov[[#This Row],[Date]]),MAX(0,MIN(fin_dimJF,H_Nov[[#This Row],[Fin corrigée si nuit]])-MAX(deb_dimJF,H_Nov[[#This Row],[début]])),0)+IF(COUNTIF(JF,H_Nov[[#This Row],[Date]]+1),MAX(0,H_Nov[[#This Row],[Fin corrigée si nuit]]-(1+deb_dimJF)),0))*24</f>
        <v>0</v>
      </c>
      <c r="T40"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1" spans="1:20" x14ac:dyDescent="0.3">
      <c r="A41" s="4"/>
      <c r="B41" s="1"/>
      <c r="C41" s="2"/>
      <c r="D41" s="2"/>
      <c r="E41" s="3"/>
      <c r="F41" s="3"/>
      <c r="G41" s="3"/>
      <c r="H41" s="3"/>
      <c r="I41" s="47">
        <f>0.1*(H_Nov[[#This Row],[Heures de nuit]]+IF(H_Nov[[#This Row],[majoration dim &amp; JF]]="non",0,H_Nov[[#This Row],[heures jour dimanche]]+H_Nov[[#This Row],[heures jour fériés]]))</f>
        <v>0</v>
      </c>
      <c r="J41" s="48">
        <f>(MOD(H_Nov[[#This Row],[Fin]]-H_Nov[[#This Row],[début]],1)-MOD(H_Nov[[#This Row],[PNP Fin]]-H_Nov[[#This Row],[PNP Début]],1))*24</f>
        <v>0</v>
      </c>
      <c r="K41" s="119" t="str">
        <f>IFERROR(VLOOKUP(H_Nov[[#This Row],[Service]],Codes[],4,0),"")</f>
        <v/>
      </c>
      <c r="L41" s="49">
        <f>IF(H_Nov[[#This Row],[PNP Début]]=0,0,IF(H_Nov[[#This Row],[PNP Début]]&lt;H_Nov[[#This Row],[début]],1,0)+H_Nov[[#This Row],[PNP Début]])</f>
        <v>0</v>
      </c>
      <c r="M41" s="50">
        <f>IF(H_Nov[[#This Row],[PNP Fin]]=0,0,IF(H_Nov[[#This Row],[PNP Fin]]&lt;H_Nov[[#This Row],[début]],1,0)+H_Nov[[#This Row],[PNP Fin]])</f>
        <v>0</v>
      </c>
      <c r="N41" s="50">
        <f>IF(H_Nov[[#This Row],[Fin]]&lt;H_Nov[[#This Row],[début]],1,0)+H_Nov[[#This Row],[Fin]]</f>
        <v>0</v>
      </c>
      <c r="O41" s="31">
        <f>IF(H_Nov[[#This Row],[Fin]]&lt;H_Nov[[#This Row],[début]],MAX(0,MIN(H_Nov[[#This Row],[Fin corrigée si nuit]],fin_nuit)-MAX(H_Nov[[#This Row],[début]],deb_nuit))*24,(MAX(deb_nuit,H_Nov[[#This Row],[Fin]])-MAX(deb_nuit,H_Nov[[#This Row],[début]])+MAX(MIN(fin_nuit-1,H_Nov[[#This Row],[Fin]])-MIN(fin_nuit-1,H_Nov[[#This Row],[début]]),0))*24)</f>
        <v>0</v>
      </c>
      <c r="P41" s="51">
        <f>(MAX(0,MIN(H_Nov[[#This Row],[Fin corrigée si nuit]],fin_nuit)-MAX(H_Nov[[#This Row],[début]],deb_nuit))-IF(H_Nov[[#This Row],[PNP Début]]=0,0,MIN(H_Nov[[#This Row],[PNP Fin corrigée]],fin_nuit)-MAX(H_Nov[[#This Row],[PNP Début corrigé]],deb_nuit)))*24</f>
        <v>0</v>
      </c>
      <c r="Q41" s="51">
        <f>(IF(WEEKDAY(H_Nov[[#This Row],[Date]],2)=7,MAX(0,MIN(fin_dimJF,H_Nov[[#This Row],[Fin corrigée si nuit]])-MAX(deb_dimJF,H_Nov[[#This Row],[début]])),0)+IF(WEEKDAY(H_Nov[[#This Row],[Date]],2)=6,MAX(0,H_Nov[[#This Row],[Fin corrigée si nuit]]-(1+deb_dimJF)),0))*24</f>
        <v>0</v>
      </c>
      <c r="R41"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1" s="51">
        <f>(IF(COUNTIF(JF,H_Nov[[#This Row],[Date]]),MAX(0,MIN(fin_dimJF,H_Nov[[#This Row],[Fin corrigée si nuit]])-MAX(deb_dimJF,H_Nov[[#This Row],[début]])),0)+IF(COUNTIF(JF,H_Nov[[#This Row],[Date]]+1),MAX(0,H_Nov[[#This Row],[Fin corrigée si nuit]]-(1+deb_dimJF)),0))*24</f>
        <v>0</v>
      </c>
      <c r="T41"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2" spans="1:20" x14ac:dyDescent="0.3">
      <c r="A42" s="4"/>
      <c r="B42" s="1"/>
      <c r="C42" s="2"/>
      <c r="D42" s="2"/>
      <c r="E42" s="3"/>
      <c r="F42" s="3"/>
      <c r="G42" s="3"/>
      <c r="H42" s="3"/>
      <c r="I42" s="47">
        <f>0.1*(H_Nov[[#This Row],[Heures de nuit]]+IF(H_Nov[[#This Row],[majoration dim &amp; JF]]="non",0,H_Nov[[#This Row],[heures jour dimanche]]+H_Nov[[#This Row],[heures jour fériés]]))</f>
        <v>0</v>
      </c>
      <c r="J42" s="48">
        <f>(MOD(H_Nov[[#This Row],[Fin]]-H_Nov[[#This Row],[début]],1)-MOD(H_Nov[[#This Row],[PNP Fin]]-H_Nov[[#This Row],[PNP Début]],1))*24</f>
        <v>0</v>
      </c>
      <c r="K42" s="119" t="str">
        <f>IFERROR(VLOOKUP(H_Nov[[#This Row],[Service]],Codes[],4,0),"")</f>
        <v/>
      </c>
      <c r="L42" s="49">
        <f>IF(H_Nov[[#This Row],[PNP Début]]=0,0,IF(H_Nov[[#This Row],[PNP Début]]&lt;H_Nov[[#This Row],[début]],1,0)+H_Nov[[#This Row],[PNP Début]])</f>
        <v>0</v>
      </c>
      <c r="M42" s="50">
        <f>IF(H_Nov[[#This Row],[PNP Fin]]=0,0,IF(H_Nov[[#This Row],[PNP Fin]]&lt;H_Nov[[#This Row],[début]],1,0)+H_Nov[[#This Row],[PNP Fin]])</f>
        <v>0</v>
      </c>
      <c r="N42" s="50">
        <f>IF(H_Nov[[#This Row],[Fin]]&lt;H_Nov[[#This Row],[début]],1,0)+H_Nov[[#This Row],[Fin]]</f>
        <v>0</v>
      </c>
      <c r="O42" s="31">
        <f>IF(H_Nov[[#This Row],[Fin]]&lt;H_Nov[[#This Row],[début]],MAX(0,MIN(H_Nov[[#This Row],[Fin corrigée si nuit]],fin_nuit)-MAX(H_Nov[[#This Row],[début]],deb_nuit))*24,(MAX(deb_nuit,H_Nov[[#This Row],[Fin]])-MAX(deb_nuit,H_Nov[[#This Row],[début]])+MAX(MIN(fin_nuit-1,H_Nov[[#This Row],[Fin]])-MIN(fin_nuit-1,H_Nov[[#This Row],[début]]),0))*24)</f>
        <v>0</v>
      </c>
      <c r="P42" s="51">
        <f>(MAX(0,MIN(H_Nov[[#This Row],[Fin corrigée si nuit]],fin_nuit)-MAX(H_Nov[[#This Row],[début]],deb_nuit))-IF(H_Nov[[#This Row],[PNP Début]]=0,0,MIN(H_Nov[[#This Row],[PNP Fin corrigée]],fin_nuit)-MAX(H_Nov[[#This Row],[PNP Début corrigé]],deb_nuit)))*24</f>
        <v>0</v>
      </c>
      <c r="Q42" s="51">
        <f>(IF(WEEKDAY(H_Nov[[#This Row],[Date]],2)=7,MAX(0,MIN(fin_dimJF,H_Nov[[#This Row],[Fin corrigée si nuit]])-MAX(deb_dimJF,H_Nov[[#This Row],[début]])),0)+IF(WEEKDAY(H_Nov[[#This Row],[Date]],2)=6,MAX(0,H_Nov[[#This Row],[Fin corrigée si nuit]]-(1+deb_dimJF)),0))*24</f>
        <v>0</v>
      </c>
      <c r="R42"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2" s="51">
        <f>(IF(COUNTIF(JF,H_Nov[[#This Row],[Date]]),MAX(0,MIN(fin_dimJF,H_Nov[[#This Row],[Fin corrigée si nuit]])-MAX(deb_dimJF,H_Nov[[#This Row],[début]])),0)+IF(COUNTIF(JF,H_Nov[[#This Row],[Date]]+1),MAX(0,H_Nov[[#This Row],[Fin corrigée si nuit]]-(1+deb_dimJF)),0))*24</f>
        <v>0</v>
      </c>
      <c r="T42"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3" spans="1:20" x14ac:dyDescent="0.3">
      <c r="A43" s="4"/>
      <c r="B43" s="1"/>
      <c r="C43" s="2"/>
      <c r="D43" s="2"/>
      <c r="E43" s="3"/>
      <c r="F43" s="3"/>
      <c r="G43" s="3"/>
      <c r="H43" s="3"/>
      <c r="I43" s="47">
        <f>0.1*(H_Nov[[#This Row],[Heures de nuit]]+IF(H_Nov[[#This Row],[majoration dim &amp; JF]]="non",0,H_Nov[[#This Row],[heures jour dimanche]]+H_Nov[[#This Row],[heures jour fériés]]))</f>
        <v>0</v>
      </c>
      <c r="J43" s="48">
        <f>(MOD(H_Nov[[#This Row],[Fin]]-H_Nov[[#This Row],[début]],1)-MOD(H_Nov[[#This Row],[PNP Fin]]-H_Nov[[#This Row],[PNP Début]],1))*24</f>
        <v>0</v>
      </c>
      <c r="K43" s="119" t="str">
        <f>IFERROR(VLOOKUP(H_Nov[[#This Row],[Service]],Codes[],4,0),"")</f>
        <v/>
      </c>
      <c r="L43" s="49">
        <f>IF(H_Nov[[#This Row],[PNP Début]]=0,0,IF(H_Nov[[#This Row],[PNP Début]]&lt;H_Nov[[#This Row],[début]],1,0)+H_Nov[[#This Row],[PNP Début]])</f>
        <v>0</v>
      </c>
      <c r="M43" s="50">
        <f>IF(H_Nov[[#This Row],[PNP Fin]]=0,0,IF(H_Nov[[#This Row],[PNP Fin]]&lt;H_Nov[[#This Row],[début]],1,0)+H_Nov[[#This Row],[PNP Fin]])</f>
        <v>0</v>
      </c>
      <c r="N43" s="50">
        <f>IF(H_Nov[[#This Row],[Fin]]&lt;H_Nov[[#This Row],[début]],1,0)+H_Nov[[#This Row],[Fin]]</f>
        <v>0</v>
      </c>
      <c r="O43" s="31">
        <f>IF(H_Nov[[#This Row],[Fin]]&lt;H_Nov[[#This Row],[début]],MAX(0,MIN(H_Nov[[#This Row],[Fin corrigée si nuit]],fin_nuit)-MAX(H_Nov[[#This Row],[début]],deb_nuit))*24,(MAX(deb_nuit,H_Nov[[#This Row],[Fin]])-MAX(deb_nuit,H_Nov[[#This Row],[début]])+MAX(MIN(fin_nuit-1,H_Nov[[#This Row],[Fin]])-MIN(fin_nuit-1,H_Nov[[#This Row],[début]]),0))*24)</f>
        <v>0</v>
      </c>
      <c r="P43" s="51">
        <f>(MAX(0,MIN(H_Nov[[#This Row],[Fin corrigée si nuit]],fin_nuit)-MAX(H_Nov[[#This Row],[début]],deb_nuit))-IF(H_Nov[[#This Row],[PNP Début]]=0,0,MIN(H_Nov[[#This Row],[PNP Fin corrigée]],fin_nuit)-MAX(H_Nov[[#This Row],[PNP Début corrigé]],deb_nuit)))*24</f>
        <v>0</v>
      </c>
      <c r="Q43" s="51">
        <f>(IF(WEEKDAY(H_Nov[[#This Row],[Date]],2)=7,MAX(0,MIN(fin_dimJF,H_Nov[[#This Row],[Fin corrigée si nuit]])-MAX(deb_dimJF,H_Nov[[#This Row],[début]])),0)+IF(WEEKDAY(H_Nov[[#This Row],[Date]],2)=6,MAX(0,H_Nov[[#This Row],[Fin corrigée si nuit]]-(1+deb_dimJF)),0))*24</f>
        <v>0</v>
      </c>
      <c r="R43"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3" s="51">
        <f>(IF(COUNTIF(JF,H_Nov[[#This Row],[Date]]),MAX(0,MIN(fin_dimJF,H_Nov[[#This Row],[Fin corrigée si nuit]])-MAX(deb_dimJF,H_Nov[[#This Row],[début]])),0)+IF(COUNTIF(JF,H_Nov[[#This Row],[Date]]+1),MAX(0,H_Nov[[#This Row],[Fin corrigée si nuit]]-(1+deb_dimJF)),0))*24</f>
        <v>0</v>
      </c>
      <c r="T43"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4" spans="1:20" x14ac:dyDescent="0.3">
      <c r="A44" s="4"/>
      <c r="B44" s="1"/>
      <c r="C44" s="2"/>
      <c r="D44" s="2"/>
      <c r="E44" s="3"/>
      <c r="F44" s="3"/>
      <c r="G44" s="3"/>
      <c r="H44" s="3"/>
      <c r="I44" s="47">
        <f>0.1*(H_Nov[[#This Row],[Heures de nuit]]+IF(H_Nov[[#This Row],[majoration dim &amp; JF]]="non",0,H_Nov[[#This Row],[heures jour dimanche]]+H_Nov[[#This Row],[heures jour fériés]]))</f>
        <v>0</v>
      </c>
      <c r="J44" s="48">
        <f>(MOD(H_Nov[[#This Row],[Fin]]-H_Nov[[#This Row],[début]],1)-MOD(H_Nov[[#This Row],[PNP Fin]]-H_Nov[[#This Row],[PNP Début]],1))*24</f>
        <v>0</v>
      </c>
      <c r="K44" s="119" t="str">
        <f>IFERROR(VLOOKUP(H_Nov[[#This Row],[Service]],Codes[],4,0),"")</f>
        <v/>
      </c>
      <c r="L44" s="49">
        <f>IF(H_Nov[[#This Row],[PNP Début]]=0,0,IF(H_Nov[[#This Row],[PNP Début]]&lt;H_Nov[[#This Row],[début]],1,0)+H_Nov[[#This Row],[PNP Début]])</f>
        <v>0</v>
      </c>
      <c r="M44" s="50">
        <f>IF(H_Nov[[#This Row],[PNP Fin]]=0,0,IF(H_Nov[[#This Row],[PNP Fin]]&lt;H_Nov[[#This Row],[début]],1,0)+H_Nov[[#This Row],[PNP Fin]])</f>
        <v>0</v>
      </c>
      <c r="N44" s="50">
        <f>IF(H_Nov[[#This Row],[Fin]]&lt;H_Nov[[#This Row],[début]],1,0)+H_Nov[[#This Row],[Fin]]</f>
        <v>0</v>
      </c>
      <c r="O44" s="31">
        <f>IF(H_Nov[[#This Row],[Fin]]&lt;H_Nov[[#This Row],[début]],MAX(0,MIN(H_Nov[[#This Row],[Fin corrigée si nuit]],fin_nuit)-MAX(H_Nov[[#This Row],[début]],deb_nuit))*24,(MAX(deb_nuit,H_Nov[[#This Row],[Fin]])-MAX(deb_nuit,H_Nov[[#This Row],[début]])+MAX(MIN(fin_nuit-1,H_Nov[[#This Row],[Fin]])-MIN(fin_nuit-1,H_Nov[[#This Row],[début]]),0))*24)</f>
        <v>0</v>
      </c>
      <c r="P44" s="51">
        <f>(MAX(0,MIN(H_Nov[[#This Row],[Fin corrigée si nuit]],fin_nuit)-MAX(H_Nov[[#This Row],[début]],deb_nuit))-IF(H_Nov[[#This Row],[PNP Début]]=0,0,MIN(H_Nov[[#This Row],[PNP Fin corrigée]],fin_nuit)-MAX(H_Nov[[#This Row],[PNP Début corrigé]],deb_nuit)))*24</f>
        <v>0</v>
      </c>
      <c r="Q44" s="51">
        <f>(IF(WEEKDAY(H_Nov[[#This Row],[Date]],2)=7,MAX(0,MIN(fin_dimJF,H_Nov[[#This Row],[Fin corrigée si nuit]])-MAX(deb_dimJF,H_Nov[[#This Row],[début]])),0)+IF(WEEKDAY(H_Nov[[#This Row],[Date]],2)=6,MAX(0,H_Nov[[#This Row],[Fin corrigée si nuit]]-(1+deb_dimJF)),0))*24</f>
        <v>0</v>
      </c>
      <c r="R44"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4" s="51">
        <f>(IF(COUNTIF(JF,H_Nov[[#This Row],[Date]]),MAX(0,MIN(fin_dimJF,H_Nov[[#This Row],[Fin corrigée si nuit]])-MAX(deb_dimJF,H_Nov[[#This Row],[début]])),0)+IF(COUNTIF(JF,H_Nov[[#This Row],[Date]]+1),MAX(0,H_Nov[[#This Row],[Fin corrigée si nuit]]-(1+deb_dimJF)),0))*24</f>
        <v>0</v>
      </c>
      <c r="T44"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5" spans="1:20" x14ac:dyDescent="0.3">
      <c r="A45" s="4"/>
      <c r="B45" s="1"/>
      <c r="C45" s="2"/>
      <c r="D45" s="2"/>
      <c r="E45" s="3"/>
      <c r="F45" s="3"/>
      <c r="G45" s="3"/>
      <c r="H45" s="3"/>
      <c r="I45" s="47">
        <f>0.1*(H_Nov[[#This Row],[Heures de nuit]]+IF(H_Nov[[#This Row],[majoration dim &amp; JF]]="non",0,H_Nov[[#This Row],[heures jour dimanche]]+H_Nov[[#This Row],[heures jour fériés]]))</f>
        <v>0</v>
      </c>
      <c r="J45" s="48">
        <f>(MOD(H_Nov[[#This Row],[Fin]]-H_Nov[[#This Row],[début]],1)-MOD(H_Nov[[#This Row],[PNP Fin]]-H_Nov[[#This Row],[PNP Début]],1))*24</f>
        <v>0</v>
      </c>
      <c r="K45" s="119" t="str">
        <f>IFERROR(VLOOKUP(H_Nov[[#This Row],[Service]],Codes[],4,0),"")</f>
        <v/>
      </c>
      <c r="L45" s="49">
        <f>IF(H_Nov[[#This Row],[PNP Début]]=0,0,IF(H_Nov[[#This Row],[PNP Début]]&lt;H_Nov[[#This Row],[début]],1,0)+H_Nov[[#This Row],[PNP Début]])</f>
        <v>0</v>
      </c>
      <c r="M45" s="50">
        <f>IF(H_Nov[[#This Row],[PNP Fin]]=0,0,IF(H_Nov[[#This Row],[PNP Fin]]&lt;H_Nov[[#This Row],[début]],1,0)+H_Nov[[#This Row],[PNP Fin]])</f>
        <v>0</v>
      </c>
      <c r="N45" s="50">
        <f>IF(H_Nov[[#This Row],[Fin]]&lt;H_Nov[[#This Row],[début]],1,0)+H_Nov[[#This Row],[Fin]]</f>
        <v>0</v>
      </c>
      <c r="O45" s="31">
        <f>IF(H_Nov[[#This Row],[Fin]]&lt;H_Nov[[#This Row],[début]],MAX(0,MIN(H_Nov[[#This Row],[Fin corrigée si nuit]],fin_nuit)-MAX(H_Nov[[#This Row],[début]],deb_nuit))*24,(MAX(deb_nuit,H_Nov[[#This Row],[Fin]])-MAX(deb_nuit,H_Nov[[#This Row],[début]])+MAX(MIN(fin_nuit-1,H_Nov[[#This Row],[Fin]])-MIN(fin_nuit-1,H_Nov[[#This Row],[début]]),0))*24)</f>
        <v>0</v>
      </c>
      <c r="P45" s="51">
        <f>(MAX(0,MIN(H_Nov[[#This Row],[Fin corrigée si nuit]],fin_nuit)-MAX(H_Nov[[#This Row],[début]],deb_nuit))-IF(H_Nov[[#This Row],[PNP Début]]=0,0,MIN(H_Nov[[#This Row],[PNP Fin corrigée]],fin_nuit)-MAX(H_Nov[[#This Row],[PNP Début corrigé]],deb_nuit)))*24</f>
        <v>0</v>
      </c>
      <c r="Q45" s="51">
        <f>(IF(WEEKDAY(H_Nov[[#This Row],[Date]],2)=7,MAX(0,MIN(fin_dimJF,H_Nov[[#This Row],[Fin corrigée si nuit]])-MAX(deb_dimJF,H_Nov[[#This Row],[début]])),0)+IF(WEEKDAY(H_Nov[[#This Row],[Date]],2)=6,MAX(0,H_Nov[[#This Row],[Fin corrigée si nuit]]-(1+deb_dimJF)),0))*24</f>
        <v>0</v>
      </c>
      <c r="R45"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5" s="51">
        <f>(IF(COUNTIF(JF,H_Nov[[#This Row],[Date]]),MAX(0,MIN(fin_dimJF,H_Nov[[#This Row],[Fin corrigée si nuit]])-MAX(deb_dimJF,H_Nov[[#This Row],[début]])),0)+IF(COUNTIF(JF,H_Nov[[#This Row],[Date]]+1),MAX(0,H_Nov[[#This Row],[Fin corrigée si nuit]]-(1+deb_dimJF)),0))*24</f>
        <v>0</v>
      </c>
      <c r="T45"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6" spans="1:20" x14ac:dyDescent="0.3">
      <c r="A46" s="4"/>
      <c r="B46" s="1"/>
      <c r="C46" s="2"/>
      <c r="D46" s="2"/>
      <c r="E46" s="3"/>
      <c r="F46" s="3"/>
      <c r="G46" s="3"/>
      <c r="H46" s="3"/>
      <c r="I46" s="47">
        <f>0.1*(H_Nov[[#This Row],[Heures de nuit]]+IF(H_Nov[[#This Row],[majoration dim &amp; JF]]="non",0,H_Nov[[#This Row],[heures jour dimanche]]+H_Nov[[#This Row],[heures jour fériés]]))</f>
        <v>0</v>
      </c>
      <c r="J46" s="48">
        <f>(MOD(H_Nov[[#This Row],[Fin]]-H_Nov[[#This Row],[début]],1)-MOD(H_Nov[[#This Row],[PNP Fin]]-H_Nov[[#This Row],[PNP Début]],1))*24</f>
        <v>0</v>
      </c>
      <c r="K46" s="119" t="str">
        <f>IFERROR(VLOOKUP(H_Nov[[#This Row],[Service]],Codes[],4,0),"")</f>
        <v/>
      </c>
      <c r="L46" s="49">
        <f>IF(H_Nov[[#This Row],[PNP Début]]=0,0,IF(H_Nov[[#This Row],[PNP Début]]&lt;H_Nov[[#This Row],[début]],1,0)+H_Nov[[#This Row],[PNP Début]])</f>
        <v>0</v>
      </c>
      <c r="M46" s="50">
        <f>IF(H_Nov[[#This Row],[PNP Fin]]=0,0,IF(H_Nov[[#This Row],[PNP Fin]]&lt;H_Nov[[#This Row],[début]],1,0)+H_Nov[[#This Row],[PNP Fin]])</f>
        <v>0</v>
      </c>
      <c r="N46" s="50">
        <f>IF(H_Nov[[#This Row],[Fin]]&lt;H_Nov[[#This Row],[début]],1,0)+H_Nov[[#This Row],[Fin]]</f>
        <v>0</v>
      </c>
      <c r="O46" s="31">
        <f>IF(H_Nov[[#This Row],[Fin]]&lt;H_Nov[[#This Row],[début]],MAX(0,MIN(H_Nov[[#This Row],[Fin corrigée si nuit]],fin_nuit)-MAX(H_Nov[[#This Row],[début]],deb_nuit))*24,(MAX(deb_nuit,H_Nov[[#This Row],[Fin]])-MAX(deb_nuit,H_Nov[[#This Row],[début]])+MAX(MIN(fin_nuit-1,H_Nov[[#This Row],[Fin]])-MIN(fin_nuit-1,H_Nov[[#This Row],[début]]),0))*24)</f>
        <v>0</v>
      </c>
      <c r="P46" s="51">
        <f>(MAX(0,MIN(H_Nov[[#This Row],[Fin corrigée si nuit]],fin_nuit)-MAX(H_Nov[[#This Row],[début]],deb_nuit))-IF(H_Nov[[#This Row],[PNP Début]]=0,0,MIN(H_Nov[[#This Row],[PNP Fin corrigée]],fin_nuit)-MAX(H_Nov[[#This Row],[PNP Début corrigé]],deb_nuit)))*24</f>
        <v>0</v>
      </c>
      <c r="Q46" s="51">
        <f>(IF(WEEKDAY(H_Nov[[#This Row],[Date]],2)=7,MAX(0,MIN(fin_dimJF,H_Nov[[#This Row],[Fin corrigée si nuit]])-MAX(deb_dimJF,H_Nov[[#This Row],[début]])),0)+IF(WEEKDAY(H_Nov[[#This Row],[Date]],2)=6,MAX(0,H_Nov[[#This Row],[Fin corrigée si nuit]]-(1+deb_dimJF)),0))*24</f>
        <v>0</v>
      </c>
      <c r="R46"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6" s="51">
        <f>(IF(COUNTIF(JF,H_Nov[[#This Row],[Date]]),MAX(0,MIN(fin_dimJF,H_Nov[[#This Row],[Fin corrigée si nuit]])-MAX(deb_dimJF,H_Nov[[#This Row],[début]])),0)+IF(COUNTIF(JF,H_Nov[[#This Row],[Date]]+1),MAX(0,H_Nov[[#This Row],[Fin corrigée si nuit]]-(1+deb_dimJF)),0))*24</f>
        <v>0</v>
      </c>
      <c r="T46"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7" spans="1:20" x14ac:dyDescent="0.3">
      <c r="A47" s="4"/>
      <c r="B47" s="1"/>
      <c r="C47" s="2"/>
      <c r="D47" s="2"/>
      <c r="E47" s="3"/>
      <c r="F47" s="3"/>
      <c r="G47" s="3"/>
      <c r="H47" s="3"/>
      <c r="I47" s="47">
        <f>0.1*(H_Nov[[#This Row],[Heures de nuit]]+IF(H_Nov[[#This Row],[majoration dim &amp; JF]]="non",0,H_Nov[[#This Row],[heures jour dimanche]]+H_Nov[[#This Row],[heures jour fériés]]))</f>
        <v>0</v>
      </c>
      <c r="J47" s="48">
        <f>(MOD(H_Nov[[#This Row],[Fin]]-H_Nov[[#This Row],[début]],1)-MOD(H_Nov[[#This Row],[PNP Fin]]-H_Nov[[#This Row],[PNP Début]],1))*24</f>
        <v>0</v>
      </c>
      <c r="K47" s="119" t="str">
        <f>IFERROR(VLOOKUP(H_Nov[[#This Row],[Service]],Codes[],4,0),"")</f>
        <v/>
      </c>
      <c r="L47" s="49">
        <f>IF(H_Nov[[#This Row],[PNP Début]]=0,0,IF(H_Nov[[#This Row],[PNP Début]]&lt;H_Nov[[#This Row],[début]],1,0)+H_Nov[[#This Row],[PNP Début]])</f>
        <v>0</v>
      </c>
      <c r="M47" s="50">
        <f>IF(H_Nov[[#This Row],[PNP Fin]]=0,0,IF(H_Nov[[#This Row],[PNP Fin]]&lt;H_Nov[[#This Row],[début]],1,0)+H_Nov[[#This Row],[PNP Fin]])</f>
        <v>0</v>
      </c>
      <c r="N47" s="50">
        <f>IF(H_Nov[[#This Row],[Fin]]&lt;H_Nov[[#This Row],[début]],1,0)+H_Nov[[#This Row],[Fin]]</f>
        <v>0</v>
      </c>
      <c r="O47" s="31">
        <f>IF(H_Nov[[#This Row],[Fin]]&lt;H_Nov[[#This Row],[début]],MAX(0,MIN(H_Nov[[#This Row],[Fin corrigée si nuit]],fin_nuit)-MAX(H_Nov[[#This Row],[début]],deb_nuit))*24,(MAX(deb_nuit,H_Nov[[#This Row],[Fin]])-MAX(deb_nuit,H_Nov[[#This Row],[début]])+MAX(MIN(fin_nuit-1,H_Nov[[#This Row],[Fin]])-MIN(fin_nuit-1,H_Nov[[#This Row],[début]]),0))*24)</f>
        <v>0</v>
      </c>
      <c r="P47" s="51">
        <f>(MAX(0,MIN(H_Nov[[#This Row],[Fin corrigée si nuit]],fin_nuit)-MAX(H_Nov[[#This Row],[début]],deb_nuit))-IF(H_Nov[[#This Row],[PNP Début]]=0,0,MIN(H_Nov[[#This Row],[PNP Fin corrigée]],fin_nuit)-MAX(H_Nov[[#This Row],[PNP Début corrigé]],deb_nuit)))*24</f>
        <v>0</v>
      </c>
      <c r="Q47" s="51">
        <f>(IF(WEEKDAY(H_Nov[[#This Row],[Date]],2)=7,MAX(0,MIN(fin_dimJF,H_Nov[[#This Row],[Fin corrigée si nuit]])-MAX(deb_dimJF,H_Nov[[#This Row],[début]])),0)+IF(WEEKDAY(H_Nov[[#This Row],[Date]],2)=6,MAX(0,H_Nov[[#This Row],[Fin corrigée si nuit]]-(1+deb_dimJF)),0))*24</f>
        <v>0</v>
      </c>
      <c r="R47"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7" s="51">
        <f>(IF(COUNTIF(JF,H_Nov[[#This Row],[Date]]),MAX(0,MIN(fin_dimJF,H_Nov[[#This Row],[Fin corrigée si nuit]])-MAX(deb_dimJF,H_Nov[[#This Row],[début]])),0)+IF(COUNTIF(JF,H_Nov[[#This Row],[Date]]+1),MAX(0,H_Nov[[#This Row],[Fin corrigée si nuit]]-(1+deb_dimJF)),0))*24</f>
        <v>0</v>
      </c>
      <c r="T47"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8" spans="1:20" x14ac:dyDescent="0.3">
      <c r="A48" s="4"/>
      <c r="B48" s="1"/>
      <c r="C48" s="2"/>
      <c r="D48" s="2"/>
      <c r="E48" s="3"/>
      <c r="F48" s="3"/>
      <c r="G48" s="3"/>
      <c r="H48" s="3"/>
      <c r="I48" s="47">
        <f>0.1*(H_Nov[[#This Row],[Heures de nuit]]+IF(H_Nov[[#This Row],[majoration dim &amp; JF]]="non",0,H_Nov[[#This Row],[heures jour dimanche]]+H_Nov[[#This Row],[heures jour fériés]]))</f>
        <v>0</v>
      </c>
      <c r="J48" s="48">
        <f>(MOD(H_Nov[[#This Row],[Fin]]-H_Nov[[#This Row],[début]],1)-MOD(H_Nov[[#This Row],[PNP Fin]]-H_Nov[[#This Row],[PNP Début]],1))*24</f>
        <v>0</v>
      </c>
      <c r="K48" s="119" t="str">
        <f>IFERROR(VLOOKUP(H_Nov[[#This Row],[Service]],Codes[],4,0),"")</f>
        <v/>
      </c>
      <c r="L48" s="49">
        <f>IF(H_Nov[[#This Row],[PNP Début]]=0,0,IF(H_Nov[[#This Row],[PNP Début]]&lt;H_Nov[[#This Row],[début]],1,0)+H_Nov[[#This Row],[PNP Début]])</f>
        <v>0</v>
      </c>
      <c r="M48" s="50">
        <f>IF(H_Nov[[#This Row],[PNP Fin]]=0,0,IF(H_Nov[[#This Row],[PNP Fin]]&lt;H_Nov[[#This Row],[début]],1,0)+H_Nov[[#This Row],[PNP Fin]])</f>
        <v>0</v>
      </c>
      <c r="N48" s="50">
        <f>IF(H_Nov[[#This Row],[Fin]]&lt;H_Nov[[#This Row],[début]],1,0)+H_Nov[[#This Row],[Fin]]</f>
        <v>0</v>
      </c>
      <c r="O48" s="31">
        <f>IF(H_Nov[[#This Row],[Fin]]&lt;H_Nov[[#This Row],[début]],MAX(0,MIN(H_Nov[[#This Row],[Fin corrigée si nuit]],fin_nuit)-MAX(H_Nov[[#This Row],[début]],deb_nuit))*24,(MAX(deb_nuit,H_Nov[[#This Row],[Fin]])-MAX(deb_nuit,H_Nov[[#This Row],[début]])+MAX(MIN(fin_nuit-1,H_Nov[[#This Row],[Fin]])-MIN(fin_nuit-1,H_Nov[[#This Row],[début]]),0))*24)</f>
        <v>0</v>
      </c>
      <c r="P48" s="51">
        <f>(MAX(0,MIN(H_Nov[[#This Row],[Fin corrigée si nuit]],fin_nuit)-MAX(H_Nov[[#This Row],[début]],deb_nuit))-IF(H_Nov[[#This Row],[PNP Début]]=0,0,MIN(H_Nov[[#This Row],[PNP Fin corrigée]],fin_nuit)-MAX(H_Nov[[#This Row],[PNP Début corrigé]],deb_nuit)))*24</f>
        <v>0</v>
      </c>
      <c r="Q48" s="51">
        <f>(IF(WEEKDAY(H_Nov[[#This Row],[Date]],2)=7,MAX(0,MIN(fin_dimJF,H_Nov[[#This Row],[Fin corrigée si nuit]])-MAX(deb_dimJF,H_Nov[[#This Row],[début]])),0)+IF(WEEKDAY(H_Nov[[#This Row],[Date]],2)=6,MAX(0,H_Nov[[#This Row],[Fin corrigée si nuit]]-(1+deb_dimJF)),0))*24</f>
        <v>0</v>
      </c>
      <c r="R48"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8" s="51">
        <f>(IF(COUNTIF(JF,H_Nov[[#This Row],[Date]]),MAX(0,MIN(fin_dimJF,H_Nov[[#This Row],[Fin corrigée si nuit]])-MAX(deb_dimJF,H_Nov[[#This Row],[début]])),0)+IF(COUNTIF(JF,H_Nov[[#This Row],[Date]]+1),MAX(0,H_Nov[[#This Row],[Fin corrigée si nuit]]-(1+deb_dimJF)),0))*24</f>
        <v>0</v>
      </c>
      <c r="T48"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49" spans="1:20" ht="15" thickBot="1" x14ac:dyDescent="0.35">
      <c r="A49" s="4"/>
      <c r="B49" s="1"/>
      <c r="C49" s="2"/>
      <c r="D49" s="2"/>
      <c r="E49" s="3"/>
      <c r="F49" s="3"/>
      <c r="G49" s="3"/>
      <c r="H49" s="3"/>
      <c r="I49" s="47">
        <f>0.1*(H_Nov[[#This Row],[Heures de nuit]]+IF(H_Nov[[#This Row],[majoration dim &amp; JF]]="non",0,H_Nov[[#This Row],[heures jour dimanche]]+H_Nov[[#This Row],[heures jour fériés]]))</f>
        <v>0</v>
      </c>
      <c r="J49" s="48">
        <f>(MOD(H_Nov[[#This Row],[Fin]]-H_Nov[[#This Row],[début]],1)-MOD(H_Nov[[#This Row],[PNP Fin]]-H_Nov[[#This Row],[PNP Début]],1))*24</f>
        <v>0</v>
      </c>
      <c r="K49" s="119" t="str">
        <f>IFERROR(VLOOKUP(H_Nov[[#This Row],[Service]],Codes[],4,0),"")</f>
        <v/>
      </c>
      <c r="L49" s="49">
        <f>IF(H_Nov[[#This Row],[PNP Début]]=0,0,IF(H_Nov[[#This Row],[PNP Début]]&lt;H_Nov[[#This Row],[début]],1,0)+H_Nov[[#This Row],[PNP Début]])</f>
        <v>0</v>
      </c>
      <c r="M49" s="50">
        <f>IF(H_Nov[[#This Row],[PNP Fin]]=0,0,IF(H_Nov[[#This Row],[PNP Fin]]&lt;H_Nov[[#This Row],[début]],1,0)+H_Nov[[#This Row],[PNP Fin]])</f>
        <v>0</v>
      </c>
      <c r="N49" s="50">
        <f>IF(H_Nov[[#This Row],[Fin]]&lt;H_Nov[[#This Row],[début]],1,0)+H_Nov[[#This Row],[Fin]]</f>
        <v>0</v>
      </c>
      <c r="O49" s="31">
        <f>IF(H_Nov[[#This Row],[Fin]]&lt;H_Nov[[#This Row],[début]],MAX(0,MIN(H_Nov[[#This Row],[Fin corrigée si nuit]],fin_nuit)-MAX(H_Nov[[#This Row],[début]],deb_nuit))*24,(MAX(deb_nuit,H_Nov[[#This Row],[Fin]])-MAX(deb_nuit,H_Nov[[#This Row],[début]])+MAX(MIN(fin_nuit-1,H_Nov[[#This Row],[Fin]])-MIN(fin_nuit-1,H_Nov[[#This Row],[début]]),0))*24)</f>
        <v>0</v>
      </c>
      <c r="P49" s="51">
        <f>(MAX(0,MIN(H_Nov[[#This Row],[Fin corrigée si nuit]],fin_nuit)-MAX(H_Nov[[#This Row],[début]],deb_nuit))-IF(H_Nov[[#This Row],[PNP Début]]=0,0,MIN(H_Nov[[#This Row],[PNP Fin corrigée]],fin_nuit)-MAX(H_Nov[[#This Row],[PNP Début corrigé]],deb_nuit)))*24</f>
        <v>0</v>
      </c>
      <c r="Q49" s="51">
        <f>(IF(WEEKDAY(H_Nov[[#This Row],[Date]],2)=7,MAX(0,MIN(fin_dimJF,H_Nov[[#This Row],[Fin corrigée si nuit]])-MAX(deb_dimJF,H_Nov[[#This Row],[début]])),0)+IF(WEEKDAY(H_Nov[[#This Row],[Date]],2)=6,MAX(0,H_Nov[[#This Row],[Fin corrigée si nuit]]-(1+deb_dimJF)),0))*24</f>
        <v>0</v>
      </c>
      <c r="R49" s="51">
        <f>(IF(WEEKDAY(H_Nov[[#This Row],[Date]],2)=7,MAX(0,MIN(fin_dimJF,H_Nov[[#This Row],[Fin corrigée si nuit]])-MAX(deb_dimJF,H_Nov[[#This Row],[début]])),0)+IF(WEEKDAY(H_Nov[[#This Row],[Date]],2)=6,MAX(0,H_Nov[[#This Row],[Fin corrigée si nuit]]-(1+deb_dimJF)),0))*24-
(IF(WEEKDAY(H_Nov[[#This Row],[Date]],2)=7,MAX(0,MIN(fin_dimJF,H_Nov[[#This Row],[PNP Fin corrigée]])-MAX(deb_dimJF,H_Nov[[#This Row],[PNP Début corrigé]])),0)+IF(WEEKDAY(H_Nov[[#This Row],[Date]],2)=6,MAX(0,H_Nov[[#This Row],[PNP Fin corrigée]]-(1+deb_dimJF)),0))*24</f>
        <v>0</v>
      </c>
      <c r="S49" s="51">
        <f>(IF(COUNTIF(JF,H_Nov[[#This Row],[Date]]),MAX(0,MIN(fin_dimJF,H_Nov[[#This Row],[Fin corrigée si nuit]])-MAX(deb_dimJF,H_Nov[[#This Row],[début]])),0)+IF(COUNTIF(JF,H_Nov[[#This Row],[Date]]+1),MAX(0,H_Nov[[#This Row],[Fin corrigée si nuit]]-(1+deb_dimJF)),0))*24</f>
        <v>0</v>
      </c>
      <c r="T49" s="51">
        <f>(IF(COUNTIF(JF,H_Nov[[#This Row],[Date]]),MAX(0,MIN(fin_dimJF,H_Nov[[#This Row],[Fin corrigée si nuit]])-MAX(deb_dimJF,H_Nov[[#This Row],[début]])),0)+IF(COUNTIF(JF,H_Nov[[#This Row],[Date]]+1),MAX(0,H_Nov[[#This Row],[Fin corrigée si nuit]]-(1+deb_dimJF)),0))*24-
(IF(COUNTIF(JF,H_Nov[[#This Row],[Date]]),MAX(0,MIN(fin_dimJF,H_Nov[[#This Row],[PNP Fin corrigée]])-MAX(deb_dimJF,H_Nov[[#This Row],[PNP Début corrigé]])),0)+IF(COUNTIF(JF,H_Nov[[#This Row],[Date]]+1),MAX(0,H_Nov[[#This Row],[PNP Fin corrigée]]-(1+deb_dimJF)),0))*24</f>
        <v>0</v>
      </c>
    </row>
    <row r="50" spans="1:20" ht="16.2" thickBot="1" x14ac:dyDescent="0.35">
      <c r="A50" s="52"/>
      <c r="B50" s="15"/>
      <c r="C50" s="15"/>
      <c r="D50" s="15"/>
      <c r="E50" s="144" t="s">
        <v>29</v>
      </c>
      <c r="F50" s="145"/>
      <c r="G50" s="145"/>
      <c r="H50" s="146"/>
      <c r="I50" s="53">
        <f>SUM(H_Nov[Majoration])</f>
        <v>0</v>
      </c>
      <c r="J50" s="54">
        <f>SUM(H_Nov[Heures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51" priority="1">
      <formula>$K13="non"</formula>
    </cfRule>
  </conditionalFormatting>
  <dataValidations count="3">
    <dataValidation type="date" operator="greaterThan" allowBlank="1" showInputMessage="1" showErrorMessage="1" error="Tapez le mois sous le format suivant_x000a_09/17" promptTitle="Mois du relevé" sqref="I5:K5">
      <formula1>42736</formula1>
    </dataValidation>
    <dataValidation type="time" allowBlank="1" showInputMessage="1" showErrorMessage="1" error="Tapez les heures sous le format_x000a_00:00" sqref="C13:H49">
      <formula1>0</formula1>
      <formula2>0.999305555555556</formula2>
    </dataValidation>
    <dataValidation allowBlank="1" showInputMessage="1" showErrorMessage="1" error="Tapez les heures sous le format_x000a_00:00" sqref="L12:O49"/>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14337" r:id="rId4" name="CommandButton1">
          <controlPr defaultSize="0" print="0" autoLine="0" r:id="rId5">
            <anchor moveWithCells="1">
              <from>
                <xdr:col>9</xdr:col>
                <xdr:colOff>480060</xdr:colOff>
                <xdr:row>0</xdr:row>
                <xdr:rowOff>68580</xdr:rowOff>
              </from>
              <to>
                <xdr:col>9</xdr:col>
                <xdr:colOff>1272540</xdr:colOff>
                <xdr:row>3</xdr:row>
                <xdr:rowOff>190500</xdr:rowOff>
              </to>
            </anchor>
          </controlPr>
        </control>
      </mc:Choice>
      <mc:Fallback>
        <control shapeId="14337"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Z60"/>
  <sheetViews>
    <sheetView showWhiteSpace="0" topLeftCell="B16" zoomScale="80" zoomScaleNormal="80" zoomScalePageLayoutView="85" workbookViewId="0">
      <selection activeCell="W25" sqref="W25"/>
    </sheetView>
  </sheetViews>
  <sheetFormatPr baseColWidth="10" defaultRowHeight="14.4" x14ac:dyDescent="0.3"/>
  <cols>
    <col min="1" max="1" width="20.5546875" customWidth="1"/>
    <col min="2" max="2" width="12.88671875" customWidth="1"/>
    <col min="3" max="3" width="8.88671875" customWidth="1"/>
    <col min="4" max="4" width="7.44140625" customWidth="1"/>
    <col min="5" max="5" width="7" customWidth="1"/>
    <col min="6" max="6" width="6.77734375" customWidth="1"/>
    <col min="7" max="7" width="7" customWidth="1"/>
    <col min="8" max="8" width="7.77734375" customWidth="1"/>
    <col min="9" max="9" width="10.77734375" customWidth="1"/>
    <col min="10" max="10" width="18.77734375" style="11" bestFit="1" customWidth="1"/>
    <col min="11" max="11" width="18.77734375" style="11" hidden="1" customWidth="1"/>
    <col min="12" max="12" width="22.44140625" hidden="1" customWidth="1"/>
    <col min="13" max="13" width="20.6640625" hidden="1" customWidth="1"/>
    <col min="14" max="14" width="22.21875" hidden="1" customWidth="1"/>
    <col min="15" max="16" width="19.109375" hidden="1" customWidth="1"/>
    <col min="17" max="17" width="16.44140625" hidden="1" customWidth="1"/>
    <col min="18" max="18" width="23.6640625" hidden="1" customWidth="1"/>
    <col min="19" max="20" width="21.5546875" hidden="1" customWidth="1"/>
    <col min="21" max="21" width="6.44140625" hidden="1" customWidth="1"/>
    <col min="22" max="22" width="23.6640625" customWidth="1"/>
  </cols>
  <sheetData>
    <row r="1" spans="1:26" ht="15.6" customHeight="1" x14ac:dyDescent="0.3">
      <c r="A1" s="132"/>
      <c r="B1" s="132"/>
      <c r="C1" s="12"/>
      <c r="D1" s="12"/>
      <c r="E1" s="13"/>
      <c r="F1" s="13"/>
      <c r="G1" s="13"/>
      <c r="H1" s="14" t="s">
        <v>35</v>
      </c>
      <c r="I1" s="14"/>
      <c r="J1" s="14"/>
      <c r="K1" s="14"/>
      <c r="L1" s="12"/>
      <c r="M1" s="12"/>
      <c r="N1" s="12"/>
      <c r="O1" s="12"/>
      <c r="P1" s="15"/>
      <c r="Q1" s="15"/>
      <c r="R1" s="15"/>
      <c r="S1" s="15"/>
      <c r="T1" s="15"/>
    </row>
    <row r="2" spans="1:26" ht="14.4" customHeight="1" x14ac:dyDescent="0.3">
      <c r="A2" s="132"/>
      <c r="B2" s="132"/>
      <c r="C2" s="12"/>
      <c r="D2" s="12"/>
      <c r="E2" s="12"/>
      <c r="F2" s="12"/>
      <c r="G2" s="12"/>
      <c r="H2" s="12"/>
      <c r="I2" s="12"/>
      <c r="J2" s="16"/>
      <c r="K2" s="16"/>
      <c r="L2" s="12"/>
      <c r="M2" s="12"/>
      <c r="N2" s="12"/>
      <c r="O2" s="12"/>
      <c r="P2" s="15"/>
      <c r="Q2" s="15"/>
      <c r="R2" s="15"/>
      <c r="S2" s="15"/>
      <c r="T2" s="15"/>
    </row>
    <row r="3" spans="1:26" ht="14.4" customHeight="1" x14ac:dyDescent="0.3">
      <c r="A3" s="133" t="s">
        <v>37</v>
      </c>
      <c r="B3" s="133"/>
      <c r="C3" s="133"/>
      <c r="D3" s="133"/>
      <c r="E3" s="133"/>
      <c r="F3" s="133"/>
      <c r="G3" s="133"/>
      <c r="H3" s="133"/>
      <c r="I3" s="133"/>
      <c r="J3" s="133"/>
      <c r="K3" s="102"/>
      <c r="L3" s="12"/>
      <c r="M3" s="12"/>
      <c r="N3" s="12"/>
      <c r="O3" s="12"/>
      <c r="P3" s="15"/>
      <c r="Q3" s="15"/>
      <c r="R3" s="15"/>
      <c r="S3" s="15"/>
      <c r="T3" s="15"/>
    </row>
    <row r="4" spans="1:26" ht="19.2" customHeight="1" thickBot="1" x14ac:dyDescent="0.35">
      <c r="A4" s="134"/>
      <c r="B4" s="134"/>
      <c r="C4" s="134"/>
      <c r="D4" s="134"/>
      <c r="E4" s="134"/>
      <c r="F4" s="134"/>
      <c r="G4" s="134"/>
      <c r="H4" s="134"/>
      <c r="I4" s="134"/>
      <c r="J4" s="134"/>
      <c r="K4" s="114"/>
      <c r="L4" s="15"/>
      <c r="M4" s="15"/>
      <c r="N4" s="15"/>
      <c r="O4" s="15"/>
      <c r="P4" s="15"/>
      <c r="Q4" s="15"/>
      <c r="R4" s="15"/>
      <c r="S4" s="15"/>
      <c r="T4" s="15"/>
    </row>
    <row r="5" spans="1:26" ht="19.8" customHeight="1" x14ac:dyDescent="0.3">
      <c r="A5" s="80" t="s">
        <v>107</v>
      </c>
      <c r="B5" s="81"/>
      <c r="C5" s="17" t="s">
        <v>36</v>
      </c>
      <c r="D5" s="164"/>
      <c r="E5" s="165"/>
      <c r="F5" s="165"/>
      <c r="G5" s="137" t="s">
        <v>22</v>
      </c>
      <c r="H5" s="137"/>
      <c r="I5" s="59"/>
      <c r="J5" s="82"/>
      <c r="K5" s="115"/>
      <c r="L5" s="15"/>
      <c r="M5" s="15"/>
      <c r="N5" s="15"/>
      <c r="O5" s="15"/>
      <c r="P5" s="15"/>
      <c r="Q5" s="15"/>
      <c r="R5" s="15"/>
      <c r="S5" s="15"/>
      <c r="T5" s="15"/>
    </row>
    <row r="6" spans="1:26" ht="9.6" customHeight="1" x14ac:dyDescent="0.3">
      <c r="A6" s="18"/>
      <c r="B6" s="19"/>
      <c r="C6" s="19"/>
      <c r="D6" s="19"/>
      <c r="E6" s="19"/>
      <c r="F6" s="19"/>
      <c r="G6" s="19"/>
      <c r="H6" s="19"/>
      <c r="I6" s="19"/>
      <c r="J6" s="20"/>
      <c r="K6" s="116"/>
      <c r="L6" s="15"/>
      <c r="M6" s="15"/>
      <c r="N6" s="15"/>
      <c r="O6" s="15"/>
      <c r="P6" s="15"/>
      <c r="Q6" s="15"/>
      <c r="R6" s="15"/>
      <c r="S6" s="15"/>
      <c r="T6" s="15"/>
    </row>
    <row r="7" spans="1:26" ht="15" thickBot="1" x14ac:dyDescent="0.35">
      <c r="A7" s="55" t="s">
        <v>23</v>
      </c>
      <c r="B7" s="83"/>
      <c r="C7" s="21" t="s">
        <v>24</v>
      </c>
      <c r="D7" s="21"/>
      <c r="E7" s="83"/>
      <c r="F7" s="21"/>
      <c r="G7" s="21"/>
      <c r="H7" s="21"/>
      <c r="I7" s="21"/>
      <c r="J7" s="22"/>
      <c r="K7" s="117"/>
      <c r="L7" s="15"/>
      <c r="M7" s="15"/>
      <c r="N7" s="15"/>
      <c r="O7" s="15"/>
      <c r="P7" s="15"/>
      <c r="Q7" s="15"/>
      <c r="R7" s="15"/>
      <c r="S7" s="15"/>
      <c r="T7" s="15"/>
    </row>
    <row r="8" spans="1:26" ht="9.6" customHeight="1" x14ac:dyDescent="0.3">
      <c r="A8" s="15"/>
      <c r="B8" s="15"/>
      <c r="C8" s="15"/>
      <c r="D8" s="15"/>
      <c r="E8" s="15"/>
      <c r="F8" s="15"/>
      <c r="G8" s="15"/>
      <c r="H8" s="15"/>
      <c r="I8" s="15"/>
      <c r="J8" s="16"/>
      <c r="K8" s="16"/>
      <c r="L8" s="15"/>
      <c r="M8" s="15"/>
      <c r="N8" s="15"/>
      <c r="O8" s="15"/>
      <c r="P8" s="15"/>
      <c r="Q8" s="15"/>
      <c r="R8" s="15"/>
      <c r="S8" s="15"/>
      <c r="T8" s="15"/>
    </row>
    <row r="9" spans="1:26" ht="16.8" customHeight="1" x14ac:dyDescent="0.3">
      <c r="A9" s="142" t="s">
        <v>0</v>
      </c>
      <c r="B9" s="142" t="s">
        <v>1</v>
      </c>
      <c r="C9" s="142" t="s">
        <v>2</v>
      </c>
      <c r="D9" s="142"/>
      <c r="E9" s="141" t="s">
        <v>25</v>
      </c>
      <c r="F9" s="141"/>
      <c r="G9" s="141"/>
      <c r="H9" s="141"/>
      <c r="I9" s="143" t="s">
        <v>21</v>
      </c>
      <c r="J9" s="139" t="s">
        <v>63</v>
      </c>
      <c r="K9" s="118"/>
      <c r="L9" s="15"/>
      <c r="M9" s="15"/>
      <c r="N9" s="15"/>
      <c r="O9" s="15"/>
      <c r="P9" s="15"/>
      <c r="Q9" s="15"/>
      <c r="R9" s="15"/>
      <c r="S9" s="15"/>
      <c r="T9" s="15"/>
      <c r="V9" s="127" t="s">
        <v>132</v>
      </c>
      <c r="W9" s="128">
        <v>173</v>
      </c>
      <c r="X9" s="124"/>
      <c r="Y9" s="126"/>
      <c r="Z9" s="124"/>
    </row>
    <row r="10" spans="1:26" x14ac:dyDescent="0.3">
      <c r="A10" s="142"/>
      <c r="B10" s="142"/>
      <c r="C10" s="140" t="s">
        <v>3</v>
      </c>
      <c r="D10" s="140" t="s">
        <v>4</v>
      </c>
      <c r="E10" s="141" t="s">
        <v>26</v>
      </c>
      <c r="F10" s="141"/>
      <c r="G10" s="141" t="s">
        <v>27</v>
      </c>
      <c r="H10" s="141"/>
      <c r="I10" s="143"/>
      <c r="J10" s="139"/>
      <c r="K10" s="118"/>
      <c r="L10" s="15"/>
      <c r="M10" s="15"/>
      <c r="N10" s="15"/>
      <c r="O10" s="15"/>
      <c r="P10" s="15"/>
      <c r="Q10" s="15"/>
      <c r="R10" s="15"/>
      <c r="S10" s="15"/>
      <c r="T10" s="15"/>
      <c r="V10" s="127" t="s">
        <v>133</v>
      </c>
      <c r="W10" s="128">
        <f>J50</f>
        <v>0</v>
      </c>
      <c r="X10" s="124"/>
      <c r="Y10" s="124"/>
      <c r="Z10" s="124"/>
    </row>
    <row r="11" spans="1:26" x14ac:dyDescent="0.3">
      <c r="A11" s="142"/>
      <c r="B11" s="142"/>
      <c r="C11" s="140"/>
      <c r="D11" s="140"/>
      <c r="E11" s="60" t="s">
        <v>28</v>
      </c>
      <c r="F11" s="60" t="s">
        <v>4</v>
      </c>
      <c r="G11" s="60" t="s">
        <v>28</v>
      </c>
      <c r="H11" s="60" t="s">
        <v>4</v>
      </c>
      <c r="I11" s="143"/>
      <c r="J11" s="139"/>
      <c r="K11" s="118"/>
      <c r="L11" s="23"/>
      <c r="M11" s="15"/>
      <c r="N11" s="15"/>
      <c r="O11" s="15"/>
      <c r="P11" s="15"/>
      <c r="Q11" s="15"/>
      <c r="R11" s="15"/>
      <c r="S11" s="15"/>
      <c r="T11" s="15"/>
      <c r="V11" s="124"/>
      <c r="W11" s="124"/>
      <c r="X11" s="124"/>
      <c r="Y11" s="124"/>
      <c r="Z11" s="124"/>
    </row>
    <row r="12" spans="1:26" s="6" customFormat="1" ht="28.8" hidden="1" x14ac:dyDescent="0.3">
      <c r="A12" s="24" t="s">
        <v>0</v>
      </c>
      <c r="B12" s="25" t="s">
        <v>1</v>
      </c>
      <c r="C12" s="25" t="s">
        <v>3</v>
      </c>
      <c r="D12" s="25" t="s">
        <v>4</v>
      </c>
      <c r="E12" s="25" t="s">
        <v>8</v>
      </c>
      <c r="F12" s="25" t="s">
        <v>9</v>
      </c>
      <c r="G12" s="25" t="s">
        <v>10</v>
      </c>
      <c r="H12" s="25" t="s">
        <v>11</v>
      </c>
      <c r="I12" s="26" t="s">
        <v>21</v>
      </c>
      <c r="J12" s="25" t="s">
        <v>12</v>
      </c>
      <c r="K12" s="25" t="s">
        <v>131</v>
      </c>
      <c r="L12" s="25" t="s">
        <v>18</v>
      </c>
      <c r="M12" s="25" t="s">
        <v>19</v>
      </c>
      <c r="N12" s="25" t="s">
        <v>17</v>
      </c>
      <c r="O12" s="25" t="s">
        <v>32</v>
      </c>
      <c r="P12" s="25" t="s">
        <v>20</v>
      </c>
      <c r="Q12" s="25" t="s">
        <v>5</v>
      </c>
      <c r="R12" s="25" t="s">
        <v>33</v>
      </c>
      <c r="S12" s="27" t="s">
        <v>6</v>
      </c>
      <c r="T12" s="27" t="s">
        <v>34</v>
      </c>
      <c r="V12" s="125"/>
      <c r="W12" s="125"/>
      <c r="X12" s="125"/>
      <c r="Y12" s="125"/>
      <c r="Z12" s="125"/>
    </row>
    <row r="13" spans="1:26" x14ac:dyDescent="0.3">
      <c r="A13" s="4"/>
      <c r="B13" s="1"/>
      <c r="C13" s="113"/>
      <c r="D13" s="113"/>
      <c r="E13" s="3"/>
      <c r="F13" s="3"/>
      <c r="G13" s="3"/>
      <c r="H13" s="3"/>
      <c r="I13" s="28">
        <f>0.1*(H_Dec[[#This Row],[Heures de nuit]]+IF(H_Dec[[#This Row],[majoration dim &amp; JF]]="non",0,H_Dec[[#This Row],[heures jour dimanche]]+H_Dec[[#This Row],[heures jour fériés]]))</f>
        <v>0</v>
      </c>
      <c r="J13" s="29">
        <f>(MOD(H_Dec[[#This Row],[Fin]]-H_Dec[[#This Row],[début]],1)-MOD(H_Dec[[#This Row],[PNP Fin]]-H_Dec[[#This Row],[PNP Début]],1))*24</f>
        <v>0</v>
      </c>
      <c r="K13" s="29" t="str">
        <f>IFERROR(VLOOKUP(H_Dec[[#This Row],[Service]],Codes[],4,0),"")</f>
        <v/>
      </c>
      <c r="L13" s="30">
        <f>IF(H_Dec[[#This Row],[PNP Début]]=0,0,IF(H_Dec[[#This Row],[PNP Début]]&lt;H_Dec[[#This Row],[début]],1,0)+H_Dec[[#This Row],[PNP Début]])</f>
        <v>0</v>
      </c>
      <c r="M13" s="30">
        <f>IF(H_Dec[[#This Row],[PNP Fin]]=0,0,IF(H_Dec[[#This Row],[PNP Fin]]&lt;H_Dec[[#This Row],[début]],1,0)+H_Dec[[#This Row],[PNP Fin]])</f>
        <v>0</v>
      </c>
      <c r="N13" s="30">
        <f>IF(H_Dec[[#This Row],[Fin]]&lt;H_Dec[[#This Row],[début]],1,0)+H_Dec[[#This Row],[Fin]]</f>
        <v>0</v>
      </c>
      <c r="O13" s="31">
        <f>IF(H_Dec[[#This Row],[Fin]]&lt;H_Dec[[#This Row],[début]],MAX(0,MIN(H_Dec[[#This Row],[Fin corrigée si nuit]],fin_nuit)-MAX(H_Dec[[#This Row],[début]],deb_nuit))*24,(MAX(deb_nuit,H_Dec[[#This Row],[Fin]])-MAX(deb_nuit,H_Dec[[#This Row],[début]])+MAX(MIN(fin_nuit-1,H_Dec[[#This Row],[Fin]])-MIN(fin_nuit-1,H_Dec[[#This Row],[début]]),0))*24)</f>
        <v>0</v>
      </c>
      <c r="P13" s="31">
        <f>(MAX(0,MIN(H_Dec[[#This Row],[Fin corrigée si nuit]],fin_nuit)-MAX(H_Dec[[#This Row],[début]],deb_nuit))-IF(H_Dec[[#This Row],[PNP Début]]=0,0,MIN(H_Dec[[#This Row],[PNP Fin corrigée]],fin_nuit)-MAX(H_Dec[[#This Row],[PNP Début corrigé]],deb_nuit)))*24</f>
        <v>0</v>
      </c>
      <c r="Q13" s="31">
        <f>(IF(WEEKDAY(H_Dec[[#This Row],[Date]],2)=7,MAX(0,MIN(fin_dimJF,H_Dec[[#This Row],[Fin corrigée si nuit]])-MAX(deb_dimJF,H_Dec[[#This Row],[début]])),0)+IF(WEEKDAY(H_Dec[[#This Row],[Date]],2)=6,MAX(0,H_Dec[[#This Row],[Fin corrigée si nuit]]-(1+deb_dimJF)),0))*24</f>
        <v>0</v>
      </c>
      <c r="R13" s="3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13" s="32">
        <f>(IF(COUNTIF(JF,H_Dec[[#This Row],[Date]]),MAX(0,MIN(fin_dimJF,H_Dec[[#This Row],[Fin corrigée si nuit]])-MAX(deb_dimJF,H_Dec[[#This Row],[début]])),0)+IF(COUNTIF(JF,H_Dec[[#This Row],[Date]]+1),MAX(0,H_Dec[[#This Row],[Fin corrigée si nuit]]-(1+deb_dimJF)),0))*24</f>
        <v>0</v>
      </c>
      <c r="T13" s="32">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c r="V13" s="124"/>
      <c r="W13" s="124"/>
      <c r="X13" s="124"/>
      <c r="Y13" s="124"/>
      <c r="Z13" s="124"/>
    </row>
    <row r="14" spans="1:26" x14ac:dyDescent="0.3">
      <c r="A14" s="4"/>
      <c r="B14" s="1"/>
      <c r="C14" s="113"/>
      <c r="D14" s="113"/>
      <c r="E14" s="3"/>
      <c r="F14" s="3"/>
      <c r="G14" s="3"/>
      <c r="H14" s="3"/>
      <c r="I14" s="28">
        <f>0.1*(H_Dec[[#This Row],[Heures de nuit]]+IF(H_Dec[[#This Row],[majoration dim &amp; JF]]="non",0,H_Dec[[#This Row],[heures jour dimanche]]+H_Dec[[#This Row],[heures jour fériés]]))</f>
        <v>0</v>
      </c>
      <c r="J14" s="29">
        <f>(MOD(H_Dec[[#This Row],[Fin]]-H_Dec[[#This Row],[début]],1)-MOD(H_Dec[[#This Row],[PNP Fin]]-H_Dec[[#This Row],[PNP Début]],1))*24</f>
        <v>0</v>
      </c>
      <c r="K14" s="29" t="str">
        <f>IFERROR(VLOOKUP(H_Dec[[#This Row],[Service]],Codes[],4,0),"")</f>
        <v/>
      </c>
      <c r="L14" s="30">
        <f>IF(H_Dec[[#This Row],[PNP Début]]=0,0,IF(H_Dec[[#This Row],[PNP Début]]&lt;H_Dec[[#This Row],[début]],1,0)+H_Dec[[#This Row],[PNP Début]])</f>
        <v>0</v>
      </c>
      <c r="M14" s="30">
        <f>IF(H_Dec[[#This Row],[PNP Fin]]=0,0,IF(H_Dec[[#This Row],[PNP Fin]]&lt;H_Dec[[#This Row],[début]],1,0)+H_Dec[[#This Row],[PNP Fin]])</f>
        <v>0</v>
      </c>
      <c r="N14" s="30">
        <f>IF(H_Dec[[#This Row],[Fin]]&lt;H_Dec[[#This Row],[début]],1,0)+H_Dec[[#This Row],[Fin]]</f>
        <v>0</v>
      </c>
      <c r="O14" s="31">
        <f>IF(H_Dec[[#This Row],[Fin]]&lt;H_Dec[[#This Row],[début]],MAX(0,MIN(H_Dec[[#This Row],[Fin corrigée si nuit]],fin_nuit)-MAX(H_Dec[[#This Row],[début]],deb_nuit))*24,(MAX(deb_nuit,H_Dec[[#This Row],[Fin]])-MAX(deb_nuit,H_Dec[[#This Row],[début]])+MAX(MIN(fin_nuit-1,H_Dec[[#This Row],[Fin]])-MIN(fin_nuit-1,H_Dec[[#This Row],[début]]),0))*24)</f>
        <v>0</v>
      </c>
      <c r="P14" s="31">
        <f>(MAX(0,MIN(H_Dec[[#This Row],[Fin corrigée si nuit]],fin_nuit)-MAX(H_Dec[[#This Row],[début]],deb_nuit))-IF(H_Dec[[#This Row],[PNP Début]]=0,0,MIN(H_Dec[[#This Row],[PNP Fin corrigée]],fin_nuit)-MAX(H_Dec[[#This Row],[PNP Début corrigé]],deb_nuit)))*24</f>
        <v>0</v>
      </c>
      <c r="Q14" s="31">
        <f>(IF(WEEKDAY(H_Dec[[#This Row],[Date]],2)=7,MAX(0,MIN(fin_dimJF,H_Dec[[#This Row],[Fin corrigée si nuit]])-MAX(deb_dimJF,H_Dec[[#This Row],[début]])),0)+IF(WEEKDAY(H_Dec[[#This Row],[Date]],2)=6,MAX(0,H_Dec[[#This Row],[Fin corrigée si nuit]]-(1+deb_dimJF)),0))*24</f>
        <v>0</v>
      </c>
      <c r="R14" s="3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14" s="32">
        <f>(IF(COUNTIF(JF,H_Dec[[#This Row],[Date]]),MAX(0,MIN(fin_dimJF,H_Dec[[#This Row],[Fin corrigée si nuit]])-MAX(deb_dimJF,H_Dec[[#This Row],[début]])),0)+IF(COUNTIF(JF,H_Dec[[#This Row],[Date]]+1),MAX(0,H_Dec[[#This Row],[Fin corrigée si nuit]]-(1+deb_dimJF)),0))*24</f>
        <v>0</v>
      </c>
      <c r="T14" s="32">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c r="V14" s="124"/>
      <c r="W14" s="124"/>
      <c r="X14" s="124"/>
      <c r="Y14" s="124"/>
      <c r="Z14" s="124"/>
    </row>
    <row r="15" spans="1:26" x14ac:dyDescent="0.3">
      <c r="A15" s="4"/>
      <c r="B15" s="1"/>
      <c r="C15" s="2"/>
      <c r="D15" s="2"/>
      <c r="E15" s="3"/>
      <c r="F15" s="3"/>
      <c r="G15" s="3"/>
      <c r="H15" s="3"/>
      <c r="I15" s="28">
        <f>0.1*(H_Dec[[#This Row],[Heures de nuit]]+IF(H_Dec[[#This Row],[majoration dim &amp; JF]]="non",0,H_Dec[[#This Row],[heures jour dimanche]]+H_Dec[[#This Row],[heures jour fériés]]))</f>
        <v>0</v>
      </c>
      <c r="J15" s="29">
        <f>(MOD(H_Dec[[#This Row],[Fin]]-H_Dec[[#This Row],[début]],1)-MOD(H_Dec[[#This Row],[PNP Fin]]-H_Dec[[#This Row],[PNP Début]],1))*24</f>
        <v>0</v>
      </c>
      <c r="K15" s="29" t="str">
        <f>IFERROR(VLOOKUP(H_Dec[[#This Row],[Service]],Codes[],4,0),"")</f>
        <v/>
      </c>
      <c r="L15" s="30">
        <f>IF(H_Dec[[#This Row],[PNP Début]]=0,0,IF(H_Dec[[#This Row],[PNP Début]]&lt;H_Dec[[#This Row],[début]],1,0)+H_Dec[[#This Row],[PNP Début]])</f>
        <v>0</v>
      </c>
      <c r="M15" s="30">
        <f>IF(H_Dec[[#This Row],[PNP Fin]]=0,0,IF(H_Dec[[#This Row],[PNP Fin]]&lt;H_Dec[[#This Row],[début]],1,0)+H_Dec[[#This Row],[PNP Fin]])</f>
        <v>0</v>
      </c>
      <c r="N15" s="30">
        <f>IF(H_Dec[[#This Row],[Fin]]&lt;H_Dec[[#This Row],[début]],1,0)+H_Dec[[#This Row],[Fin]]</f>
        <v>0</v>
      </c>
      <c r="O15" s="31">
        <f>IF(H_Dec[[#This Row],[Fin]]&lt;H_Dec[[#This Row],[début]],MAX(0,MIN(H_Dec[[#This Row],[Fin corrigée si nuit]],fin_nuit)-MAX(H_Dec[[#This Row],[début]],deb_nuit))*24,(MAX(deb_nuit,H_Dec[[#This Row],[Fin]])-MAX(deb_nuit,H_Dec[[#This Row],[début]])+MAX(MIN(fin_nuit-1,H_Dec[[#This Row],[Fin]])-MIN(fin_nuit-1,H_Dec[[#This Row],[début]]),0))*24)</f>
        <v>0</v>
      </c>
      <c r="P15" s="31">
        <f>(MAX(0,MIN(H_Dec[[#This Row],[Fin corrigée si nuit]],fin_nuit)-MAX(H_Dec[[#This Row],[début]],deb_nuit))-IF(H_Dec[[#This Row],[PNP Début]]=0,0,MIN(H_Dec[[#This Row],[PNP Fin corrigée]],fin_nuit)-MAX(H_Dec[[#This Row],[PNP Début corrigé]],deb_nuit)))*24</f>
        <v>0</v>
      </c>
      <c r="Q15" s="31">
        <f>(IF(WEEKDAY(H_Dec[[#This Row],[Date]],2)=7,MAX(0,MIN(fin_dimJF,H_Dec[[#This Row],[Fin corrigée si nuit]])-MAX(deb_dimJF,H_Dec[[#This Row],[début]])),0)+IF(WEEKDAY(H_Dec[[#This Row],[Date]],2)=6,MAX(0,H_Dec[[#This Row],[Fin corrigée si nuit]]-(1+deb_dimJF)),0))*24</f>
        <v>0</v>
      </c>
      <c r="R15" s="3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15" s="32">
        <f>(IF(COUNTIF(JF,H_Dec[[#This Row],[Date]]),MAX(0,MIN(fin_dimJF,H_Dec[[#This Row],[Fin corrigée si nuit]])-MAX(deb_dimJF,H_Dec[[#This Row],[début]])),0)+IF(COUNTIF(JF,H_Dec[[#This Row],[Date]]+1),MAX(0,H_Dec[[#This Row],[Fin corrigée si nuit]]-(1+deb_dimJF)),0))*24</f>
        <v>0</v>
      </c>
      <c r="T15" s="32">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c r="V15" s="127" t="s">
        <v>134</v>
      </c>
      <c r="W15" s="127" t="s">
        <v>136</v>
      </c>
      <c r="X15" s="127" t="s">
        <v>139</v>
      </c>
      <c r="Y15" s="127" t="s">
        <v>138</v>
      </c>
      <c r="Z15" s="127" t="s">
        <v>137</v>
      </c>
    </row>
    <row r="16" spans="1:26" x14ac:dyDescent="0.3">
      <c r="A16" s="4"/>
      <c r="B16" s="1"/>
      <c r="C16" s="2"/>
      <c r="D16" s="2"/>
      <c r="E16" s="3"/>
      <c r="F16" s="3"/>
      <c r="G16" s="5"/>
      <c r="H16" s="5"/>
      <c r="I16" s="28">
        <f>0.1*(H_Dec[[#This Row],[Heures de nuit]]+IF(H_Dec[[#This Row],[majoration dim &amp; JF]]="non",0,H_Dec[[#This Row],[heures jour dimanche]]+H_Dec[[#This Row],[heures jour fériés]]))</f>
        <v>0</v>
      </c>
      <c r="J16" s="33">
        <f>(MOD(H_Dec[[#This Row],[Fin]]-H_Dec[[#This Row],[début]],1)-MOD(H_Dec[[#This Row],[PNP Fin]]-H_Dec[[#This Row],[PNP Début]],1))*24</f>
        <v>0</v>
      </c>
      <c r="K16" s="33" t="str">
        <f>IFERROR(VLOOKUP(H_Dec[[#This Row],[Service]],Codes[],4,0),"")</f>
        <v/>
      </c>
      <c r="L16" s="30">
        <f>IF(H_Dec[[#This Row],[PNP Début]]=0,0,IF(H_Dec[[#This Row],[PNP Début]]&lt;H_Dec[[#This Row],[début]],1,0)+H_Dec[[#This Row],[PNP Début]])</f>
        <v>0</v>
      </c>
      <c r="M16" s="30">
        <f>IF(H_Dec[[#This Row],[PNP Fin]]=0,0,IF(H_Dec[[#This Row],[PNP Fin]]&lt;H_Dec[[#This Row],[début]],1,0)+H_Dec[[#This Row],[PNP Fin]])</f>
        <v>0</v>
      </c>
      <c r="N16" s="34">
        <f>IF(H_Dec[[#This Row],[Fin]]&lt;H_Dec[[#This Row],[début]],1,0)+H_Dec[[#This Row],[Fin]]</f>
        <v>0</v>
      </c>
      <c r="O16" s="31">
        <f>IF(H_Dec[[#This Row],[Fin]]&lt;H_Dec[[#This Row],[début]],MAX(0,MIN(H_Dec[[#This Row],[Fin corrigée si nuit]],fin_nuit)-MAX(H_Dec[[#This Row],[début]],deb_nuit))*24,(MAX(deb_nuit,H_Dec[[#This Row],[Fin]])-MAX(deb_nuit,H_Dec[[#This Row],[début]])+MAX(MIN(fin_nuit-1,H_Dec[[#This Row],[Fin]])-MIN(fin_nuit-1,H_Dec[[#This Row],[début]]),0))*24)</f>
        <v>0</v>
      </c>
      <c r="P16" s="35">
        <f>(MAX(0,MIN(H_Dec[[#This Row],[Fin corrigée si nuit]],fin_nuit)-MAX(H_Dec[[#This Row],[début]],deb_nuit))-IF(H_Dec[[#This Row],[PNP Début]]=0,0,MIN(H_Dec[[#This Row],[PNP Fin corrigée]],fin_nuit)-MAX(H_Dec[[#This Row],[PNP Début corrigé]],deb_nuit)))*24</f>
        <v>0</v>
      </c>
      <c r="Q16" s="35">
        <f>(IF(WEEKDAY(H_Dec[[#This Row],[Date]],2)=7,MAX(0,MIN(fin_dimJF,H_Dec[[#This Row],[Fin corrigée si nuit]])-MAX(deb_dimJF,H_Dec[[#This Row],[début]])),0)+IF(WEEKDAY(H_Dec[[#This Row],[Date]],2)=6,MAX(0,H_Dec[[#This Row],[Fin corrigée si nuit]]-(1+deb_dimJF)),0))*24</f>
        <v>0</v>
      </c>
      <c r="R16" s="3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16" s="36">
        <f>(IF(COUNTIF(JF,H_Dec[[#This Row],[Date]]),MAX(0,MIN(fin_dimJF,H_Dec[[#This Row],[Fin corrigée si nuit]])-MAX(deb_dimJF,H_Dec[[#This Row],[début]])),0)+IF(COUNTIF(JF,H_Dec[[#This Row],[Date]]+1),MAX(0,H_Dec[[#This Row],[Fin corrigée si nuit]]-(1+deb_dimJF)),0))*24</f>
        <v>0</v>
      </c>
      <c r="T16" s="36">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c r="V16" s="127" t="s">
        <v>135</v>
      </c>
      <c r="W16" s="128">
        <f>'Novembre 18'!Z16</f>
        <v>20.100000000000001</v>
      </c>
      <c r="X16" s="128">
        <f>I50</f>
        <v>0</v>
      </c>
      <c r="Y16" s="128"/>
      <c r="Z16" s="128">
        <f>W16+X16-Y16</f>
        <v>20.100000000000001</v>
      </c>
    </row>
    <row r="17" spans="1:20" x14ac:dyDescent="0.3">
      <c r="A17" s="4"/>
      <c r="B17" s="1"/>
      <c r="C17" s="2"/>
      <c r="D17" s="2"/>
      <c r="E17" s="3"/>
      <c r="F17" s="3"/>
      <c r="G17" s="9"/>
      <c r="H17" s="9"/>
      <c r="I17" s="37">
        <f>0.1*(H_Dec[[#This Row],[Heures de nuit]]+IF(H_Dec[[#This Row],[majoration dim &amp; JF]]="non",0,H_Dec[[#This Row],[heures jour dimanche]]+H_Dec[[#This Row],[heures jour fériés]]))</f>
        <v>0</v>
      </c>
      <c r="J17" s="38">
        <f>(MOD(H_Dec[[#This Row],[Fin]]-H_Dec[[#This Row],[début]],1)-MOD(H_Dec[[#This Row],[PNP Fin]]-H_Dec[[#This Row],[PNP Début]],1))*24</f>
        <v>0</v>
      </c>
      <c r="K17" s="122" t="str">
        <f>IFERROR(VLOOKUP(H_Dec[[#This Row],[Service]],Codes[],4,0),"")</f>
        <v/>
      </c>
      <c r="L17" s="39">
        <f>IF(H_Dec[[#This Row],[PNP Début]]=0,0,IF(H_Dec[[#This Row],[PNP Début]]&lt;H_Dec[[#This Row],[début]],1,0)+H_Dec[[#This Row],[PNP Début]])</f>
        <v>0</v>
      </c>
      <c r="M17" s="40">
        <f>IF(H_Dec[[#This Row],[PNP Fin]]=0,0,IF(H_Dec[[#This Row],[PNP Fin]]&lt;H_Dec[[#This Row],[début]],1,0)+H_Dec[[#This Row],[PNP Fin]])</f>
        <v>0</v>
      </c>
      <c r="N17" s="40">
        <f>IF(H_Dec[[#This Row],[Fin]]&lt;H_Dec[[#This Row],[début]],1,0)+H_Dec[[#This Row],[Fin]]</f>
        <v>0</v>
      </c>
      <c r="O17" s="31">
        <f>IF(H_Dec[[#This Row],[Fin]]&lt;H_Dec[[#This Row],[début]],MAX(0,MIN(H_Dec[[#This Row],[Fin corrigée si nuit]],fin_nuit)-MAX(H_Dec[[#This Row],[début]],deb_nuit))*24,(MAX(deb_nuit,H_Dec[[#This Row],[Fin]])-MAX(deb_nuit,H_Dec[[#This Row],[début]])+MAX(MIN(fin_nuit-1,H_Dec[[#This Row],[Fin]])-MIN(fin_nuit-1,H_Dec[[#This Row],[début]]),0))*24)</f>
        <v>0</v>
      </c>
      <c r="P17" s="41">
        <f>(MAX(0,MIN(H_Dec[[#This Row],[Fin corrigée si nuit]],fin_nuit)-MAX(H_Dec[[#This Row],[début]],deb_nuit))-IF(H_Dec[[#This Row],[PNP Début]]=0,0,MIN(H_Dec[[#This Row],[PNP Fin corrigée]],fin_nuit)-MAX(H_Dec[[#This Row],[PNP Début corrigé]],deb_nuit)))*24</f>
        <v>0</v>
      </c>
      <c r="Q17" s="41">
        <f>(IF(WEEKDAY(H_Dec[[#This Row],[Date]],2)=7,MAX(0,MIN(fin_dimJF,H_Dec[[#This Row],[Fin corrigée si nuit]])-MAX(deb_dimJF,H_Dec[[#This Row],[début]])),0)+IF(WEEKDAY(H_Dec[[#This Row],[Date]],2)=6,MAX(0,H_Dec[[#This Row],[Fin corrigée si nuit]]-(1+deb_dimJF)),0))*24</f>
        <v>0</v>
      </c>
      <c r="R17" s="4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17" s="41">
        <f>(IF(COUNTIF(JF,H_Dec[[#This Row],[Date]]),MAX(0,MIN(fin_dimJF,H_Dec[[#This Row],[Fin corrigée si nuit]])-MAX(deb_dimJF,H_Dec[[#This Row],[début]])),0)+IF(COUNTIF(JF,H_Dec[[#This Row],[Date]]+1),MAX(0,H_Dec[[#This Row],[Fin corrigée si nuit]]-(1+deb_dimJF)),0))*24</f>
        <v>0</v>
      </c>
      <c r="T17" s="4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18" spans="1:20" x14ac:dyDescent="0.3">
      <c r="A18" s="4"/>
      <c r="B18" s="1"/>
      <c r="C18" s="2"/>
      <c r="D18" s="2"/>
      <c r="E18" s="9"/>
      <c r="F18" s="9"/>
      <c r="G18" s="9"/>
      <c r="H18" s="9"/>
      <c r="I18" s="37">
        <f>0.1*(H_Dec[[#This Row],[Heures de nuit]]+IF(H_Dec[[#This Row],[majoration dim &amp; JF]]="non",0,H_Dec[[#This Row],[heures jour dimanche]]+H_Dec[[#This Row],[heures jour fériés]]))</f>
        <v>0</v>
      </c>
      <c r="J18" s="38">
        <f>(MOD(H_Dec[[#This Row],[Fin]]-H_Dec[[#This Row],[début]],1)-MOD(H_Dec[[#This Row],[PNP Fin]]-H_Dec[[#This Row],[PNP Début]],1))*24</f>
        <v>0</v>
      </c>
      <c r="K18" s="122" t="str">
        <f>IFERROR(VLOOKUP(H_Dec[[#This Row],[Service]],Codes[],4,0),"")</f>
        <v/>
      </c>
      <c r="L18" s="39">
        <f>IF(H_Dec[[#This Row],[PNP Début]]=0,0,IF(H_Dec[[#This Row],[PNP Début]]&lt;H_Dec[[#This Row],[début]],1,0)+H_Dec[[#This Row],[PNP Début]])</f>
        <v>0</v>
      </c>
      <c r="M18" s="40">
        <f>IF(H_Dec[[#This Row],[PNP Fin]]=0,0,IF(H_Dec[[#This Row],[PNP Fin]]&lt;H_Dec[[#This Row],[début]],1,0)+H_Dec[[#This Row],[PNP Fin]])</f>
        <v>0</v>
      </c>
      <c r="N18" s="40">
        <f>IF(H_Dec[[#This Row],[Fin]]&lt;H_Dec[[#This Row],[début]],1,0)+H_Dec[[#This Row],[Fin]]</f>
        <v>0</v>
      </c>
      <c r="O18" s="31">
        <f>IF(H_Dec[[#This Row],[Fin]]&lt;H_Dec[[#This Row],[début]],MAX(0,MIN(H_Dec[[#This Row],[Fin corrigée si nuit]],fin_nuit)-MAX(H_Dec[[#This Row],[début]],deb_nuit))*24,(MAX(deb_nuit,H_Dec[[#This Row],[Fin]])-MAX(deb_nuit,H_Dec[[#This Row],[début]])+MAX(MIN(fin_nuit-1,H_Dec[[#This Row],[Fin]])-MIN(fin_nuit-1,H_Dec[[#This Row],[début]]),0))*24)</f>
        <v>0</v>
      </c>
      <c r="P18" s="41">
        <f>(MAX(0,MIN(H_Dec[[#This Row],[Fin corrigée si nuit]],fin_nuit)-MAX(H_Dec[[#This Row],[début]],deb_nuit))-IF(H_Dec[[#This Row],[PNP Début]]=0,0,MIN(H_Dec[[#This Row],[PNP Fin corrigée]],fin_nuit)-MAX(H_Dec[[#This Row],[PNP Début corrigé]],deb_nuit)))*24</f>
        <v>0</v>
      </c>
      <c r="Q18" s="41">
        <f>(IF(WEEKDAY(H_Dec[[#This Row],[Date]],2)=7,MAX(0,MIN(fin_dimJF,H_Dec[[#This Row],[Fin corrigée si nuit]])-MAX(deb_dimJF,H_Dec[[#This Row],[début]])),0)+IF(WEEKDAY(H_Dec[[#This Row],[Date]],2)=6,MAX(0,H_Dec[[#This Row],[Fin corrigée si nuit]]-(1+deb_dimJF)),0))*24</f>
        <v>0</v>
      </c>
      <c r="R18" s="4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18" s="41">
        <f>(IF(COUNTIF(JF,H_Dec[[#This Row],[Date]]),MAX(0,MIN(fin_dimJF,H_Dec[[#This Row],[Fin corrigée si nuit]])-MAX(deb_dimJF,H_Dec[[#This Row],[début]])),0)+IF(COUNTIF(JF,H_Dec[[#This Row],[Date]]+1),MAX(0,H_Dec[[#This Row],[Fin corrigée si nuit]]-(1+deb_dimJF)),0))*24</f>
        <v>0</v>
      </c>
      <c r="T18" s="4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19" spans="1:20" x14ac:dyDescent="0.3">
      <c r="A19" s="4"/>
      <c r="B19" s="1"/>
      <c r="C19" s="2"/>
      <c r="D19" s="2"/>
      <c r="E19" s="3"/>
      <c r="F19" s="3"/>
      <c r="G19" s="9"/>
      <c r="H19" s="9"/>
      <c r="I19" s="37">
        <f>0.1*(H_Dec[[#This Row],[Heures de nuit]]+IF(H_Dec[[#This Row],[majoration dim &amp; JF]]="non",0,H_Dec[[#This Row],[heures jour dimanche]]+H_Dec[[#This Row],[heures jour fériés]]))</f>
        <v>0</v>
      </c>
      <c r="J19" s="38">
        <f>(MOD(H_Dec[[#This Row],[Fin]]-H_Dec[[#This Row],[début]],1)-MOD(H_Dec[[#This Row],[PNP Fin]]-H_Dec[[#This Row],[PNP Début]],1))*24</f>
        <v>0</v>
      </c>
      <c r="K19" s="122" t="str">
        <f>IFERROR(VLOOKUP(H_Dec[[#This Row],[Service]],Codes[],4,0),"")</f>
        <v/>
      </c>
      <c r="L19" s="39">
        <f>IF(H_Dec[[#This Row],[PNP Début]]=0,0,IF(H_Dec[[#This Row],[PNP Début]]&lt;H_Dec[[#This Row],[début]],1,0)+H_Dec[[#This Row],[PNP Début]])</f>
        <v>0</v>
      </c>
      <c r="M19" s="40">
        <f>IF(H_Dec[[#This Row],[PNP Fin]]=0,0,IF(H_Dec[[#This Row],[PNP Fin]]&lt;H_Dec[[#This Row],[début]],1,0)+H_Dec[[#This Row],[PNP Fin]])</f>
        <v>0</v>
      </c>
      <c r="N19" s="40">
        <f>IF(H_Dec[[#This Row],[Fin]]&lt;H_Dec[[#This Row],[début]],1,0)+H_Dec[[#This Row],[Fin]]</f>
        <v>0</v>
      </c>
      <c r="O19" s="31">
        <f>IF(H_Dec[[#This Row],[Fin]]&lt;H_Dec[[#This Row],[début]],MAX(0,MIN(H_Dec[[#This Row],[Fin corrigée si nuit]],fin_nuit)-MAX(H_Dec[[#This Row],[début]],deb_nuit))*24,(MAX(deb_nuit,H_Dec[[#This Row],[Fin]])-MAX(deb_nuit,H_Dec[[#This Row],[début]])+MAX(MIN(fin_nuit-1,H_Dec[[#This Row],[Fin]])-MIN(fin_nuit-1,H_Dec[[#This Row],[début]]),0))*24)</f>
        <v>0</v>
      </c>
      <c r="P19" s="41">
        <f>(MAX(0,MIN(H_Dec[[#This Row],[Fin corrigée si nuit]],fin_nuit)-MAX(H_Dec[[#This Row],[début]],deb_nuit))-IF(H_Dec[[#This Row],[PNP Début]]=0,0,MIN(H_Dec[[#This Row],[PNP Fin corrigée]],fin_nuit)-MAX(H_Dec[[#This Row],[PNP Début corrigé]],deb_nuit)))*24</f>
        <v>0</v>
      </c>
      <c r="Q19" s="41">
        <f>(IF(WEEKDAY(H_Dec[[#This Row],[Date]],2)=7,MAX(0,MIN(fin_dimJF,H_Dec[[#This Row],[Fin corrigée si nuit]])-MAX(deb_dimJF,H_Dec[[#This Row],[début]])),0)+IF(WEEKDAY(H_Dec[[#This Row],[Date]],2)=6,MAX(0,H_Dec[[#This Row],[Fin corrigée si nuit]]-(1+deb_dimJF)),0))*24</f>
        <v>0</v>
      </c>
      <c r="R19" s="4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19" s="41">
        <f>(IF(COUNTIF(JF,H_Dec[[#This Row],[Date]]),MAX(0,MIN(fin_dimJF,H_Dec[[#This Row],[Fin corrigée si nuit]])-MAX(deb_dimJF,H_Dec[[#This Row],[début]])),0)+IF(COUNTIF(JF,H_Dec[[#This Row],[Date]]+1),MAX(0,H_Dec[[#This Row],[Fin corrigée si nuit]]-(1+deb_dimJF)),0))*24</f>
        <v>0</v>
      </c>
      <c r="T19" s="4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0" spans="1:20" x14ac:dyDescent="0.3">
      <c r="A20" s="4"/>
      <c r="B20" s="1"/>
      <c r="C20" s="2"/>
      <c r="D20" s="2"/>
      <c r="E20" s="9"/>
      <c r="F20" s="9"/>
      <c r="G20" s="9"/>
      <c r="H20" s="9"/>
      <c r="I20" s="37">
        <f>0.1*(H_Dec[[#This Row],[Heures de nuit]]+IF(H_Dec[[#This Row],[majoration dim &amp; JF]]="non",0,H_Dec[[#This Row],[heures jour dimanche]]+H_Dec[[#This Row],[heures jour fériés]]))</f>
        <v>0</v>
      </c>
      <c r="J20" s="38">
        <f>(MOD(H_Dec[[#This Row],[Fin]]-H_Dec[[#This Row],[début]],1)-MOD(H_Dec[[#This Row],[PNP Fin]]-H_Dec[[#This Row],[PNP Début]],1))*24</f>
        <v>0</v>
      </c>
      <c r="K20" s="122" t="str">
        <f>IFERROR(VLOOKUP(H_Dec[[#This Row],[Service]],Codes[],4,0),"")</f>
        <v/>
      </c>
      <c r="L20" s="39">
        <f>IF(H_Dec[[#This Row],[PNP Début]]=0,0,IF(H_Dec[[#This Row],[PNP Début]]&lt;H_Dec[[#This Row],[début]],1,0)+H_Dec[[#This Row],[PNP Début]])</f>
        <v>0</v>
      </c>
      <c r="M20" s="40">
        <f>IF(H_Dec[[#This Row],[PNP Fin]]=0,0,IF(H_Dec[[#This Row],[PNP Fin]]&lt;H_Dec[[#This Row],[début]],1,0)+H_Dec[[#This Row],[PNP Fin]])</f>
        <v>0</v>
      </c>
      <c r="N20" s="40">
        <f>IF(H_Dec[[#This Row],[Fin]]&lt;H_Dec[[#This Row],[début]],1,0)+H_Dec[[#This Row],[Fin]]</f>
        <v>0</v>
      </c>
      <c r="O20" s="31">
        <f>IF(H_Dec[[#This Row],[Fin]]&lt;H_Dec[[#This Row],[début]],MAX(0,MIN(H_Dec[[#This Row],[Fin corrigée si nuit]],fin_nuit)-MAX(H_Dec[[#This Row],[début]],deb_nuit))*24,(MAX(deb_nuit,H_Dec[[#This Row],[Fin]])-MAX(deb_nuit,H_Dec[[#This Row],[début]])+MAX(MIN(fin_nuit-1,H_Dec[[#This Row],[Fin]])-MIN(fin_nuit-1,H_Dec[[#This Row],[début]]),0))*24)</f>
        <v>0</v>
      </c>
      <c r="P20" s="41">
        <f>(MAX(0,MIN(H_Dec[[#This Row],[Fin corrigée si nuit]],fin_nuit)-MAX(H_Dec[[#This Row],[début]],deb_nuit))-IF(H_Dec[[#This Row],[PNP Début]]=0,0,MIN(H_Dec[[#This Row],[PNP Fin corrigée]],fin_nuit)-MAX(H_Dec[[#This Row],[PNP Début corrigé]],deb_nuit)))*24</f>
        <v>0</v>
      </c>
      <c r="Q20" s="41">
        <f>(IF(WEEKDAY(H_Dec[[#This Row],[Date]],2)=7,MAX(0,MIN(fin_dimJF,H_Dec[[#This Row],[Fin corrigée si nuit]])-MAX(deb_dimJF,H_Dec[[#This Row],[début]])),0)+IF(WEEKDAY(H_Dec[[#This Row],[Date]],2)=6,MAX(0,H_Dec[[#This Row],[Fin corrigée si nuit]]-(1+deb_dimJF)),0))*24</f>
        <v>0</v>
      </c>
      <c r="R20" s="4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0" s="41">
        <f>(IF(COUNTIF(JF,H_Dec[[#This Row],[Date]]),MAX(0,MIN(fin_dimJF,H_Dec[[#This Row],[Fin corrigée si nuit]])-MAX(deb_dimJF,H_Dec[[#This Row],[début]])),0)+IF(COUNTIF(JF,H_Dec[[#This Row],[Date]]+1),MAX(0,H_Dec[[#This Row],[Fin corrigée si nuit]]-(1+deb_dimJF)),0))*24</f>
        <v>0</v>
      </c>
      <c r="T20" s="4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1" spans="1:20" ht="14.4" customHeight="1" x14ac:dyDescent="0.3">
      <c r="A21" s="4"/>
      <c r="B21" s="1"/>
      <c r="C21" s="2"/>
      <c r="D21" s="2"/>
      <c r="E21" s="3"/>
      <c r="F21" s="3"/>
      <c r="G21" s="10"/>
      <c r="H21" s="10"/>
      <c r="I21" s="42">
        <f>0.1*(H_Dec[[#This Row],[Heures de nuit]]+IF(H_Dec[[#This Row],[majoration dim &amp; JF]]="non",0,H_Dec[[#This Row],[heures jour dimanche]]+H_Dec[[#This Row],[heures jour fériés]]))</f>
        <v>0</v>
      </c>
      <c r="J21" s="43">
        <f>(MOD(H_Dec[[#This Row],[Fin]]-H_Dec[[#This Row],[début]],1)-MOD(H_Dec[[#This Row],[PNP Fin]]-H_Dec[[#This Row],[PNP Début]],1))*24</f>
        <v>0</v>
      </c>
      <c r="K21" s="123" t="str">
        <f>IFERROR(VLOOKUP(H_Dec[[#This Row],[Service]],Codes[],4,0),"")</f>
        <v/>
      </c>
      <c r="L21" s="44">
        <f>IF(H_Dec[[#This Row],[PNP Début]]=0,0,IF(H_Dec[[#This Row],[PNP Début]]&lt;H_Dec[[#This Row],[début]],1,0)+H_Dec[[#This Row],[PNP Début]])</f>
        <v>0</v>
      </c>
      <c r="M21" s="45">
        <f>IF(H_Dec[[#This Row],[PNP Fin]]=0,0,IF(H_Dec[[#This Row],[PNP Fin]]&lt;H_Dec[[#This Row],[début]],1,0)+H_Dec[[#This Row],[PNP Fin]])</f>
        <v>0</v>
      </c>
      <c r="N21" s="45">
        <f>IF(H_Dec[[#This Row],[Fin]]&lt;H_Dec[[#This Row],[début]],1,0)+H_Dec[[#This Row],[Fin]]</f>
        <v>0</v>
      </c>
      <c r="O21" s="31">
        <f>IF(H_Dec[[#This Row],[Fin]]&lt;H_Dec[[#This Row],[début]],MAX(0,MIN(H_Dec[[#This Row],[Fin corrigée si nuit]],fin_nuit)-MAX(H_Dec[[#This Row],[début]],deb_nuit))*24,(MAX(deb_nuit,H_Dec[[#This Row],[Fin]])-MAX(deb_nuit,H_Dec[[#This Row],[début]])+MAX(MIN(fin_nuit-1,H_Dec[[#This Row],[Fin]])-MIN(fin_nuit-1,H_Dec[[#This Row],[début]]),0))*24)</f>
        <v>0</v>
      </c>
      <c r="P21" s="46">
        <f>(MAX(0,MIN(H_Dec[[#This Row],[Fin corrigée si nuit]],fin_nuit)-MAX(H_Dec[[#This Row],[début]],deb_nuit))-IF(H_Dec[[#This Row],[PNP Début]]=0,0,MIN(H_Dec[[#This Row],[PNP Fin corrigée]],fin_nuit)-MAX(H_Dec[[#This Row],[PNP Début corrigé]],deb_nuit)))*24</f>
        <v>0</v>
      </c>
      <c r="Q21" s="46">
        <f>(IF(WEEKDAY(H_Dec[[#This Row],[Date]],2)=7,MAX(0,MIN(fin_dimJF,H_Dec[[#This Row],[Fin corrigée si nuit]])-MAX(deb_dimJF,H_Dec[[#This Row],[début]])),0)+IF(WEEKDAY(H_Dec[[#This Row],[Date]],2)=6,MAX(0,H_Dec[[#This Row],[Fin corrigée si nuit]]-(1+deb_dimJF)),0))*24</f>
        <v>0</v>
      </c>
      <c r="R21" s="46">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1" s="46">
        <f>(IF(COUNTIF(JF,H_Dec[[#This Row],[Date]]),MAX(0,MIN(fin_dimJF,H_Dec[[#This Row],[Fin corrigée si nuit]])-MAX(deb_dimJF,H_Dec[[#This Row],[début]])),0)+IF(COUNTIF(JF,H_Dec[[#This Row],[Date]]+1),MAX(0,H_Dec[[#This Row],[Fin corrigée si nuit]]-(1+deb_dimJF)),0))*24</f>
        <v>0</v>
      </c>
      <c r="T21" s="46">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2" spans="1:20" ht="14.4" customHeight="1" x14ac:dyDescent="0.3">
      <c r="A22" s="4"/>
      <c r="B22" s="1"/>
      <c r="C22" s="2"/>
      <c r="D22" s="2"/>
      <c r="E22" s="3"/>
      <c r="F22" s="3"/>
      <c r="G22" s="3"/>
      <c r="H22" s="3"/>
      <c r="I22" s="47">
        <f>0.1*(H_Dec[[#This Row],[Heures de nuit]]+IF(H_Dec[[#This Row],[majoration dim &amp; JF]]="non",0,H_Dec[[#This Row],[heures jour dimanche]]+H_Dec[[#This Row],[heures jour fériés]]))</f>
        <v>0</v>
      </c>
      <c r="J22" s="48">
        <f>(MOD(H_Dec[[#This Row],[Fin]]-H_Dec[[#This Row],[début]],1)-MOD(H_Dec[[#This Row],[PNP Fin]]-H_Dec[[#This Row],[PNP Début]],1))*24</f>
        <v>0</v>
      </c>
      <c r="K22" s="119" t="str">
        <f>IFERROR(VLOOKUP(H_Dec[[#This Row],[Service]],Codes[],4,0),"")</f>
        <v/>
      </c>
      <c r="L22" s="49">
        <f>IF(H_Dec[[#This Row],[PNP Début]]=0,0,IF(H_Dec[[#This Row],[PNP Début]]&lt;H_Dec[[#This Row],[début]],1,0)+H_Dec[[#This Row],[PNP Début]])</f>
        <v>0</v>
      </c>
      <c r="M22" s="50">
        <f>IF(H_Dec[[#This Row],[PNP Fin]]=0,0,IF(H_Dec[[#This Row],[PNP Fin]]&lt;H_Dec[[#This Row],[début]],1,0)+H_Dec[[#This Row],[PNP Fin]])</f>
        <v>0</v>
      </c>
      <c r="N22" s="50">
        <f>IF(H_Dec[[#This Row],[Fin]]&lt;H_Dec[[#This Row],[début]],1,0)+H_Dec[[#This Row],[Fin]]</f>
        <v>0</v>
      </c>
      <c r="O22" s="31">
        <f>IF(H_Dec[[#This Row],[Fin]]&lt;H_Dec[[#This Row],[début]],MAX(0,MIN(H_Dec[[#This Row],[Fin corrigée si nuit]],fin_nuit)-MAX(H_Dec[[#This Row],[début]],deb_nuit))*24,(MAX(deb_nuit,H_Dec[[#This Row],[Fin]])-MAX(deb_nuit,H_Dec[[#This Row],[début]])+MAX(MIN(fin_nuit-1,H_Dec[[#This Row],[Fin]])-MIN(fin_nuit-1,H_Dec[[#This Row],[début]]),0))*24)</f>
        <v>0</v>
      </c>
      <c r="P22" s="51">
        <f>(MAX(0,MIN(H_Dec[[#This Row],[Fin corrigée si nuit]],fin_nuit)-MAX(H_Dec[[#This Row],[début]],deb_nuit))-IF(H_Dec[[#This Row],[PNP Début]]=0,0,MIN(H_Dec[[#This Row],[PNP Fin corrigée]],fin_nuit)-MAX(H_Dec[[#This Row],[PNP Début corrigé]],deb_nuit)))*24</f>
        <v>0</v>
      </c>
      <c r="Q22" s="51">
        <f>(IF(WEEKDAY(H_Dec[[#This Row],[Date]],2)=7,MAX(0,MIN(fin_dimJF,H_Dec[[#This Row],[Fin corrigée si nuit]])-MAX(deb_dimJF,H_Dec[[#This Row],[début]])),0)+IF(WEEKDAY(H_Dec[[#This Row],[Date]],2)=6,MAX(0,H_Dec[[#This Row],[Fin corrigée si nuit]]-(1+deb_dimJF)),0))*24</f>
        <v>0</v>
      </c>
      <c r="R22"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2" s="51">
        <f>(IF(COUNTIF(JF,H_Dec[[#This Row],[Date]]),MAX(0,MIN(fin_dimJF,H_Dec[[#This Row],[Fin corrigée si nuit]])-MAX(deb_dimJF,H_Dec[[#This Row],[début]])),0)+IF(COUNTIF(JF,H_Dec[[#This Row],[Date]]+1),MAX(0,H_Dec[[#This Row],[Fin corrigée si nuit]]-(1+deb_dimJF)),0))*24</f>
        <v>0</v>
      </c>
      <c r="T22"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3" spans="1:20" ht="14.4" customHeight="1" x14ac:dyDescent="0.3">
      <c r="A23" s="4"/>
      <c r="B23" s="1"/>
      <c r="C23" s="2"/>
      <c r="D23" s="2"/>
      <c r="E23" s="3"/>
      <c r="F23" s="3"/>
      <c r="G23" s="3"/>
      <c r="H23" s="3"/>
      <c r="I23" s="47">
        <f>0.1*(H_Dec[[#This Row],[Heures de nuit]]+IF(H_Dec[[#This Row],[majoration dim &amp; JF]]="non",0,H_Dec[[#This Row],[heures jour dimanche]]+H_Dec[[#This Row],[heures jour fériés]]))</f>
        <v>0</v>
      </c>
      <c r="J23" s="48">
        <f>(MOD(H_Dec[[#This Row],[Fin]]-H_Dec[[#This Row],[début]],1)-MOD(H_Dec[[#This Row],[PNP Fin]]-H_Dec[[#This Row],[PNP Début]],1))*24</f>
        <v>0</v>
      </c>
      <c r="K23" s="119" t="str">
        <f>IFERROR(VLOOKUP(H_Dec[[#This Row],[Service]],Codes[],4,0),"")</f>
        <v/>
      </c>
      <c r="L23" s="49">
        <f>IF(H_Dec[[#This Row],[PNP Début]]=0,0,IF(H_Dec[[#This Row],[PNP Début]]&lt;H_Dec[[#This Row],[début]],1,0)+H_Dec[[#This Row],[PNP Début]])</f>
        <v>0</v>
      </c>
      <c r="M23" s="50">
        <f>IF(H_Dec[[#This Row],[PNP Fin]]=0,0,IF(H_Dec[[#This Row],[PNP Fin]]&lt;H_Dec[[#This Row],[début]],1,0)+H_Dec[[#This Row],[PNP Fin]])</f>
        <v>0</v>
      </c>
      <c r="N23" s="50">
        <f>IF(H_Dec[[#This Row],[Fin]]&lt;H_Dec[[#This Row],[début]],1,0)+H_Dec[[#This Row],[Fin]]</f>
        <v>0</v>
      </c>
      <c r="O23" s="31">
        <f>IF(H_Dec[[#This Row],[Fin]]&lt;H_Dec[[#This Row],[début]],MAX(0,MIN(H_Dec[[#This Row],[Fin corrigée si nuit]],fin_nuit)-MAX(H_Dec[[#This Row],[début]],deb_nuit))*24,(MAX(deb_nuit,H_Dec[[#This Row],[Fin]])-MAX(deb_nuit,H_Dec[[#This Row],[début]])+MAX(MIN(fin_nuit-1,H_Dec[[#This Row],[Fin]])-MIN(fin_nuit-1,H_Dec[[#This Row],[début]]),0))*24)</f>
        <v>0</v>
      </c>
      <c r="P23" s="51">
        <f>(MAX(0,MIN(H_Dec[[#This Row],[Fin corrigée si nuit]],fin_nuit)-MAX(H_Dec[[#This Row],[début]],deb_nuit))-IF(H_Dec[[#This Row],[PNP Début]]=0,0,MIN(H_Dec[[#This Row],[PNP Fin corrigée]],fin_nuit)-MAX(H_Dec[[#This Row],[PNP Début corrigé]],deb_nuit)))*24</f>
        <v>0</v>
      </c>
      <c r="Q23" s="51">
        <f>(IF(WEEKDAY(H_Dec[[#This Row],[Date]],2)=7,MAX(0,MIN(fin_dimJF,H_Dec[[#This Row],[Fin corrigée si nuit]])-MAX(deb_dimJF,H_Dec[[#This Row],[début]])),0)+IF(WEEKDAY(H_Dec[[#This Row],[Date]],2)=6,MAX(0,H_Dec[[#This Row],[Fin corrigée si nuit]]-(1+deb_dimJF)),0))*24</f>
        <v>0</v>
      </c>
      <c r="R23"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3" s="51">
        <f>(IF(COUNTIF(JF,H_Dec[[#This Row],[Date]]),MAX(0,MIN(fin_dimJF,H_Dec[[#This Row],[Fin corrigée si nuit]])-MAX(deb_dimJF,H_Dec[[#This Row],[début]])),0)+IF(COUNTIF(JF,H_Dec[[#This Row],[Date]]+1),MAX(0,H_Dec[[#This Row],[Fin corrigée si nuit]]-(1+deb_dimJF)),0))*24</f>
        <v>0</v>
      </c>
      <c r="T23"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4" spans="1:20" ht="14.4" customHeight="1" x14ac:dyDescent="0.3">
      <c r="A24" s="4"/>
      <c r="B24" s="1"/>
      <c r="C24" s="2"/>
      <c r="D24" s="2"/>
      <c r="E24" s="3"/>
      <c r="F24" s="3"/>
      <c r="G24" s="3"/>
      <c r="H24" s="3"/>
      <c r="I24" s="47">
        <f>0.1*(H_Dec[[#This Row],[Heures de nuit]]+IF(H_Dec[[#This Row],[majoration dim &amp; JF]]="non",0,H_Dec[[#This Row],[heures jour dimanche]]+H_Dec[[#This Row],[heures jour fériés]]))</f>
        <v>0</v>
      </c>
      <c r="J24" s="48">
        <f>(MOD(H_Dec[[#This Row],[Fin]]-H_Dec[[#This Row],[début]],1)-MOD(H_Dec[[#This Row],[PNP Fin]]-H_Dec[[#This Row],[PNP Début]],1))*24</f>
        <v>0</v>
      </c>
      <c r="K24" s="119" t="str">
        <f>IFERROR(VLOOKUP(H_Dec[[#This Row],[Service]],Codes[],4,0),"")</f>
        <v/>
      </c>
      <c r="L24" s="49">
        <f>IF(H_Dec[[#This Row],[PNP Début]]=0,0,IF(H_Dec[[#This Row],[PNP Début]]&lt;H_Dec[[#This Row],[début]],1,0)+H_Dec[[#This Row],[PNP Début]])</f>
        <v>0</v>
      </c>
      <c r="M24" s="50">
        <f>IF(H_Dec[[#This Row],[PNP Fin]]=0,0,IF(H_Dec[[#This Row],[PNP Fin]]&lt;H_Dec[[#This Row],[début]],1,0)+H_Dec[[#This Row],[PNP Fin]])</f>
        <v>0</v>
      </c>
      <c r="N24" s="50">
        <f>IF(H_Dec[[#This Row],[Fin]]&lt;H_Dec[[#This Row],[début]],1,0)+H_Dec[[#This Row],[Fin]]</f>
        <v>0</v>
      </c>
      <c r="O24" s="31">
        <f>IF(H_Dec[[#This Row],[Fin]]&lt;H_Dec[[#This Row],[début]],MAX(0,MIN(H_Dec[[#This Row],[Fin corrigée si nuit]],fin_nuit)-MAX(H_Dec[[#This Row],[début]],deb_nuit))*24,(MAX(deb_nuit,H_Dec[[#This Row],[Fin]])-MAX(deb_nuit,H_Dec[[#This Row],[début]])+MAX(MIN(fin_nuit-1,H_Dec[[#This Row],[Fin]])-MIN(fin_nuit-1,H_Dec[[#This Row],[début]]),0))*24)</f>
        <v>0</v>
      </c>
      <c r="P24" s="51">
        <f>(MAX(0,MIN(H_Dec[[#This Row],[Fin corrigée si nuit]],fin_nuit)-MAX(H_Dec[[#This Row],[début]],deb_nuit))-IF(H_Dec[[#This Row],[PNP Début]]=0,0,MIN(H_Dec[[#This Row],[PNP Fin corrigée]],fin_nuit)-MAX(H_Dec[[#This Row],[PNP Début corrigé]],deb_nuit)))*24</f>
        <v>0</v>
      </c>
      <c r="Q24" s="51">
        <f>(IF(WEEKDAY(H_Dec[[#This Row],[Date]],2)=7,MAX(0,MIN(fin_dimJF,H_Dec[[#This Row],[Fin corrigée si nuit]])-MAX(deb_dimJF,H_Dec[[#This Row],[début]])),0)+IF(WEEKDAY(H_Dec[[#This Row],[Date]],2)=6,MAX(0,H_Dec[[#This Row],[Fin corrigée si nuit]]-(1+deb_dimJF)),0))*24</f>
        <v>0</v>
      </c>
      <c r="R24"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4" s="51">
        <f>(IF(COUNTIF(JF,H_Dec[[#This Row],[Date]]),MAX(0,MIN(fin_dimJF,H_Dec[[#This Row],[Fin corrigée si nuit]])-MAX(deb_dimJF,H_Dec[[#This Row],[début]])),0)+IF(COUNTIF(JF,H_Dec[[#This Row],[Date]]+1),MAX(0,H_Dec[[#This Row],[Fin corrigée si nuit]]-(1+deb_dimJF)),0))*24</f>
        <v>0</v>
      </c>
      <c r="T24"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5" spans="1:20" ht="14.4" customHeight="1" x14ac:dyDescent="0.3">
      <c r="A25" s="4"/>
      <c r="B25" s="1"/>
      <c r="C25" s="2"/>
      <c r="D25" s="2"/>
      <c r="E25" s="3"/>
      <c r="F25" s="3"/>
      <c r="G25" s="3"/>
      <c r="H25" s="3"/>
      <c r="I25" s="47">
        <f>0.1*(H_Dec[[#This Row],[Heures de nuit]]+IF(H_Dec[[#This Row],[majoration dim &amp; JF]]="non",0,H_Dec[[#This Row],[heures jour dimanche]]+H_Dec[[#This Row],[heures jour fériés]]))</f>
        <v>0</v>
      </c>
      <c r="J25" s="48">
        <f>(MOD(H_Dec[[#This Row],[Fin]]-H_Dec[[#This Row],[début]],1)-MOD(H_Dec[[#This Row],[PNP Fin]]-H_Dec[[#This Row],[PNP Début]],1))*24</f>
        <v>0</v>
      </c>
      <c r="K25" s="119" t="str">
        <f>IFERROR(VLOOKUP(H_Dec[[#This Row],[Service]],Codes[],4,0),"")</f>
        <v/>
      </c>
      <c r="L25" s="49">
        <f>IF(H_Dec[[#This Row],[PNP Début]]=0,0,IF(H_Dec[[#This Row],[PNP Début]]&lt;H_Dec[[#This Row],[début]],1,0)+H_Dec[[#This Row],[PNP Début]])</f>
        <v>0</v>
      </c>
      <c r="M25" s="50">
        <f>IF(H_Dec[[#This Row],[PNP Fin]]=0,0,IF(H_Dec[[#This Row],[PNP Fin]]&lt;H_Dec[[#This Row],[début]],1,0)+H_Dec[[#This Row],[PNP Fin]])</f>
        <v>0</v>
      </c>
      <c r="N25" s="50">
        <f>IF(H_Dec[[#This Row],[Fin]]&lt;H_Dec[[#This Row],[début]],1,0)+H_Dec[[#This Row],[Fin]]</f>
        <v>0</v>
      </c>
      <c r="O25" s="31">
        <f>IF(H_Dec[[#This Row],[Fin]]&lt;H_Dec[[#This Row],[début]],MAX(0,MIN(H_Dec[[#This Row],[Fin corrigée si nuit]],fin_nuit)-MAX(H_Dec[[#This Row],[début]],deb_nuit))*24,(MAX(deb_nuit,H_Dec[[#This Row],[Fin]])-MAX(deb_nuit,H_Dec[[#This Row],[début]])+MAX(MIN(fin_nuit-1,H_Dec[[#This Row],[Fin]])-MIN(fin_nuit-1,H_Dec[[#This Row],[début]]),0))*24)</f>
        <v>0</v>
      </c>
      <c r="P25" s="51">
        <f>(MAX(0,MIN(H_Dec[[#This Row],[Fin corrigée si nuit]],fin_nuit)-MAX(H_Dec[[#This Row],[début]],deb_nuit))-IF(H_Dec[[#This Row],[PNP Début]]=0,0,MIN(H_Dec[[#This Row],[PNP Fin corrigée]],fin_nuit)-MAX(H_Dec[[#This Row],[PNP Début corrigé]],deb_nuit)))*24</f>
        <v>0</v>
      </c>
      <c r="Q25" s="51">
        <f>(IF(WEEKDAY(H_Dec[[#This Row],[Date]],2)=7,MAX(0,MIN(fin_dimJF,H_Dec[[#This Row],[Fin corrigée si nuit]])-MAX(deb_dimJF,H_Dec[[#This Row],[début]])),0)+IF(WEEKDAY(H_Dec[[#This Row],[Date]],2)=6,MAX(0,H_Dec[[#This Row],[Fin corrigée si nuit]]-(1+deb_dimJF)),0))*24</f>
        <v>0</v>
      </c>
      <c r="R25"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5" s="51">
        <f>(IF(COUNTIF(JF,H_Dec[[#This Row],[Date]]),MAX(0,MIN(fin_dimJF,H_Dec[[#This Row],[Fin corrigée si nuit]])-MAX(deb_dimJF,H_Dec[[#This Row],[début]])),0)+IF(COUNTIF(JF,H_Dec[[#This Row],[Date]]+1),MAX(0,H_Dec[[#This Row],[Fin corrigée si nuit]]-(1+deb_dimJF)),0))*24</f>
        <v>0</v>
      </c>
      <c r="T25"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6" spans="1:20" ht="14.4" customHeight="1" x14ac:dyDescent="0.3">
      <c r="A26" s="4"/>
      <c r="B26" s="1"/>
      <c r="C26" s="2"/>
      <c r="D26" s="2"/>
      <c r="E26" s="3"/>
      <c r="F26" s="3"/>
      <c r="G26" s="3"/>
      <c r="H26" s="3"/>
      <c r="I26" s="47">
        <f>0.1*(H_Dec[[#This Row],[Heures de nuit]]+IF(H_Dec[[#This Row],[majoration dim &amp; JF]]="non",0,H_Dec[[#This Row],[heures jour dimanche]]+H_Dec[[#This Row],[heures jour fériés]]))</f>
        <v>0</v>
      </c>
      <c r="J26" s="48">
        <f>(MOD(H_Dec[[#This Row],[Fin]]-H_Dec[[#This Row],[début]],1)-MOD(H_Dec[[#This Row],[PNP Fin]]-H_Dec[[#This Row],[PNP Début]],1))*24</f>
        <v>0</v>
      </c>
      <c r="K26" s="119" t="str">
        <f>IFERROR(VLOOKUP(H_Dec[[#This Row],[Service]],Codes[],4,0),"")</f>
        <v/>
      </c>
      <c r="L26" s="49">
        <f>IF(H_Dec[[#This Row],[PNP Début]]=0,0,IF(H_Dec[[#This Row],[PNP Début]]&lt;H_Dec[[#This Row],[début]],1,0)+H_Dec[[#This Row],[PNP Début]])</f>
        <v>0</v>
      </c>
      <c r="M26" s="50">
        <f>IF(H_Dec[[#This Row],[PNP Fin]]=0,0,IF(H_Dec[[#This Row],[PNP Fin]]&lt;H_Dec[[#This Row],[début]],1,0)+H_Dec[[#This Row],[PNP Fin]])</f>
        <v>0</v>
      </c>
      <c r="N26" s="50">
        <f>IF(H_Dec[[#This Row],[Fin]]&lt;H_Dec[[#This Row],[début]],1,0)+H_Dec[[#This Row],[Fin]]</f>
        <v>0</v>
      </c>
      <c r="O26" s="31">
        <f>IF(H_Dec[[#This Row],[Fin]]&lt;H_Dec[[#This Row],[début]],MAX(0,MIN(H_Dec[[#This Row],[Fin corrigée si nuit]],fin_nuit)-MAX(H_Dec[[#This Row],[début]],deb_nuit))*24,(MAX(deb_nuit,H_Dec[[#This Row],[Fin]])-MAX(deb_nuit,H_Dec[[#This Row],[début]])+MAX(MIN(fin_nuit-1,H_Dec[[#This Row],[Fin]])-MIN(fin_nuit-1,H_Dec[[#This Row],[début]]),0))*24)</f>
        <v>0</v>
      </c>
      <c r="P26" s="51">
        <f>(MAX(0,MIN(H_Dec[[#This Row],[Fin corrigée si nuit]],fin_nuit)-MAX(H_Dec[[#This Row],[début]],deb_nuit))-IF(H_Dec[[#This Row],[PNP Début]]=0,0,MIN(H_Dec[[#This Row],[PNP Fin corrigée]],fin_nuit)-MAX(H_Dec[[#This Row],[PNP Début corrigé]],deb_nuit)))*24</f>
        <v>0</v>
      </c>
      <c r="Q26" s="51">
        <f>(IF(WEEKDAY(H_Dec[[#This Row],[Date]],2)=7,MAX(0,MIN(fin_dimJF,H_Dec[[#This Row],[Fin corrigée si nuit]])-MAX(deb_dimJF,H_Dec[[#This Row],[début]])),0)+IF(WEEKDAY(H_Dec[[#This Row],[Date]],2)=6,MAX(0,H_Dec[[#This Row],[Fin corrigée si nuit]]-(1+deb_dimJF)),0))*24</f>
        <v>0</v>
      </c>
      <c r="R26"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6" s="51">
        <f>(IF(COUNTIF(JF,H_Dec[[#This Row],[Date]]),MAX(0,MIN(fin_dimJF,H_Dec[[#This Row],[Fin corrigée si nuit]])-MAX(deb_dimJF,H_Dec[[#This Row],[début]])),0)+IF(COUNTIF(JF,H_Dec[[#This Row],[Date]]+1),MAX(0,H_Dec[[#This Row],[Fin corrigée si nuit]]-(1+deb_dimJF)),0))*24</f>
        <v>0</v>
      </c>
      <c r="T26"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7" spans="1:20" ht="14.4" customHeight="1" x14ac:dyDescent="0.3">
      <c r="A27" s="4"/>
      <c r="B27" s="1"/>
      <c r="C27" s="2"/>
      <c r="D27" s="2"/>
      <c r="E27" s="3"/>
      <c r="F27" s="3"/>
      <c r="G27" s="3"/>
      <c r="H27" s="3"/>
      <c r="I27" s="47">
        <f>0.1*(H_Dec[[#This Row],[Heures de nuit]]+IF(H_Dec[[#This Row],[majoration dim &amp; JF]]="non",0,H_Dec[[#This Row],[heures jour dimanche]]+H_Dec[[#This Row],[heures jour fériés]]))</f>
        <v>0</v>
      </c>
      <c r="J27" s="48">
        <f>(MOD(H_Dec[[#This Row],[Fin]]-H_Dec[[#This Row],[début]],1)-MOD(H_Dec[[#This Row],[PNP Fin]]-H_Dec[[#This Row],[PNP Début]],1))*24</f>
        <v>0</v>
      </c>
      <c r="K27" s="119" t="str">
        <f>IFERROR(VLOOKUP(H_Dec[[#This Row],[Service]],Codes[],4,0),"")</f>
        <v/>
      </c>
      <c r="L27" s="49">
        <f>IF(H_Dec[[#This Row],[PNP Début]]=0,0,IF(H_Dec[[#This Row],[PNP Début]]&lt;H_Dec[[#This Row],[début]],1,0)+H_Dec[[#This Row],[PNP Début]])</f>
        <v>0</v>
      </c>
      <c r="M27" s="50">
        <f>IF(H_Dec[[#This Row],[PNP Fin]]=0,0,IF(H_Dec[[#This Row],[PNP Fin]]&lt;H_Dec[[#This Row],[début]],1,0)+H_Dec[[#This Row],[PNP Fin]])</f>
        <v>0</v>
      </c>
      <c r="N27" s="50">
        <f>IF(H_Dec[[#This Row],[Fin]]&lt;H_Dec[[#This Row],[début]],1,0)+H_Dec[[#This Row],[Fin]]</f>
        <v>0</v>
      </c>
      <c r="O27" s="31">
        <f>IF(H_Dec[[#This Row],[Fin]]&lt;H_Dec[[#This Row],[début]],MAX(0,MIN(H_Dec[[#This Row],[Fin corrigée si nuit]],fin_nuit)-MAX(H_Dec[[#This Row],[début]],deb_nuit))*24,(MAX(deb_nuit,H_Dec[[#This Row],[Fin]])-MAX(deb_nuit,H_Dec[[#This Row],[début]])+MAX(MIN(fin_nuit-1,H_Dec[[#This Row],[Fin]])-MIN(fin_nuit-1,H_Dec[[#This Row],[début]]),0))*24)</f>
        <v>0</v>
      </c>
      <c r="P27" s="51">
        <f>(MAX(0,MIN(H_Dec[[#This Row],[Fin corrigée si nuit]],fin_nuit)-MAX(H_Dec[[#This Row],[début]],deb_nuit))-IF(H_Dec[[#This Row],[PNP Début]]=0,0,MIN(H_Dec[[#This Row],[PNP Fin corrigée]],fin_nuit)-MAX(H_Dec[[#This Row],[PNP Début corrigé]],deb_nuit)))*24</f>
        <v>0</v>
      </c>
      <c r="Q27" s="51">
        <f>(IF(WEEKDAY(H_Dec[[#This Row],[Date]],2)=7,MAX(0,MIN(fin_dimJF,H_Dec[[#This Row],[Fin corrigée si nuit]])-MAX(deb_dimJF,H_Dec[[#This Row],[début]])),0)+IF(WEEKDAY(H_Dec[[#This Row],[Date]],2)=6,MAX(0,H_Dec[[#This Row],[Fin corrigée si nuit]]-(1+deb_dimJF)),0))*24</f>
        <v>0</v>
      </c>
      <c r="R27"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7" s="51">
        <f>(IF(COUNTIF(JF,H_Dec[[#This Row],[Date]]),MAX(0,MIN(fin_dimJF,H_Dec[[#This Row],[Fin corrigée si nuit]])-MAX(deb_dimJF,H_Dec[[#This Row],[début]])),0)+IF(COUNTIF(JF,H_Dec[[#This Row],[Date]]+1),MAX(0,H_Dec[[#This Row],[Fin corrigée si nuit]]-(1+deb_dimJF)),0))*24</f>
        <v>0</v>
      </c>
      <c r="T27"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8" spans="1:20" ht="14.4" customHeight="1" x14ac:dyDescent="0.3">
      <c r="A28" s="4"/>
      <c r="B28" s="1"/>
      <c r="C28" s="2"/>
      <c r="D28" s="2"/>
      <c r="E28" s="3"/>
      <c r="F28" s="3"/>
      <c r="G28" s="3"/>
      <c r="H28" s="3"/>
      <c r="I28" s="47">
        <f>0.1*(H_Dec[[#This Row],[Heures de nuit]]+IF(H_Dec[[#This Row],[majoration dim &amp; JF]]="non",0,H_Dec[[#This Row],[heures jour dimanche]]+H_Dec[[#This Row],[heures jour fériés]]))</f>
        <v>0</v>
      </c>
      <c r="J28" s="48">
        <f>(MOD(H_Dec[[#This Row],[Fin]]-H_Dec[[#This Row],[début]],1)-MOD(H_Dec[[#This Row],[PNP Fin]]-H_Dec[[#This Row],[PNP Début]],1))*24</f>
        <v>0</v>
      </c>
      <c r="K28" s="119" t="str">
        <f>IFERROR(VLOOKUP(H_Dec[[#This Row],[Service]],Codes[],4,0),"")</f>
        <v/>
      </c>
      <c r="L28" s="49">
        <f>IF(H_Dec[[#This Row],[PNP Début]]=0,0,IF(H_Dec[[#This Row],[PNP Début]]&lt;H_Dec[[#This Row],[début]],1,0)+H_Dec[[#This Row],[PNP Début]])</f>
        <v>0</v>
      </c>
      <c r="M28" s="50">
        <f>IF(H_Dec[[#This Row],[PNP Fin]]=0,0,IF(H_Dec[[#This Row],[PNP Fin]]&lt;H_Dec[[#This Row],[début]],1,0)+H_Dec[[#This Row],[PNP Fin]])</f>
        <v>0</v>
      </c>
      <c r="N28" s="50">
        <f>IF(H_Dec[[#This Row],[Fin]]&lt;H_Dec[[#This Row],[début]],1,0)+H_Dec[[#This Row],[Fin]]</f>
        <v>0</v>
      </c>
      <c r="O28" s="31">
        <f>IF(H_Dec[[#This Row],[Fin]]&lt;H_Dec[[#This Row],[début]],MAX(0,MIN(H_Dec[[#This Row],[Fin corrigée si nuit]],fin_nuit)-MAX(H_Dec[[#This Row],[début]],deb_nuit))*24,(MAX(deb_nuit,H_Dec[[#This Row],[Fin]])-MAX(deb_nuit,H_Dec[[#This Row],[début]])+MAX(MIN(fin_nuit-1,H_Dec[[#This Row],[Fin]])-MIN(fin_nuit-1,H_Dec[[#This Row],[début]]),0))*24)</f>
        <v>0</v>
      </c>
      <c r="P28" s="51">
        <f>(MAX(0,MIN(H_Dec[[#This Row],[Fin corrigée si nuit]],fin_nuit)-MAX(H_Dec[[#This Row],[début]],deb_nuit))-IF(H_Dec[[#This Row],[PNP Début]]=0,0,MIN(H_Dec[[#This Row],[PNP Fin corrigée]],fin_nuit)-MAX(H_Dec[[#This Row],[PNP Début corrigé]],deb_nuit)))*24</f>
        <v>0</v>
      </c>
      <c r="Q28" s="51">
        <f>(IF(WEEKDAY(H_Dec[[#This Row],[Date]],2)=7,MAX(0,MIN(fin_dimJF,H_Dec[[#This Row],[Fin corrigée si nuit]])-MAX(deb_dimJF,H_Dec[[#This Row],[début]])),0)+IF(WEEKDAY(H_Dec[[#This Row],[Date]],2)=6,MAX(0,H_Dec[[#This Row],[Fin corrigée si nuit]]-(1+deb_dimJF)),0))*24</f>
        <v>0</v>
      </c>
      <c r="R28"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8" s="51">
        <f>(IF(COUNTIF(JF,H_Dec[[#This Row],[Date]]),MAX(0,MIN(fin_dimJF,H_Dec[[#This Row],[Fin corrigée si nuit]])-MAX(deb_dimJF,H_Dec[[#This Row],[début]])),0)+IF(COUNTIF(JF,H_Dec[[#This Row],[Date]]+1),MAX(0,H_Dec[[#This Row],[Fin corrigée si nuit]]-(1+deb_dimJF)),0))*24</f>
        <v>0</v>
      </c>
      <c r="T28"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29" spans="1:20" ht="14.4" customHeight="1" x14ac:dyDescent="0.3">
      <c r="A29" s="4"/>
      <c r="B29" s="1"/>
      <c r="C29" s="2"/>
      <c r="D29" s="2"/>
      <c r="E29" s="3"/>
      <c r="F29" s="3"/>
      <c r="G29" s="3"/>
      <c r="H29" s="3"/>
      <c r="I29" s="47">
        <f>0.1*(H_Dec[[#This Row],[Heures de nuit]]+IF(H_Dec[[#This Row],[majoration dim &amp; JF]]="non",0,H_Dec[[#This Row],[heures jour dimanche]]+H_Dec[[#This Row],[heures jour fériés]]))</f>
        <v>0</v>
      </c>
      <c r="J29" s="48">
        <f>(MOD(H_Dec[[#This Row],[Fin]]-H_Dec[[#This Row],[début]],1)-MOD(H_Dec[[#This Row],[PNP Fin]]-H_Dec[[#This Row],[PNP Début]],1))*24</f>
        <v>0</v>
      </c>
      <c r="K29" s="119" t="str">
        <f>IFERROR(VLOOKUP(H_Dec[[#This Row],[Service]],Codes[],4,0),"")</f>
        <v/>
      </c>
      <c r="L29" s="49">
        <f>IF(H_Dec[[#This Row],[PNP Début]]=0,0,IF(H_Dec[[#This Row],[PNP Début]]&lt;H_Dec[[#This Row],[début]],1,0)+H_Dec[[#This Row],[PNP Début]])</f>
        <v>0</v>
      </c>
      <c r="M29" s="50">
        <f>IF(H_Dec[[#This Row],[PNP Fin]]=0,0,IF(H_Dec[[#This Row],[PNP Fin]]&lt;H_Dec[[#This Row],[début]],1,0)+H_Dec[[#This Row],[PNP Fin]])</f>
        <v>0</v>
      </c>
      <c r="N29" s="50">
        <f>IF(H_Dec[[#This Row],[Fin]]&lt;H_Dec[[#This Row],[début]],1,0)+H_Dec[[#This Row],[Fin]]</f>
        <v>0</v>
      </c>
      <c r="O29" s="31">
        <f>IF(H_Dec[[#This Row],[Fin]]&lt;H_Dec[[#This Row],[début]],MAX(0,MIN(H_Dec[[#This Row],[Fin corrigée si nuit]],fin_nuit)-MAX(H_Dec[[#This Row],[début]],deb_nuit))*24,(MAX(deb_nuit,H_Dec[[#This Row],[Fin]])-MAX(deb_nuit,H_Dec[[#This Row],[début]])+MAX(MIN(fin_nuit-1,H_Dec[[#This Row],[Fin]])-MIN(fin_nuit-1,H_Dec[[#This Row],[début]]),0))*24)</f>
        <v>0</v>
      </c>
      <c r="P29" s="51">
        <f>(MAX(0,MIN(H_Dec[[#This Row],[Fin corrigée si nuit]],fin_nuit)-MAX(H_Dec[[#This Row],[début]],deb_nuit))-IF(H_Dec[[#This Row],[PNP Début]]=0,0,MIN(H_Dec[[#This Row],[PNP Fin corrigée]],fin_nuit)-MAX(H_Dec[[#This Row],[PNP Début corrigé]],deb_nuit)))*24</f>
        <v>0</v>
      </c>
      <c r="Q29" s="51">
        <f>(IF(WEEKDAY(H_Dec[[#This Row],[Date]],2)=7,MAX(0,MIN(fin_dimJF,H_Dec[[#This Row],[Fin corrigée si nuit]])-MAX(deb_dimJF,H_Dec[[#This Row],[début]])),0)+IF(WEEKDAY(H_Dec[[#This Row],[Date]],2)=6,MAX(0,H_Dec[[#This Row],[Fin corrigée si nuit]]-(1+deb_dimJF)),0))*24</f>
        <v>0</v>
      </c>
      <c r="R29"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29" s="51">
        <f>(IF(COUNTIF(JF,H_Dec[[#This Row],[Date]]),MAX(0,MIN(fin_dimJF,H_Dec[[#This Row],[Fin corrigée si nuit]])-MAX(deb_dimJF,H_Dec[[#This Row],[début]])),0)+IF(COUNTIF(JF,H_Dec[[#This Row],[Date]]+1),MAX(0,H_Dec[[#This Row],[Fin corrigée si nuit]]-(1+deb_dimJF)),0))*24</f>
        <v>0</v>
      </c>
      <c r="T29"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0" spans="1:20" ht="14.4" customHeight="1" x14ac:dyDescent="0.3">
      <c r="A30" s="4"/>
      <c r="B30" s="1"/>
      <c r="C30" s="2"/>
      <c r="D30" s="2"/>
      <c r="E30" s="3"/>
      <c r="F30" s="3"/>
      <c r="G30" s="3"/>
      <c r="H30" s="3"/>
      <c r="I30" s="47">
        <f>0.1*(H_Dec[[#This Row],[Heures de nuit]]+IF(H_Dec[[#This Row],[majoration dim &amp; JF]]="non",0,H_Dec[[#This Row],[heures jour dimanche]]+H_Dec[[#This Row],[heures jour fériés]]))</f>
        <v>0</v>
      </c>
      <c r="J30" s="48">
        <f>(MOD(H_Dec[[#This Row],[Fin]]-H_Dec[[#This Row],[début]],1)-MOD(H_Dec[[#This Row],[PNP Fin]]-H_Dec[[#This Row],[PNP Début]],1))*24</f>
        <v>0</v>
      </c>
      <c r="K30" s="119" t="str">
        <f>IFERROR(VLOOKUP(H_Dec[[#This Row],[Service]],Codes[],4,0),"")</f>
        <v/>
      </c>
      <c r="L30" s="49">
        <f>IF(H_Dec[[#This Row],[PNP Début]]=0,0,IF(H_Dec[[#This Row],[PNP Début]]&lt;H_Dec[[#This Row],[début]],1,0)+H_Dec[[#This Row],[PNP Début]])</f>
        <v>0</v>
      </c>
      <c r="M30" s="50">
        <f>IF(H_Dec[[#This Row],[PNP Fin]]=0,0,IF(H_Dec[[#This Row],[PNP Fin]]&lt;H_Dec[[#This Row],[début]],1,0)+H_Dec[[#This Row],[PNP Fin]])</f>
        <v>0</v>
      </c>
      <c r="N30" s="50">
        <f>IF(H_Dec[[#This Row],[Fin]]&lt;H_Dec[[#This Row],[début]],1,0)+H_Dec[[#This Row],[Fin]]</f>
        <v>0</v>
      </c>
      <c r="O30" s="31">
        <f>IF(H_Dec[[#This Row],[Fin]]&lt;H_Dec[[#This Row],[début]],MAX(0,MIN(H_Dec[[#This Row],[Fin corrigée si nuit]],fin_nuit)-MAX(H_Dec[[#This Row],[début]],deb_nuit))*24,(MAX(deb_nuit,H_Dec[[#This Row],[Fin]])-MAX(deb_nuit,H_Dec[[#This Row],[début]])+MAX(MIN(fin_nuit-1,H_Dec[[#This Row],[Fin]])-MIN(fin_nuit-1,H_Dec[[#This Row],[début]]),0))*24)</f>
        <v>0</v>
      </c>
      <c r="P30" s="51">
        <f>(MAX(0,MIN(H_Dec[[#This Row],[Fin corrigée si nuit]],fin_nuit)-MAX(H_Dec[[#This Row],[début]],deb_nuit))-IF(H_Dec[[#This Row],[PNP Début]]=0,0,MIN(H_Dec[[#This Row],[PNP Fin corrigée]],fin_nuit)-MAX(H_Dec[[#This Row],[PNP Début corrigé]],deb_nuit)))*24</f>
        <v>0</v>
      </c>
      <c r="Q30" s="51">
        <f>(IF(WEEKDAY(H_Dec[[#This Row],[Date]],2)=7,MAX(0,MIN(fin_dimJF,H_Dec[[#This Row],[Fin corrigée si nuit]])-MAX(deb_dimJF,H_Dec[[#This Row],[début]])),0)+IF(WEEKDAY(H_Dec[[#This Row],[Date]],2)=6,MAX(0,H_Dec[[#This Row],[Fin corrigée si nuit]]-(1+deb_dimJF)),0))*24</f>
        <v>0</v>
      </c>
      <c r="R30"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0" s="51">
        <f>(IF(COUNTIF(JF,H_Dec[[#This Row],[Date]]),MAX(0,MIN(fin_dimJF,H_Dec[[#This Row],[Fin corrigée si nuit]])-MAX(deb_dimJF,H_Dec[[#This Row],[début]])),0)+IF(COUNTIF(JF,H_Dec[[#This Row],[Date]]+1),MAX(0,H_Dec[[#This Row],[Fin corrigée si nuit]]-(1+deb_dimJF)),0))*24</f>
        <v>0</v>
      </c>
      <c r="T30"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1" spans="1:20" x14ac:dyDescent="0.3">
      <c r="A31" s="4"/>
      <c r="B31" s="1"/>
      <c r="C31" s="2"/>
      <c r="D31" s="2"/>
      <c r="E31" s="3"/>
      <c r="F31" s="3"/>
      <c r="G31" s="3"/>
      <c r="H31" s="3"/>
      <c r="I31" s="47">
        <f>0.1*(H_Dec[[#This Row],[Heures de nuit]]+IF(H_Dec[[#This Row],[majoration dim &amp; JF]]="non",0,H_Dec[[#This Row],[heures jour dimanche]]+H_Dec[[#This Row],[heures jour fériés]]))</f>
        <v>0</v>
      </c>
      <c r="J31" s="48">
        <f>(MOD(H_Dec[[#This Row],[Fin]]-H_Dec[[#This Row],[début]],1)-MOD(H_Dec[[#This Row],[PNP Fin]]-H_Dec[[#This Row],[PNP Début]],1))*24</f>
        <v>0</v>
      </c>
      <c r="K31" s="119" t="str">
        <f>IFERROR(VLOOKUP(H_Dec[[#This Row],[Service]],Codes[],4,0),"")</f>
        <v/>
      </c>
      <c r="L31" s="49">
        <f>IF(H_Dec[[#This Row],[PNP Début]]=0,0,IF(H_Dec[[#This Row],[PNP Début]]&lt;H_Dec[[#This Row],[début]],1,0)+H_Dec[[#This Row],[PNP Début]])</f>
        <v>0</v>
      </c>
      <c r="M31" s="50">
        <f>IF(H_Dec[[#This Row],[PNP Fin]]=0,0,IF(H_Dec[[#This Row],[PNP Fin]]&lt;H_Dec[[#This Row],[début]],1,0)+H_Dec[[#This Row],[PNP Fin]])</f>
        <v>0</v>
      </c>
      <c r="N31" s="50">
        <f>IF(H_Dec[[#This Row],[Fin]]&lt;H_Dec[[#This Row],[début]],1,0)+H_Dec[[#This Row],[Fin]]</f>
        <v>0</v>
      </c>
      <c r="O31" s="31">
        <f>IF(H_Dec[[#This Row],[Fin]]&lt;H_Dec[[#This Row],[début]],MAX(0,MIN(H_Dec[[#This Row],[Fin corrigée si nuit]],fin_nuit)-MAX(H_Dec[[#This Row],[début]],deb_nuit))*24,(MAX(deb_nuit,H_Dec[[#This Row],[Fin]])-MAX(deb_nuit,H_Dec[[#This Row],[début]])+MAX(MIN(fin_nuit-1,H_Dec[[#This Row],[Fin]])-MIN(fin_nuit-1,H_Dec[[#This Row],[début]]),0))*24)</f>
        <v>0</v>
      </c>
      <c r="P31" s="51">
        <f>(MAX(0,MIN(H_Dec[[#This Row],[Fin corrigée si nuit]],fin_nuit)-MAX(H_Dec[[#This Row],[début]],deb_nuit))-IF(H_Dec[[#This Row],[PNP Début]]=0,0,MIN(H_Dec[[#This Row],[PNP Fin corrigée]],fin_nuit)-MAX(H_Dec[[#This Row],[PNP Début corrigé]],deb_nuit)))*24</f>
        <v>0</v>
      </c>
      <c r="Q31" s="51">
        <f>(IF(WEEKDAY(H_Dec[[#This Row],[Date]],2)=7,MAX(0,MIN(fin_dimJF,H_Dec[[#This Row],[Fin corrigée si nuit]])-MAX(deb_dimJF,H_Dec[[#This Row],[début]])),0)+IF(WEEKDAY(H_Dec[[#This Row],[Date]],2)=6,MAX(0,H_Dec[[#This Row],[Fin corrigée si nuit]]-(1+deb_dimJF)),0))*24</f>
        <v>0</v>
      </c>
      <c r="R31"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1" s="51">
        <f>(IF(COUNTIF(JF,H_Dec[[#This Row],[Date]]),MAX(0,MIN(fin_dimJF,H_Dec[[#This Row],[Fin corrigée si nuit]])-MAX(deb_dimJF,H_Dec[[#This Row],[début]])),0)+IF(COUNTIF(JF,H_Dec[[#This Row],[Date]]+1),MAX(0,H_Dec[[#This Row],[Fin corrigée si nuit]]-(1+deb_dimJF)),0))*24</f>
        <v>0</v>
      </c>
      <c r="T31"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2" spans="1:20" ht="14.55" customHeight="1" x14ac:dyDescent="0.3">
      <c r="A32" s="4"/>
      <c r="B32" s="1"/>
      <c r="C32" s="2"/>
      <c r="D32" s="2"/>
      <c r="E32" s="3"/>
      <c r="F32" s="3"/>
      <c r="G32" s="3"/>
      <c r="H32" s="3"/>
      <c r="I32" s="47">
        <f>0.1*(H_Dec[[#This Row],[Heures de nuit]]+IF(H_Dec[[#This Row],[majoration dim &amp; JF]]="non",0,H_Dec[[#This Row],[heures jour dimanche]]+H_Dec[[#This Row],[heures jour fériés]]))</f>
        <v>0</v>
      </c>
      <c r="J32" s="48">
        <f>(MOD(H_Dec[[#This Row],[Fin]]-H_Dec[[#This Row],[début]],1)-MOD(H_Dec[[#This Row],[PNP Fin]]-H_Dec[[#This Row],[PNP Début]],1))*24</f>
        <v>0</v>
      </c>
      <c r="K32" s="119" t="str">
        <f>IFERROR(VLOOKUP(H_Dec[[#This Row],[Service]],Codes[],4,0),"")</f>
        <v/>
      </c>
      <c r="L32" s="49">
        <f>IF(H_Dec[[#This Row],[PNP Début]]=0,0,IF(H_Dec[[#This Row],[PNP Début]]&lt;H_Dec[[#This Row],[début]],1,0)+H_Dec[[#This Row],[PNP Début]])</f>
        <v>0</v>
      </c>
      <c r="M32" s="50">
        <f>IF(H_Dec[[#This Row],[PNP Fin]]=0,0,IF(H_Dec[[#This Row],[PNP Fin]]&lt;H_Dec[[#This Row],[début]],1,0)+H_Dec[[#This Row],[PNP Fin]])</f>
        <v>0</v>
      </c>
      <c r="N32" s="50">
        <f>IF(H_Dec[[#This Row],[Fin]]&lt;H_Dec[[#This Row],[début]],1,0)+H_Dec[[#This Row],[Fin]]</f>
        <v>0</v>
      </c>
      <c r="O32" s="31">
        <f>IF(H_Dec[[#This Row],[Fin]]&lt;H_Dec[[#This Row],[début]],MAX(0,MIN(H_Dec[[#This Row],[Fin corrigée si nuit]],fin_nuit)-MAX(H_Dec[[#This Row],[début]],deb_nuit))*24,(MAX(deb_nuit,H_Dec[[#This Row],[Fin]])-MAX(deb_nuit,H_Dec[[#This Row],[début]])+MAX(MIN(fin_nuit-1,H_Dec[[#This Row],[Fin]])-MIN(fin_nuit-1,H_Dec[[#This Row],[début]]),0))*24)</f>
        <v>0</v>
      </c>
      <c r="P32" s="51">
        <f>(MAX(0,MIN(H_Dec[[#This Row],[Fin corrigée si nuit]],fin_nuit)-MAX(H_Dec[[#This Row],[début]],deb_nuit))-IF(H_Dec[[#This Row],[PNP Début]]=0,0,MIN(H_Dec[[#This Row],[PNP Fin corrigée]],fin_nuit)-MAX(H_Dec[[#This Row],[PNP Début corrigé]],deb_nuit)))*24</f>
        <v>0</v>
      </c>
      <c r="Q32" s="51">
        <f>(IF(WEEKDAY(H_Dec[[#This Row],[Date]],2)=7,MAX(0,MIN(fin_dimJF,H_Dec[[#This Row],[Fin corrigée si nuit]])-MAX(deb_dimJF,H_Dec[[#This Row],[début]])),0)+IF(WEEKDAY(H_Dec[[#This Row],[Date]],2)=6,MAX(0,H_Dec[[#This Row],[Fin corrigée si nuit]]-(1+deb_dimJF)),0))*24</f>
        <v>0</v>
      </c>
      <c r="R32"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2" s="51">
        <f>(IF(COUNTIF(JF,H_Dec[[#This Row],[Date]]),MAX(0,MIN(fin_dimJF,H_Dec[[#This Row],[Fin corrigée si nuit]])-MAX(deb_dimJF,H_Dec[[#This Row],[début]])),0)+IF(COUNTIF(JF,H_Dec[[#This Row],[Date]]+1),MAX(0,H_Dec[[#This Row],[Fin corrigée si nuit]]-(1+deb_dimJF)),0))*24</f>
        <v>0</v>
      </c>
      <c r="T32"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3" spans="1:20" x14ac:dyDescent="0.3">
      <c r="A33" s="4"/>
      <c r="B33" s="1"/>
      <c r="C33" s="2"/>
      <c r="D33" s="2"/>
      <c r="E33" s="3"/>
      <c r="F33" s="3"/>
      <c r="G33" s="3"/>
      <c r="H33" s="3"/>
      <c r="I33" s="47">
        <f>0.1*(H_Dec[[#This Row],[Heures de nuit]]+IF(H_Dec[[#This Row],[majoration dim &amp; JF]]="non",0,H_Dec[[#This Row],[heures jour dimanche]]+H_Dec[[#This Row],[heures jour fériés]]))</f>
        <v>0</v>
      </c>
      <c r="J33" s="48">
        <f>(MOD(H_Dec[[#This Row],[Fin]]-H_Dec[[#This Row],[début]],1)-MOD(H_Dec[[#This Row],[PNP Fin]]-H_Dec[[#This Row],[PNP Début]],1))*24</f>
        <v>0</v>
      </c>
      <c r="K33" s="119" t="str">
        <f>IFERROR(VLOOKUP(H_Dec[[#This Row],[Service]],Codes[],4,0),"")</f>
        <v/>
      </c>
      <c r="L33" s="49">
        <f>IF(H_Dec[[#This Row],[PNP Début]]=0,0,IF(H_Dec[[#This Row],[PNP Début]]&lt;H_Dec[[#This Row],[début]],1,0)+H_Dec[[#This Row],[PNP Début]])</f>
        <v>0</v>
      </c>
      <c r="M33" s="50">
        <f>IF(H_Dec[[#This Row],[PNP Fin]]=0,0,IF(H_Dec[[#This Row],[PNP Fin]]&lt;H_Dec[[#This Row],[début]],1,0)+H_Dec[[#This Row],[PNP Fin]])</f>
        <v>0</v>
      </c>
      <c r="N33" s="50">
        <f>IF(H_Dec[[#This Row],[Fin]]&lt;H_Dec[[#This Row],[début]],1,0)+H_Dec[[#This Row],[Fin]]</f>
        <v>0</v>
      </c>
      <c r="O33" s="31">
        <f>IF(H_Dec[[#This Row],[Fin]]&lt;H_Dec[[#This Row],[début]],MAX(0,MIN(H_Dec[[#This Row],[Fin corrigée si nuit]],fin_nuit)-MAX(H_Dec[[#This Row],[début]],deb_nuit))*24,(MAX(deb_nuit,H_Dec[[#This Row],[Fin]])-MAX(deb_nuit,H_Dec[[#This Row],[début]])+MAX(MIN(fin_nuit-1,H_Dec[[#This Row],[Fin]])-MIN(fin_nuit-1,H_Dec[[#This Row],[début]]),0))*24)</f>
        <v>0</v>
      </c>
      <c r="P33" s="51">
        <f>(MAX(0,MIN(H_Dec[[#This Row],[Fin corrigée si nuit]],fin_nuit)-MAX(H_Dec[[#This Row],[début]],deb_nuit))-IF(H_Dec[[#This Row],[PNP Début]]=0,0,MIN(H_Dec[[#This Row],[PNP Fin corrigée]],fin_nuit)-MAX(H_Dec[[#This Row],[PNP Début corrigé]],deb_nuit)))*24</f>
        <v>0</v>
      </c>
      <c r="Q33" s="51">
        <f>(IF(WEEKDAY(H_Dec[[#This Row],[Date]],2)=7,MAX(0,MIN(fin_dimJF,H_Dec[[#This Row],[Fin corrigée si nuit]])-MAX(deb_dimJF,H_Dec[[#This Row],[début]])),0)+IF(WEEKDAY(H_Dec[[#This Row],[Date]],2)=6,MAX(0,H_Dec[[#This Row],[Fin corrigée si nuit]]-(1+deb_dimJF)),0))*24</f>
        <v>0</v>
      </c>
      <c r="R33"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3" s="51">
        <f>(IF(COUNTIF(JF,H_Dec[[#This Row],[Date]]),MAX(0,MIN(fin_dimJF,H_Dec[[#This Row],[Fin corrigée si nuit]])-MAX(deb_dimJF,H_Dec[[#This Row],[début]])),0)+IF(COUNTIF(JF,H_Dec[[#This Row],[Date]]+1),MAX(0,H_Dec[[#This Row],[Fin corrigée si nuit]]-(1+deb_dimJF)),0))*24</f>
        <v>0</v>
      </c>
      <c r="T33"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4" spans="1:20" x14ac:dyDescent="0.3">
      <c r="A34" s="4"/>
      <c r="B34" s="1"/>
      <c r="C34" s="2"/>
      <c r="D34" s="2"/>
      <c r="E34" s="3"/>
      <c r="F34" s="3"/>
      <c r="G34" s="3"/>
      <c r="H34" s="3"/>
      <c r="I34" s="47">
        <f>0.1*(H_Dec[[#This Row],[Heures de nuit]]+IF(H_Dec[[#This Row],[majoration dim &amp; JF]]="non",0,H_Dec[[#This Row],[heures jour dimanche]]+H_Dec[[#This Row],[heures jour fériés]]))</f>
        <v>0</v>
      </c>
      <c r="J34" s="48">
        <f>(MOD(H_Dec[[#This Row],[Fin]]-H_Dec[[#This Row],[début]],1)-MOD(H_Dec[[#This Row],[PNP Fin]]-H_Dec[[#This Row],[PNP Début]],1))*24</f>
        <v>0</v>
      </c>
      <c r="K34" s="119" t="str">
        <f>IFERROR(VLOOKUP(H_Dec[[#This Row],[Service]],Codes[],4,0),"")</f>
        <v/>
      </c>
      <c r="L34" s="49">
        <f>IF(H_Dec[[#This Row],[PNP Début]]=0,0,IF(H_Dec[[#This Row],[PNP Début]]&lt;H_Dec[[#This Row],[début]],1,0)+H_Dec[[#This Row],[PNP Début]])</f>
        <v>0</v>
      </c>
      <c r="M34" s="50">
        <f>IF(H_Dec[[#This Row],[PNP Fin]]=0,0,IF(H_Dec[[#This Row],[PNP Fin]]&lt;H_Dec[[#This Row],[début]],1,0)+H_Dec[[#This Row],[PNP Fin]])</f>
        <v>0</v>
      </c>
      <c r="N34" s="50">
        <f>IF(H_Dec[[#This Row],[Fin]]&lt;H_Dec[[#This Row],[début]],1,0)+H_Dec[[#This Row],[Fin]]</f>
        <v>0</v>
      </c>
      <c r="O34" s="31">
        <f>IF(H_Dec[[#This Row],[Fin]]&lt;H_Dec[[#This Row],[début]],MAX(0,MIN(H_Dec[[#This Row],[Fin corrigée si nuit]],fin_nuit)-MAX(H_Dec[[#This Row],[début]],deb_nuit))*24,(MAX(deb_nuit,H_Dec[[#This Row],[Fin]])-MAX(deb_nuit,H_Dec[[#This Row],[début]])+MAX(MIN(fin_nuit-1,H_Dec[[#This Row],[Fin]])-MIN(fin_nuit-1,H_Dec[[#This Row],[début]]),0))*24)</f>
        <v>0</v>
      </c>
      <c r="P34" s="51">
        <f>(MAX(0,MIN(H_Dec[[#This Row],[Fin corrigée si nuit]],fin_nuit)-MAX(H_Dec[[#This Row],[début]],deb_nuit))-IF(H_Dec[[#This Row],[PNP Début]]=0,0,MIN(H_Dec[[#This Row],[PNP Fin corrigée]],fin_nuit)-MAX(H_Dec[[#This Row],[PNP Début corrigé]],deb_nuit)))*24</f>
        <v>0</v>
      </c>
      <c r="Q34" s="51">
        <f>(IF(WEEKDAY(H_Dec[[#This Row],[Date]],2)=7,MAX(0,MIN(fin_dimJF,H_Dec[[#This Row],[Fin corrigée si nuit]])-MAX(deb_dimJF,H_Dec[[#This Row],[début]])),0)+IF(WEEKDAY(H_Dec[[#This Row],[Date]],2)=6,MAX(0,H_Dec[[#This Row],[Fin corrigée si nuit]]-(1+deb_dimJF)),0))*24</f>
        <v>0</v>
      </c>
      <c r="R34"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4" s="51">
        <f>(IF(COUNTIF(JF,H_Dec[[#This Row],[Date]]),MAX(0,MIN(fin_dimJF,H_Dec[[#This Row],[Fin corrigée si nuit]])-MAX(deb_dimJF,H_Dec[[#This Row],[début]])),0)+IF(COUNTIF(JF,H_Dec[[#This Row],[Date]]+1),MAX(0,H_Dec[[#This Row],[Fin corrigée si nuit]]-(1+deb_dimJF)),0))*24</f>
        <v>0</v>
      </c>
      <c r="T34"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5" spans="1:20" x14ac:dyDescent="0.3">
      <c r="A35" s="4"/>
      <c r="B35" s="1"/>
      <c r="C35" s="2"/>
      <c r="D35" s="2"/>
      <c r="E35" s="3"/>
      <c r="F35" s="3"/>
      <c r="G35" s="3"/>
      <c r="H35" s="3"/>
      <c r="I35" s="47">
        <f>0.1*(H_Dec[[#This Row],[Heures de nuit]]+IF(H_Dec[[#This Row],[majoration dim &amp; JF]]="non",0,H_Dec[[#This Row],[heures jour dimanche]]+H_Dec[[#This Row],[heures jour fériés]]))</f>
        <v>0</v>
      </c>
      <c r="J35" s="48">
        <f>(MOD(H_Dec[[#This Row],[Fin]]-H_Dec[[#This Row],[début]],1)-MOD(H_Dec[[#This Row],[PNP Fin]]-H_Dec[[#This Row],[PNP Début]],1))*24</f>
        <v>0</v>
      </c>
      <c r="K35" s="119" t="str">
        <f>IFERROR(VLOOKUP(H_Dec[[#This Row],[Service]],Codes[],4,0),"")</f>
        <v/>
      </c>
      <c r="L35" s="49">
        <f>IF(H_Dec[[#This Row],[PNP Début]]=0,0,IF(H_Dec[[#This Row],[PNP Début]]&lt;H_Dec[[#This Row],[début]],1,0)+H_Dec[[#This Row],[PNP Début]])</f>
        <v>0</v>
      </c>
      <c r="M35" s="50">
        <f>IF(H_Dec[[#This Row],[PNP Fin]]=0,0,IF(H_Dec[[#This Row],[PNP Fin]]&lt;H_Dec[[#This Row],[début]],1,0)+H_Dec[[#This Row],[PNP Fin]])</f>
        <v>0</v>
      </c>
      <c r="N35" s="50">
        <f>IF(H_Dec[[#This Row],[Fin]]&lt;H_Dec[[#This Row],[début]],1,0)+H_Dec[[#This Row],[Fin]]</f>
        <v>0</v>
      </c>
      <c r="O35" s="31">
        <f>IF(H_Dec[[#This Row],[Fin]]&lt;H_Dec[[#This Row],[début]],MAX(0,MIN(H_Dec[[#This Row],[Fin corrigée si nuit]],fin_nuit)-MAX(H_Dec[[#This Row],[début]],deb_nuit))*24,(MAX(deb_nuit,H_Dec[[#This Row],[Fin]])-MAX(deb_nuit,H_Dec[[#This Row],[début]])+MAX(MIN(fin_nuit-1,H_Dec[[#This Row],[Fin]])-MIN(fin_nuit-1,H_Dec[[#This Row],[début]]),0))*24)</f>
        <v>0</v>
      </c>
      <c r="P35" s="51">
        <f>(MAX(0,MIN(H_Dec[[#This Row],[Fin corrigée si nuit]],fin_nuit)-MAX(H_Dec[[#This Row],[début]],deb_nuit))-IF(H_Dec[[#This Row],[PNP Début]]=0,0,MIN(H_Dec[[#This Row],[PNP Fin corrigée]],fin_nuit)-MAX(H_Dec[[#This Row],[PNP Début corrigé]],deb_nuit)))*24</f>
        <v>0</v>
      </c>
      <c r="Q35" s="51">
        <f>(IF(WEEKDAY(H_Dec[[#This Row],[Date]],2)=7,MAX(0,MIN(fin_dimJF,H_Dec[[#This Row],[Fin corrigée si nuit]])-MAX(deb_dimJF,H_Dec[[#This Row],[début]])),0)+IF(WEEKDAY(H_Dec[[#This Row],[Date]],2)=6,MAX(0,H_Dec[[#This Row],[Fin corrigée si nuit]]-(1+deb_dimJF)),0))*24</f>
        <v>0</v>
      </c>
      <c r="R35"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5" s="51">
        <f>(IF(COUNTIF(JF,H_Dec[[#This Row],[Date]]),MAX(0,MIN(fin_dimJF,H_Dec[[#This Row],[Fin corrigée si nuit]])-MAX(deb_dimJF,H_Dec[[#This Row],[début]])),0)+IF(COUNTIF(JF,H_Dec[[#This Row],[Date]]+1),MAX(0,H_Dec[[#This Row],[Fin corrigée si nuit]]-(1+deb_dimJF)),0))*24</f>
        <v>0</v>
      </c>
      <c r="T35"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6" spans="1:20" x14ac:dyDescent="0.3">
      <c r="A36" s="4"/>
      <c r="B36" s="1"/>
      <c r="C36" s="2"/>
      <c r="D36" s="2"/>
      <c r="E36" s="3"/>
      <c r="F36" s="3"/>
      <c r="G36" s="3"/>
      <c r="H36" s="3"/>
      <c r="I36" s="47">
        <f>0.1*(H_Dec[[#This Row],[Heures de nuit]]+IF(H_Dec[[#This Row],[majoration dim &amp; JF]]="non",0,H_Dec[[#This Row],[heures jour dimanche]]+H_Dec[[#This Row],[heures jour fériés]]))</f>
        <v>0</v>
      </c>
      <c r="J36" s="48">
        <f>(MOD(H_Dec[[#This Row],[Fin]]-H_Dec[[#This Row],[début]],1)-MOD(H_Dec[[#This Row],[PNP Fin]]-H_Dec[[#This Row],[PNP Début]],1))*24</f>
        <v>0</v>
      </c>
      <c r="K36" s="119" t="str">
        <f>IFERROR(VLOOKUP(H_Dec[[#This Row],[Service]],Codes[],4,0),"")</f>
        <v/>
      </c>
      <c r="L36" s="49">
        <f>IF(H_Dec[[#This Row],[PNP Début]]=0,0,IF(H_Dec[[#This Row],[PNP Début]]&lt;H_Dec[[#This Row],[début]],1,0)+H_Dec[[#This Row],[PNP Début]])</f>
        <v>0</v>
      </c>
      <c r="M36" s="50">
        <f>IF(H_Dec[[#This Row],[PNP Fin]]=0,0,IF(H_Dec[[#This Row],[PNP Fin]]&lt;H_Dec[[#This Row],[début]],1,0)+H_Dec[[#This Row],[PNP Fin]])</f>
        <v>0</v>
      </c>
      <c r="N36" s="50">
        <f>IF(H_Dec[[#This Row],[Fin]]&lt;H_Dec[[#This Row],[début]],1,0)+H_Dec[[#This Row],[Fin]]</f>
        <v>0</v>
      </c>
      <c r="O36" s="31">
        <f>IF(H_Dec[[#This Row],[Fin]]&lt;H_Dec[[#This Row],[début]],MAX(0,MIN(H_Dec[[#This Row],[Fin corrigée si nuit]],fin_nuit)-MAX(H_Dec[[#This Row],[début]],deb_nuit))*24,(MAX(deb_nuit,H_Dec[[#This Row],[Fin]])-MAX(deb_nuit,H_Dec[[#This Row],[début]])+MAX(MIN(fin_nuit-1,H_Dec[[#This Row],[Fin]])-MIN(fin_nuit-1,H_Dec[[#This Row],[début]]),0))*24)</f>
        <v>0</v>
      </c>
      <c r="P36" s="51">
        <f>(MAX(0,MIN(H_Dec[[#This Row],[Fin corrigée si nuit]],fin_nuit)-MAX(H_Dec[[#This Row],[début]],deb_nuit))-IF(H_Dec[[#This Row],[PNP Début]]=0,0,MIN(H_Dec[[#This Row],[PNP Fin corrigée]],fin_nuit)-MAX(H_Dec[[#This Row],[PNP Début corrigé]],deb_nuit)))*24</f>
        <v>0</v>
      </c>
      <c r="Q36" s="51">
        <f>(IF(WEEKDAY(H_Dec[[#This Row],[Date]],2)=7,MAX(0,MIN(fin_dimJF,H_Dec[[#This Row],[Fin corrigée si nuit]])-MAX(deb_dimJF,H_Dec[[#This Row],[début]])),0)+IF(WEEKDAY(H_Dec[[#This Row],[Date]],2)=6,MAX(0,H_Dec[[#This Row],[Fin corrigée si nuit]]-(1+deb_dimJF)),0))*24</f>
        <v>0</v>
      </c>
      <c r="R36"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6" s="51">
        <f>(IF(COUNTIF(JF,H_Dec[[#This Row],[Date]]),MAX(0,MIN(fin_dimJF,H_Dec[[#This Row],[Fin corrigée si nuit]])-MAX(deb_dimJF,H_Dec[[#This Row],[début]])),0)+IF(COUNTIF(JF,H_Dec[[#This Row],[Date]]+1),MAX(0,H_Dec[[#This Row],[Fin corrigée si nuit]]-(1+deb_dimJF)),0))*24</f>
        <v>0</v>
      </c>
      <c r="T36"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7" spans="1:20" x14ac:dyDescent="0.3">
      <c r="A37" s="4"/>
      <c r="B37" s="1"/>
      <c r="C37" s="2"/>
      <c r="D37" s="2"/>
      <c r="E37" s="3"/>
      <c r="F37" s="3"/>
      <c r="G37" s="3"/>
      <c r="H37" s="3"/>
      <c r="I37" s="47">
        <f>0.1*(H_Dec[[#This Row],[Heures de nuit]]+IF(H_Dec[[#This Row],[majoration dim &amp; JF]]="non",0,H_Dec[[#This Row],[heures jour dimanche]]+H_Dec[[#This Row],[heures jour fériés]]))</f>
        <v>0</v>
      </c>
      <c r="J37" s="48">
        <f>(MOD(H_Dec[[#This Row],[Fin]]-H_Dec[[#This Row],[début]],1)-MOD(H_Dec[[#This Row],[PNP Fin]]-H_Dec[[#This Row],[PNP Début]],1))*24</f>
        <v>0</v>
      </c>
      <c r="K37" s="119" t="str">
        <f>IFERROR(VLOOKUP(H_Dec[[#This Row],[Service]],Codes[],4,0),"")</f>
        <v/>
      </c>
      <c r="L37" s="49">
        <f>IF(H_Dec[[#This Row],[PNP Début]]=0,0,IF(H_Dec[[#This Row],[PNP Début]]&lt;H_Dec[[#This Row],[début]],1,0)+H_Dec[[#This Row],[PNP Début]])</f>
        <v>0</v>
      </c>
      <c r="M37" s="50">
        <f>IF(H_Dec[[#This Row],[PNP Fin]]=0,0,IF(H_Dec[[#This Row],[PNP Fin]]&lt;H_Dec[[#This Row],[début]],1,0)+H_Dec[[#This Row],[PNP Fin]])</f>
        <v>0</v>
      </c>
      <c r="N37" s="50">
        <f>IF(H_Dec[[#This Row],[Fin]]&lt;H_Dec[[#This Row],[début]],1,0)+H_Dec[[#This Row],[Fin]]</f>
        <v>0</v>
      </c>
      <c r="O37" s="31">
        <f>IF(H_Dec[[#This Row],[Fin]]&lt;H_Dec[[#This Row],[début]],MAX(0,MIN(H_Dec[[#This Row],[Fin corrigée si nuit]],fin_nuit)-MAX(H_Dec[[#This Row],[début]],deb_nuit))*24,(MAX(deb_nuit,H_Dec[[#This Row],[Fin]])-MAX(deb_nuit,H_Dec[[#This Row],[début]])+MAX(MIN(fin_nuit-1,H_Dec[[#This Row],[Fin]])-MIN(fin_nuit-1,H_Dec[[#This Row],[début]]),0))*24)</f>
        <v>0</v>
      </c>
      <c r="P37" s="51">
        <f>(MAX(0,MIN(H_Dec[[#This Row],[Fin corrigée si nuit]],fin_nuit)-MAX(H_Dec[[#This Row],[début]],deb_nuit))-IF(H_Dec[[#This Row],[PNP Début]]=0,0,MIN(H_Dec[[#This Row],[PNP Fin corrigée]],fin_nuit)-MAX(H_Dec[[#This Row],[PNP Début corrigé]],deb_nuit)))*24</f>
        <v>0</v>
      </c>
      <c r="Q37" s="51">
        <f>(IF(WEEKDAY(H_Dec[[#This Row],[Date]],2)=7,MAX(0,MIN(fin_dimJF,H_Dec[[#This Row],[Fin corrigée si nuit]])-MAX(deb_dimJF,H_Dec[[#This Row],[début]])),0)+IF(WEEKDAY(H_Dec[[#This Row],[Date]],2)=6,MAX(0,H_Dec[[#This Row],[Fin corrigée si nuit]]-(1+deb_dimJF)),0))*24</f>
        <v>0</v>
      </c>
      <c r="R37"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7" s="51">
        <f>(IF(COUNTIF(JF,H_Dec[[#This Row],[Date]]),MAX(0,MIN(fin_dimJF,H_Dec[[#This Row],[Fin corrigée si nuit]])-MAX(deb_dimJF,H_Dec[[#This Row],[début]])),0)+IF(COUNTIF(JF,H_Dec[[#This Row],[Date]]+1),MAX(0,H_Dec[[#This Row],[Fin corrigée si nuit]]-(1+deb_dimJF)),0))*24</f>
        <v>0</v>
      </c>
      <c r="T37"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8" spans="1:20" x14ac:dyDescent="0.3">
      <c r="A38" s="4"/>
      <c r="B38" s="1"/>
      <c r="C38" s="2"/>
      <c r="D38" s="2"/>
      <c r="E38" s="3"/>
      <c r="F38" s="3"/>
      <c r="G38" s="3"/>
      <c r="H38" s="3"/>
      <c r="I38" s="47">
        <f>0.1*(H_Dec[[#This Row],[Heures de nuit]]+IF(H_Dec[[#This Row],[majoration dim &amp; JF]]="non",0,H_Dec[[#This Row],[heures jour dimanche]]+H_Dec[[#This Row],[heures jour fériés]]))</f>
        <v>0</v>
      </c>
      <c r="J38" s="48">
        <f>(MOD(H_Dec[[#This Row],[Fin]]-H_Dec[[#This Row],[début]],1)-MOD(H_Dec[[#This Row],[PNP Fin]]-H_Dec[[#This Row],[PNP Début]],1))*24</f>
        <v>0</v>
      </c>
      <c r="K38" s="119" t="str">
        <f>IFERROR(VLOOKUP(H_Dec[[#This Row],[Service]],Codes[],4,0),"")</f>
        <v/>
      </c>
      <c r="L38" s="49">
        <f>IF(H_Dec[[#This Row],[PNP Début]]=0,0,IF(H_Dec[[#This Row],[PNP Début]]&lt;H_Dec[[#This Row],[début]],1,0)+H_Dec[[#This Row],[PNP Début]])</f>
        <v>0</v>
      </c>
      <c r="M38" s="50">
        <f>IF(H_Dec[[#This Row],[PNP Fin]]=0,0,IF(H_Dec[[#This Row],[PNP Fin]]&lt;H_Dec[[#This Row],[début]],1,0)+H_Dec[[#This Row],[PNP Fin]])</f>
        <v>0</v>
      </c>
      <c r="N38" s="50">
        <f>IF(H_Dec[[#This Row],[Fin]]&lt;H_Dec[[#This Row],[début]],1,0)+H_Dec[[#This Row],[Fin]]</f>
        <v>0</v>
      </c>
      <c r="O38" s="31">
        <f>IF(H_Dec[[#This Row],[Fin]]&lt;H_Dec[[#This Row],[début]],MAX(0,MIN(H_Dec[[#This Row],[Fin corrigée si nuit]],fin_nuit)-MAX(H_Dec[[#This Row],[début]],deb_nuit))*24,(MAX(deb_nuit,H_Dec[[#This Row],[Fin]])-MAX(deb_nuit,H_Dec[[#This Row],[début]])+MAX(MIN(fin_nuit-1,H_Dec[[#This Row],[Fin]])-MIN(fin_nuit-1,H_Dec[[#This Row],[début]]),0))*24)</f>
        <v>0</v>
      </c>
      <c r="P38" s="51">
        <f>(MAX(0,MIN(H_Dec[[#This Row],[Fin corrigée si nuit]],fin_nuit)-MAX(H_Dec[[#This Row],[début]],deb_nuit))-IF(H_Dec[[#This Row],[PNP Début]]=0,0,MIN(H_Dec[[#This Row],[PNP Fin corrigée]],fin_nuit)-MAX(H_Dec[[#This Row],[PNP Début corrigé]],deb_nuit)))*24</f>
        <v>0</v>
      </c>
      <c r="Q38" s="51">
        <f>(IF(WEEKDAY(H_Dec[[#This Row],[Date]],2)=7,MAX(0,MIN(fin_dimJF,H_Dec[[#This Row],[Fin corrigée si nuit]])-MAX(deb_dimJF,H_Dec[[#This Row],[début]])),0)+IF(WEEKDAY(H_Dec[[#This Row],[Date]],2)=6,MAX(0,H_Dec[[#This Row],[Fin corrigée si nuit]]-(1+deb_dimJF)),0))*24</f>
        <v>0</v>
      </c>
      <c r="R38"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8" s="51">
        <f>(IF(COUNTIF(JF,H_Dec[[#This Row],[Date]]),MAX(0,MIN(fin_dimJF,H_Dec[[#This Row],[Fin corrigée si nuit]])-MAX(deb_dimJF,H_Dec[[#This Row],[début]])),0)+IF(COUNTIF(JF,H_Dec[[#This Row],[Date]]+1),MAX(0,H_Dec[[#This Row],[Fin corrigée si nuit]]-(1+deb_dimJF)),0))*24</f>
        <v>0</v>
      </c>
      <c r="T38"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39" spans="1:20" x14ac:dyDescent="0.3">
      <c r="A39" s="4"/>
      <c r="B39" s="1"/>
      <c r="C39" s="2"/>
      <c r="D39" s="2"/>
      <c r="E39" s="3"/>
      <c r="F39" s="3"/>
      <c r="G39" s="3"/>
      <c r="H39" s="3"/>
      <c r="I39" s="47">
        <f>0.1*(H_Dec[[#This Row],[Heures de nuit]]+IF(H_Dec[[#This Row],[majoration dim &amp; JF]]="non",0,H_Dec[[#This Row],[heures jour dimanche]]+H_Dec[[#This Row],[heures jour fériés]]))</f>
        <v>0</v>
      </c>
      <c r="J39" s="48">
        <f>(MOD(H_Dec[[#This Row],[Fin]]-H_Dec[[#This Row],[début]],1)-MOD(H_Dec[[#This Row],[PNP Fin]]-H_Dec[[#This Row],[PNP Début]],1))*24</f>
        <v>0</v>
      </c>
      <c r="K39" s="119" t="str">
        <f>IFERROR(VLOOKUP(H_Dec[[#This Row],[Service]],Codes[],4,0),"")</f>
        <v/>
      </c>
      <c r="L39" s="49">
        <f>IF(H_Dec[[#This Row],[PNP Début]]=0,0,IF(H_Dec[[#This Row],[PNP Début]]&lt;H_Dec[[#This Row],[début]],1,0)+H_Dec[[#This Row],[PNP Début]])</f>
        <v>0</v>
      </c>
      <c r="M39" s="50">
        <f>IF(H_Dec[[#This Row],[PNP Fin]]=0,0,IF(H_Dec[[#This Row],[PNP Fin]]&lt;H_Dec[[#This Row],[début]],1,0)+H_Dec[[#This Row],[PNP Fin]])</f>
        <v>0</v>
      </c>
      <c r="N39" s="50">
        <f>IF(H_Dec[[#This Row],[Fin]]&lt;H_Dec[[#This Row],[début]],1,0)+H_Dec[[#This Row],[Fin]]</f>
        <v>0</v>
      </c>
      <c r="O39" s="31">
        <f>IF(H_Dec[[#This Row],[Fin]]&lt;H_Dec[[#This Row],[début]],MAX(0,MIN(H_Dec[[#This Row],[Fin corrigée si nuit]],fin_nuit)-MAX(H_Dec[[#This Row],[début]],deb_nuit))*24,(MAX(deb_nuit,H_Dec[[#This Row],[Fin]])-MAX(deb_nuit,H_Dec[[#This Row],[début]])+MAX(MIN(fin_nuit-1,H_Dec[[#This Row],[Fin]])-MIN(fin_nuit-1,H_Dec[[#This Row],[début]]),0))*24)</f>
        <v>0</v>
      </c>
      <c r="P39" s="51">
        <f>(MAX(0,MIN(H_Dec[[#This Row],[Fin corrigée si nuit]],fin_nuit)-MAX(H_Dec[[#This Row],[début]],deb_nuit))-IF(H_Dec[[#This Row],[PNP Début]]=0,0,MIN(H_Dec[[#This Row],[PNP Fin corrigée]],fin_nuit)-MAX(H_Dec[[#This Row],[PNP Début corrigé]],deb_nuit)))*24</f>
        <v>0</v>
      </c>
      <c r="Q39" s="51">
        <f>(IF(WEEKDAY(H_Dec[[#This Row],[Date]],2)=7,MAX(0,MIN(fin_dimJF,H_Dec[[#This Row],[Fin corrigée si nuit]])-MAX(deb_dimJF,H_Dec[[#This Row],[début]])),0)+IF(WEEKDAY(H_Dec[[#This Row],[Date]],2)=6,MAX(0,H_Dec[[#This Row],[Fin corrigée si nuit]]-(1+deb_dimJF)),0))*24</f>
        <v>0</v>
      </c>
      <c r="R39"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39" s="51">
        <f>(IF(COUNTIF(JF,H_Dec[[#This Row],[Date]]),MAX(0,MIN(fin_dimJF,H_Dec[[#This Row],[Fin corrigée si nuit]])-MAX(deb_dimJF,H_Dec[[#This Row],[début]])),0)+IF(COUNTIF(JF,H_Dec[[#This Row],[Date]]+1),MAX(0,H_Dec[[#This Row],[Fin corrigée si nuit]]-(1+deb_dimJF)),0))*24</f>
        <v>0</v>
      </c>
      <c r="T39"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0" spans="1:20" x14ac:dyDescent="0.3">
      <c r="A40" s="4"/>
      <c r="B40" s="1"/>
      <c r="C40" s="2"/>
      <c r="D40" s="2"/>
      <c r="E40" s="3"/>
      <c r="F40" s="3"/>
      <c r="G40" s="3"/>
      <c r="H40" s="3"/>
      <c r="I40" s="47">
        <f>0.1*(H_Dec[[#This Row],[Heures de nuit]]+IF(H_Dec[[#This Row],[majoration dim &amp; JF]]="non",0,H_Dec[[#This Row],[heures jour dimanche]]+H_Dec[[#This Row],[heures jour fériés]]))</f>
        <v>0</v>
      </c>
      <c r="J40" s="48">
        <f>(MOD(H_Dec[[#This Row],[Fin]]-H_Dec[[#This Row],[début]],1)-MOD(H_Dec[[#This Row],[PNP Fin]]-H_Dec[[#This Row],[PNP Début]],1))*24</f>
        <v>0</v>
      </c>
      <c r="K40" s="119" t="str">
        <f>IFERROR(VLOOKUP(H_Dec[[#This Row],[Service]],Codes[],4,0),"")</f>
        <v/>
      </c>
      <c r="L40" s="49">
        <f>IF(H_Dec[[#This Row],[PNP Début]]=0,0,IF(H_Dec[[#This Row],[PNP Début]]&lt;H_Dec[[#This Row],[début]],1,0)+H_Dec[[#This Row],[PNP Début]])</f>
        <v>0</v>
      </c>
      <c r="M40" s="50">
        <f>IF(H_Dec[[#This Row],[PNP Fin]]=0,0,IF(H_Dec[[#This Row],[PNP Fin]]&lt;H_Dec[[#This Row],[début]],1,0)+H_Dec[[#This Row],[PNP Fin]])</f>
        <v>0</v>
      </c>
      <c r="N40" s="50">
        <f>IF(H_Dec[[#This Row],[Fin]]&lt;H_Dec[[#This Row],[début]],1,0)+H_Dec[[#This Row],[Fin]]</f>
        <v>0</v>
      </c>
      <c r="O40" s="31">
        <f>IF(H_Dec[[#This Row],[Fin]]&lt;H_Dec[[#This Row],[début]],MAX(0,MIN(H_Dec[[#This Row],[Fin corrigée si nuit]],fin_nuit)-MAX(H_Dec[[#This Row],[début]],deb_nuit))*24,(MAX(deb_nuit,H_Dec[[#This Row],[Fin]])-MAX(deb_nuit,H_Dec[[#This Row],[début]])+MAX(MIN(fin_nuit-1,H_Dec[[#This Row],[Fin]])-MIN(fin_nuit-1,H_Dec[[#This Row],[début]]),0))*24)</f>
        <v>0</v>
      </c>
      <c r="P40" s="51">
        <f>(MAX(0,MIN(H_Dec[[#This Row],[Fin corrigée si nuit]],fin_nuit)-MAX(H_Dec[[#This Row],[début]],deb_nuit))-IF(H_Dec[[#This Row],[PNP Début]]=0,0,MIN(H_Dec[[#This Row],[PNP Fin corrigée]],fin_nuit)-MAX(H_Dec[[#This Row],[PNP Début corrigé]],deb_nuit)))*24</f>
        <v>0</v>
      </c>
      <c r="Q40" s="51">
        <f>(IF(WEEKDAY(H_Dec[[#This Row],[Date]],2)=7,MAX(0,MIN(fin_dimJF,H_Dec[[#This Row],[Fin corrigée si nuit]])-MAX(deb_dimJF,H_Dec[[#This Row],[début]])),0)+IF(WEEKDAY(H_Dec[[#This Row],[Date]],2)=6,MAX(0,H_Dec[[#This Row],[Fin corrigée si nuit]]-(1+deb_dimJF)),0))*24</f>
        <v>0</v>
      </c>
      <c r="R40"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0" s="51">
        <f>(IF(COUNTIF(JF,H_Dec[[#This Row],[Date]]),MAX(0,MIN(fin_dimJF,H_Dec[[#This Row],[Fin corrigée si nuit]])-MAX(deb_dimJF,H_Dec[[#This Row],[début]])),0)+IF(COUNTIF(JF,H_Dec[[#This Row],[Date]]+1),MAX(0,H_Dec[[#This Row],[Fin corrigée si nuit]]-(1+deb_dimJF)),0))*24</f>
        <v>0</v>
      </c>
      <c r="T40"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1" spans="1:20" x14ac:dyDescent="0.3">
      <c r="A41" s="4"/>
      <c r="B41" s="1"/>
      <c r="C41" s="2"/>
      <c r="D41" s="2"/>
      <c r="E41" s="3"/>
      <c r="F41" s="3"/>
      <c r="G41" s="3"/>
      <c r="H41" s="3"/>
      <c r="I41" s="47">
        <f>0.1*(H_Dec[[#This Row],[Heures de nuit]]+IF(H_Dec[[#This Row],[majoration dim &amp; JF]]="non",0,H_Dec[[#This Row],[heures jour dimanche]]+H_Dec[[#This Row],[heures jour fériés]]))</f>
        <v>0</v>
      </c>
      <c r="J41" s="48">
        <f>(MOD(H_Dec[[#This Row],[Fin]]-H_Dec[[#This Row],[début]],1)-MOD(H_Dec[[#This Row],[PNP Fin]]-H_Dec[[#This Row],[PNP Début]],1))*24</f>
        <v>0</v>
      </c>
      <c r="K41" s="119" t="str">
        <f>IFERROR(VLOOKUP(H_Dec[[#This Row],[Service]],Codes[],4,0),"")</f>
        <v/>
      </c>
      <c r="L41" s="49">
        <f>IF(H_Dec[[#This Row],[PNP Début]]=0,0,IF(H_Dec[[#This Row],[PNP Début]]&lt;H_Dec[[#This Row],[début]],1,0)+H_Dec[[#This Row],[PNP Début]])</f>
        <v>0</v>
      </c>
      <c r="M41" s="50">
        <f>IF(H_Dec[[#This Row],[PNP Fin]]=0,0,IF(H_Dec[[#This Row],[PNP Fin]]&lt;H_Dec[[#This Row],[début]],1,0)+H_Dec[[#This Row],[PNP Fin]])</f>
        <v>0</v>
      </c>
      <c r="N41" s="50">
        <f>IF(H_Dec[[#This Row],[Fin]]&lt;H_Dec[[#This Row],[début]],1,0)+H_Dec[[#This Row],[Fin]]</f>
        <v>0</v>
      </c>
      <c r="O41" s="31">
        <f>IF(H_Dec[[#This Row],[Fin]]&lt;H_Dec[[#This Row],[début]],MAX(0,MIN(H_Dec[[#This Row],[Fin corrigée si nuit]],fin_nuit)-MAX(H_Dec[[#This Row],[début]],deb_nuit))*24,(MAX(deb_nuit,H_Dec[[#This Row],[Fin]])-MAX(deb_nuit,H_Dec[[#This Row],[début]])+MAX(MIN(fin_nuit-1,H_Dec[[#This Row],[Fin]])-MIN(fin_nuit-1,H_Dec[[#This Row],[début]]),0))*24)</f>
        <v>0</v>
      </c>
      <c r="P41" s="51">
        <f>(MAX(0,MIN(H_Dec[[#This Row],[Fin corrigée si nuit]],fin_nuit)-MAX(H_Dec[[#This Row],[début]],deb_nuit))-IF(H_Dec[[#This Row],[PNP Début]]=0,0,MIN(H_Dec[[#This Row],[PNP Fin corrigée]],fin_nuit)-MAX(H_Dec[[#This Row],[PNP Début corrigé]],deb_nuit)))*24</f>
        <v>0</v>
      </c>
      <c r="Q41" s="51">
        <f>(IF(WEEKDAY(H_Dec[[#This Row],[Date]],2)=7,MAX(0,MIN(fin_dimJF,H_Dec[[#This Row],[Fin corrigée si nuit]])-MAX(deb_dimJF,H_Dec[[#This Row],[début]])),0)+IF(WEEKDAY(H_Dec[[#This Row],[Date]],2)=6,MAX(0,H_Dec[[#This Row],[Fin corrigée si nuit]]-(1+deb_dimJF)),0))*24</f>
        <v>0</v>
      </c>
      <c r="R41"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1" s="51">
        <f>(IF(COUNTIF(JF,H_Dec[[#This Row],[Date]]),MAX(0,MIN(fin_dimJF,H_Dec[[#This Row],[Fin corrigée si nuit]])-MAX(deb_dimJF,H_Dec[[#This Row],[début]])),0)+IF(COUNTIF(JF,H_Dec[[#This Row],[Date]]+1),MAX(0,H_Dec[[#This Row],[Fin corrigée si nuit]]-(1+deb_dimJF)),0))*24</f>
        <v>0</v>
      </c>
      <c r="T41"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2" spans="1:20" x14ac:dyDescent="0.3">
      <c r="A42" s="4"/>
      <c r="B42" s="1"/>
      <c r="C42" s="2"/>
      <c r="D42" s="2"/>
      <c r="E42" s="3"/>
      <c r="F42" s="3"/>
      <c r="G42" s="3"/>
      <c r="H42" s="3"/>
      <c r="I42" s="47">
        <f>0.1*(H_Dec[[#This Row],[Heures de nuit]]+IF(H_Dec[[#This Row],[majoration dim &amp; JF]]="non",0,H_Dec[[#This Row],[heures jour dimanche]]+H_Dec[[#This Row],[heures jour fériés]]))</f>
        <v>0</v>
      </c>
      <c r="J42" s="48">
        <f>(MOD(H_Dec[[#This Row],[Fin]]-H_Dec[[#This Row],[début]],1)-MOD(H_Dec[[#This Row],[PNP Fin]]-H_Dec[[#This Row],[PNP Début]],1))*24</f>
        <v>0</v>
      </c>
      <c r="K42" s="119" t="str">
        <f>IFERROR(VLOOKUP(H_Dec[[#This Row],[Service]],Codes[],4,0),"")</f>
        <v/>
      </c>
      <c r="L42" s="49">
        <f>IF(H_Dec[[#This Row],[PNP Début]]=0,0,IF(H_Dec[[#This Row],[PNP Début]]&lt;H_Dec[[#This Row],[début]],1,0)+H_Dec[[#This Row],[PNP Début]])</f>
        <v>0</v>
      </c>
      <c r="M42" s="50">
        <f>IF(H_Dec[[#This Row],[PNP Fin]]=0,0,IF(H_Dec[[#This Row],[PNP Fin]]&lt;H_Dec[[#This Row],[début]],1,0)+H_Dec[[#This Row],[PNP Fin]])</f>
        <v>0</v>
      </c>
      <c r="N42" s="50">
        <f>IF(H_Dec[[#This Row],[Fin]]&lt;H_Dec[[#This Row],[début]],1,0)+H_Dec[[#This Row],[Fin]]</f>
        <v>0</v>
      </c>
      <c r="O42" s="31">
        <f>IF(H_Dec[[#This Row],[Fin]]&lt;H_Dec[[#This Row],[début]],MAX(0,MIN(H_Dec[[#This Row],[Fin corrigée si nuit]],fin_nuit)-MAX(H_Dec[[#This Row],[début]],deb_nuit))*24,(MAX(deb_nuit,H_Dec[[#This Row],[Fin]])-MAX(deb_nuit,H_Dec[[#This Row],[début]])+MAX(MIN(fin_nuit-1,H_Dec[[#This Row],[Fin]])-MIN(fin_nuit-1,H_Dec[[#This Row],[début]]),0))*24)</f>
        <v>0</v>
      </c>
      <c r="P42" s="51">
        <f>(MAX(0,MIN(H_Dec[[#This Row],[Fin corrigée si nuit]],fin_nuit)-MAX(H_Dec[[#This Row],[début]],deb_nuit))-IF(H_Dec[[#This Row],[PNP Début]]=0,0,MIN(H_Dec[[#This Row],[PNP Fin corrigée]],fin_nuit)-MAX(H_Dec[[#This Row],[PNP Début corrigé]],deb_nuit)))*24</f>
        <v>0</v>
      </c>
      <c r="Q42" s="51">
        <f>(IF(WEEKDAY(H_Dec[[#This Row],[Date]],2)=7,MAX(0,MIN(fin_dimJF,H_Dec[[#This Row],[Fin corrigée si nuit]])-MAX(deb_dimJF,H_Dec[[#This Row],[début]])),0)+IF(WEEKDAY(H_Dec[[#This Row],[Date]],2)=6,MAX(0,H_Dec[[#This Row],[Fin corrigée si nuit]]-(1+deb_dimJF)),0))*24</f>
        <v>0</v>
      </c>
      <c r="R42"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2" s="51">
        <f>(IF(COUNTIF(JF,H_Dec[[#This Row],[Date]]),MAX(0,MIN(fin_dimJF,H_Dec[[#This Row],[Fin corrigée si nuit]])-MAX(deb_dimJF,H_Dec[[#This Row],[début]])),0)+IF(COUNTIF(JF,H_Dec[[#This Row],[Date]]+1),MAX(0,H_Dec[[#This Row],[Fin corrigée si nuit]]-(1+deb_dimJF)),0))*24</f>
        <v>0</v>
      </c>
      <c r="T42"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3" spans="1:20" x14ac:dyDescent="0.3">
      <c r="A43" s="4"/>
      <c r="B43" s="1"/>
      <c r="C43" s="2"/>
      <c r="D43" s="2"/>
      <c r="E43" s="3"/>
      <c r="F43" s="3"/>
      <c r="G43" s="3"/>
      <c r="H43" s="3"/>
      <c r="I43" s="47">
        <f>0.1*(H_Dec[[#This Row],[Heures de nuit]]+IF(H_Dec[[#This Row],[majoration dim &amp; JF]]="non",0,H_Dec[[#This Row],[heures jour dimanche]]+H_Dec[[#This Row],[heures jour fériés]]))</f>
        <v>0</v>
      </c>
      <c r="J43" s="48">
        <f>(MOD(H_Dec[[#This Row],[Fin]]-H_Dec[[#This Row],[début]],1)-MOD(H_Dec[[#This Row],[PNP Fin]]-H_Dec[[#This Row],[PNP Début]],1))*24</f>
        <v>0</v>
      </c>
      <c r="K43" s="119" t="str">
        <f>IFERROR(VLOOKUP(H_Dec[[#This Row],[Service]],Codes[],4,0),"")</f>
        <v/>
      </c>
      <c r="L43" s="49">
        <f>IF(H_Dec[[#This Row],[PNP Début]]=0,0,IF(H_Dec[[#This Row],[PNP Début]]&lt;H_Dec[[#This Row],[début]],1,0)+H_Dec[[#This Row],[PNP Début]])</f>
        <v>0</v>
      </c>
      <c r="M43" s="50">
        <f>IF(H_Dec[[#This Row],[PNP Fin]]=0,0,IF(H_Dec[[#This Row],[PNP Fin]]&lt;H_Dec[[#This Row],[début]],1,0)+H_Dec[[#This Row],[PNP Fin]])</f>
        <v>0</v>
      </c>
      <c r="N43" s="50">
        <f>IF(H_Dec[[#This Row],[Fin]]&lt;H_Dec[[#This Row],[début]],1,0)+H_Dec[[#This Row],[Fin]]</f>
        <v>0</v>
      </c>
      <c r="O43" s="31">
        <f>IF(H_Dec[[#This Row],[Fin]]&lt;H_Dec[[#This Row],[début]],MAX(0,MIN(H_Dec[[#This Row],[Fin corrigée si nuit]],fin_nuit)-MAX(H_Dec[[#This Row],[début]],deb_nuit))*24,(MAX(deb_nuit,H_Dec[[#This Row],[Fin]])-MAX(deb_nuit,H_Dec[[#This Row],[début]])+MAX(MIN(fin_nuit-1,H_Dec[[#This Row],[Fin]])-MIN(fin_nuit-1,H_Dec[[#This Row],[début]]),0))*24)</f>
        <v>0</v>
      </c>
      <c r="P43" s="51">
        <f>(MAX(0,MIN(H_Dec[[#This Row],[Fin corrigée si nuit]],fin_nuit)-MAX(H_Dec[[#This Row],[début]],deb_nuit))-IF(H_Dec[[#This Row],[PNP Début]]=0,0,MIN(H_Dec[[#This Row],[PNP Fin corrigée]],fin_nuit)-MAX(H_Dec[[#This Row],[PNP Début corrigé]],deb_nuit)))*24</f>
        <v>0</v>
      </c>
      <c r="Q43" s="51">
        <f>(IF(WEEKDAY(H_Dec[[#This Row],[Date]],2)=7,MAX(0,MIN(fin_dimJF,H_Dec[[#This Row],[Fin corrigée si nuit]])-MAX(deb_dimJF,H_Dec[[#This Row],[début]])),0)+IF(WEEKDAY(H_Dec[[#This Row],[Date]],2)=6,MAX(0,H_Dec[[#This Row],[Fin corrigée si nuit]]-(1+deb_dimJF)),0))*24</f>
        <v>0</v>
      </c>
      <c r="R43"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3" s="51">
        <f>(IF(COUNTIF(JF,H_Dec[[#This Row],[Date]]),MAX(0,MIN(fin_dimJF,H_Dec[[#This Row],[Fin corrigée si nuit]])-MAX(deb_dimJF,H_Dec[[#This Row],[début]])),0)+IF(COUNTIF(JF,H_Dec[[#This Row],[Date]]+1),MAX(0,H_Dec[[#This Row],[Fin corrigée si nuit]]-(1+deb_dimJF)),0))*24</f>
        <v>0</v>
      </c>
      <c r="T43"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4" spans="1:20" x14ac:dyDescent="0.3">
      <c r="A44" s="4"/>
      <c r="B44" s="1"/>
      <c r="C44" s="2"/>
      <c r="D44" s="2"/>
      <c r="E44" s="3"/>
      <c r="F44" s="3"/>
      <c r="G44" s="3"/>
      <c r="H44" s="3"/>
      <c r="I44" s="47">
        <f>0.1*(H_Dec[[#This Row],[Heures de nuit]]+IF(H_Dec[[#This Row],[majoration dim &amp; JF]]="non",0,H_Dec[[#This Row],[heures jour dimanche]]+H_Dec[[#This Row],[heures jour fériés]]))</f>
        <v>0</v>
      </c>
      <c r="J44" s="48">
        <f>(MOD(H_Dec[[#This Row],[Fin]]-H_Dec[[#This Row],[début]],1)-MOD(H_Dec[[#This Row],[PNP Fin]]-H_Dec[[#This Row],[PNP Début]],1))*24</f>
        <v>0</v>
      </c>
      <c r="K44" s="119" t="str">
        <f>IFERROR(VLOOKUP(H_Dec[[#This Row],[Service]],Codes[],4,0),"")</f>
        <v/>
      </c>
      <c r="L44" s="49">
        <f>IF(H_Dec[[#This Row],[PNP Début]]=0,0,IF(H_Dec[[#This Row],[PNP Début]]&lt;H_Dec[[#This Row],[début]],1,0)+H_Dec[[#This Row],[PNP Début]])</f>
        <v>0</v>
      </c>
      <c r="M44" s="50">
        <f>IF(H_Dec[[#This Row],[PNP Fin]]=0,0,IF(H_Dec[[#This Row],[PNP Fin]]&lt;H_Dec[[#This Row],[début]],1,0)+H_Dec[[#This Row],[PNP Fin]])</f>
        <v>0</v>
      </c>
      <c r="N44" s="50">
        <f>IF(H_Dec[[#This Row],[Fin]]&lt;H_Dec[[#This Row],[début]],1,0)+H_Dec[[#This Row],[Fin]]</f>
        <v>0</v>
      </c>
      <c r="O44" s="31">
        <f>IF(H_Dec[[#This Row],[Fin]]&lt;H_Dec[[#This Row],[début]],MAX(0,MIN(H_Dec[[#This Row],[Fin corrigée si nuit]],fin_nuit)-MAX(H_Dec[[#This Row],[début]],deb_nuit))*24,(MAX(deb_nuit,H_Dec[[#This Row],[Fin]])-MAX(deb_nuit,H_Dec[[#This Row],[début]])+MAX(MIN(fin_nuit-1,H_Dec[[#This Row],[Fin]])-MIN(fin_nuit-1,H_Dec[[#This Row],[début]]),0))*24)</f>
        <v>0</v>
      </c>
      <c r="P44" s="51">
        <f>(MAX(0,MIN(H_Dec[[#This Row],[Fin corrigée si nuit]],fin_nuit)-MAX(H_Dec[[#This Row],[début]],deb_nuit))-IF(H_Dec[[#This Row],[PNP Début]]=0,0,MIN(H_Dec[[#This Row],[PNP Fin corrigée]],fin_nuit)-MAX(H_Dec[[#This Row],[PNP Début corrigé]],deb_nuit)))*24</f>
        <v>0</v>
      </c>
      <c r="Q44" s="51">
        <f>(IF(WEEKDAY(H_Dec[[#This Row],[Date]],2)=7,MAX(0,MIN(fin_dimJF,H_Dec[[#This Row],[Fin corrigée si nuit]])-MAX(deb_dimJF,H_Dec[[#This Row],[début]])),0)+IF(WEEKDAY(H_Dec[[#This Row],[Date]],2)=6,MAX(0,H_Dec[[#This Row],[Fin corrigée si nuit]]-(1+deb_dimJF)),0))*24</f>
        <v>0</v>
      </c>
      <c r="R44"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4" s="51">
        <f>(IF(COUNTIF(JF,H_Dec[[#This Row],[Date]]),MAX(0,MIN(fin_dimJF,H_Dec[[#This Row],[Fin corrigée si nuit]])-MAX(deb_dimJF,H_Dec[[#This Row],[début]])),0)+IF(COUNTIF(JF,H_Dec[[#This Row],[Date]]+1),MAX(0,H_Dec[[#This Row],[Fin corrigée si nuit]]-(1+deb_dimJF)),0))*24</f>
        <v>0</v>
      </c>
      <c r="T44"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5" spans="1:20" x14ac:dyDescent="0.3">
      <c r="A45" s="4"/>
      <c r="B45" s="1"/>
      <c r="C45" s="2"/>
      <c r="D45" s="2"/>
      <c r="E45" s="3"/>
      <c r="F45" s="3"/>
      <c r="G45" s="3"/>
      <c r="H45" s="3"/>
      <c r="I45" s="47">
        <f>0.1*(H_Dec[[#This Row],[Heures de nuit]]+IF(H_Dec[[#This Row],[majoration dim &amp; JF]]="non",0,H_Dec[[#This Row],[heures jour dimanche]]+H_Dec[[#This Row],[heures jour fériés]]))</f>
        <v>0</v>
      </c>
      <c r="J45" s="48">
        <f>(MOD(H_Dec[[#This Row],[Fin]]-H_Dec[[#This Row],[début]],1)-MOD(H_Dec[[#This Row],[PNP Fin]]-H_Dec[[#This Row],[PNP Début]],1))*24</f>
        <v>0</v>
      </c>
      <c r="K45" s="119" t="str">
        <f>IFERROR(VLOOKUP(H_Dec[[#This Row],[Service]],Codes[],4,0),"")</f>
        <v/>
      </c>
      <c r="L45" s="49">
        <f>IF(H_Dec[[#This Row],[PNP Début]]=0,0,IF(H_Dec[[#This Row],[PNP Début]]&lt;H_Dec[[#This Row],[début]],1,0)+H_Dec[[#This Row],[PNP Début]])</f>
        <v>0</v>
      </c>
      <c r="M45" s="50">
        <f>IF(H_Dec[[#This Row],[PNP Fin]]=0,0,IF(H_Dec[[#This Row],[PNP Fin]]&lt;H_Dec[[#This Row],[début]],1,0)+H_Dec[[#This Row],[PNP Fin]])</f>
        <v>0</v>
      </c>
      <c r="N45" s="50">
        <f>IF(H_Dec[[#This Row],[Fin]]&lt;H_Dec[[#This Row],[début]],1,0)+H_Dec[[#This Row],[Fin]]</f>
        <v>0</v>
      </c>
      <c r="O45" s="31">
        <f>IF(H_Dec[[#This Row],[Fin]]&lt;H_Dec[[#This Row],[début]],MAX(0,MIN(H_Dec[[#This Row],[Fin corrigée si nuit]],fin_nuit)-MAX(H_Dec[[#This Row],[début]],deb_nuit))*24,(MAX(deb_nuit,H_Dec[[#This Row],[Fin]])-MAX(deb_nuit,H_Dec[[#This Row],[début]])+MAX(MIN(fin_nuit-1,H_Dec[[#This Row],[Fin]])-MIN(fin_nuit-1,H_Dec[[#This Row],[début]]),0))*24)</f>
        <v>0</v>
      </c>
      <c r="P45" s="51">
        <f>(MAX(0,MIN(H_Dec[[#This Row],[Fin corrigée si nuit]],fin_nuit)-MAX(H_Dec[[#This Row],[début]],deb_nuit))-IF(H_Dec[[#This Row],[PNP Début]]=0,0,MIN(H_Dec[[#This Row],[PNP Fin corrigée]],fin_nuit)-MAX(H_Dec[[#This Row],[PNP Début corrigé]],deb_nuit)))*24</f>
        <v>0</v>
      </c>
      <c r="Q45" s="51">
        <f>(IF(WEEKDAY(H_Dec[[#This Row],[Date]],2)=7,MAX(0,MIN(fin_dimJF,H_Dec[[#This Row],[Fin corrigée si nuit]])-MAX(deb_dimJF,H_Dec[[#This Row],[début]])),0)+IF(WEEKDAY(H_Dec[[#This Row],[Date]],2)=6,MAX(0,H_Dec[[#This Row],[Fin corrigée si nuit]]-(1+deb_dimJF)),0))*24</f>
        <v>0</v>
      </c>
      <c r="R45"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5" s="51">
        <f>(IF(COUNTIF(JF,H_Dec[[#This Row],[Date]]),MAX(0,MIN(fin_dimJF,H_Dec[[#This Row],[Fin corrigée si nuit]])-MAX(deb_dimJF,H_Dec[[#This Row],[début]])),0)+IF(COUNTIF(JF,H_Dec[[#This Row],[Date]]+1),MAX(0,H_Dec[[#This Row],[Fin corrigée si nuit]]-(1+deb_dimJF)),0))*24</f>
        <v>0</v>
      </c>
      <c r="T45"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6" spans="1:20" x14ac:dyDescent="0.3">
      <c r="A46" s="4"/>
      <c r="B46" s="1"/>
      <c r="C46" s="2"/>
      <c r="D46" s="2"/>
      <c r="E46" s="3"/>
      <c r="F46" s="3"/>
      <c r="G46" s="3"/>
      <c r="H46" s="3"/>
      <c r="I46" s="47">
        <f>0.1*(H_Dec[[#This Row],[Heures de nuit]]+IF(H_Dec[[#This Row],[majoration dim &amp; JF]]="non",0,H_Dec[[#This Row],[heures jour dimanche]]+H_Dec[[#This Row],[heures jour fériés]]))</f>
        <v>0</v>
      </c>
      <c r="J46" s="48">
        <f>(MOD(H_Dec[[#This Row],[Fin]]-H_Dec[[#This Row],[début]],1)-MOD(H_Dec[[#This Row],[PNP Fin]]-H_Dec[[#This Row],[PNP Début]],1))*24</f>
        <v>0</v>
      </c>
      <c r="K46" s="119" t="str">
        <f>IFERROR(VLOOKUP(H_Dec[[#This Row],[Service]],Codes[],4,0),"")</f>
        <v/>
      </c>
      <c r="L46" s="49">
        <f>IF(H_Dec[[#This Row],[PNP Début]]=0,0,IF(H_Dec[[#This Row],[PNP Début]]&lt;H_Dec[[#This Row],[début]],1,0)+H_Dec[[#This Row],[PNP Début]])</f>
        <v>0</v>
      </c>
      <c r="M46" s="50">
        <f>IF(H_Dec[[#This Row],[PNP Fin]]=0,0,IF(H_Dec[[#This Row],[PNP Fin]]&lt;H_Dec[[#This Row],[début]],1,0)+H_Dec[[#This Row],[PNP Fin]])</f>
        <v>0</v>
      </c>
      <c r="N46" s="50">
        <f>IF(H_Dec[[#This Row],[Fin]]&lt;H_Dec[[#This Row],[début]],1,0)+H_Dec[[#This Row],[Fin]]</f>
        <v>0</v>
      </c>
      <c r="O46" s="31">
        <f>IF(H_Dec[[#This Row],[Fin]]&lt;H_Dec[[#This Row],[début]],MAX(0,MIN(H_Dec[[#This Row],[Fin corrigée si nuit]],fin_nuit)-MAX(H_Dec[[#This Row],[début]],deb_nuit))*24,(MAX(deb_nuit,H_Dec[[#This Row],[Fin]])-MAX(deb_nuit,H_Dec[[#This Row],[début]])+MAX(MIN(fin_nuit-1,H_Dec[[#This Row],[Fin]])-MIN(fin_nuit-1,H_Dec[[#This Row],[début]]),0))*24)</f>
        <v>0</v>
      </c>
      <c r="P46" s="51">
        <f>(MAX(0,MIN(H_Dec[[#This Row],[Fin corrigée si nuit]],fin_nuit)-MAX(H_Dec[[#This Row],[début]],deb_nuit))-IF(H_Dec[[#This Row],[PNP Début]]=0,0,MIN(H_Dec[[#This Row],[PNP Fin corrigée]],fin_nuit)-MAX(H_Dec[[#This Row],[PNP Début corrigé]],deb_nuit)))*24</f>
        <v>0</v>
      </c>
      <c r="Q46" s="51">
        <f>(IF(WEEKDAY(H_Dec[[#This Row],[Date]],2)=7,MAX(0,MIN(fin_dimJF,H_Dec[[#This Row],[Fin corrigée si nuit]])-MAX(deb_dimJF,H_Dec[[#This Row],[début]])),0)+IF(WEEKDAY(H_Dec[[#This Row],[Date]],2)=6,MAX(0,H_Dec[[#This Row],[Fin corrigée si nuit]]-(1+deb_dimJF)),0))*24</f>
        <v>0</v>
      </c>
      <c r="R46"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6" s="51">
        <f>(IF(COUNTIF(JF,H_Dec[[#This Row],[Date]]),MAX(0,MIN(fin_dimJF,H_Dec[[#This Row],[Fin corrigée si nuit]])-MAX(deb_dimJF,H_Dec[[#This Row],[début]])),0)+IF(COUNTIF(JF,H_Dec[[#This Row],[Date]]+1),MAX(0,H_Dec[[#This Row],[Fin corrigée si nuit]]-(1+deb_dimJF)),0))*24</f>
        <v>0</v>
      </c>
      <c r="T46"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7" spans="1:20" x14ac:dyDescent="0.3">
      <c r="A47" s="4"/>
      <c r="B47" s="1"/>
      <c r="C47" s="2"/>
      <c r="D47" s="2"/>
      <c r="E47" s="3"/>
      <c r="F47" s="3"/>
      <c r="G47" s="3"/>
      <c r="H47" s="3"/>
      <c r="I47" s="47">
        <f>0.1*(H_Dec[[#This Row],[Heures de nuit]]+IF(H_Dec[[#This Row],[majoration dim &amp; JF]]="non",0,H_Dec[[#This Row],[heures jour dimanche]]+H_Dec[[#This Row],[heures jour fériés]]))</f>
        <v>0</v>
      </c>
      <c r="J47" s="48">
        <f>(MOD(H_Dec[[#This Row],[Fin]]-H_Dec[[#This Row],[début]],1)-MOD(H_Dec[[#This Row],[PNP Fin]]-H_Dec[[#This Row],[PNP Début]],1))*24</f>
        <v>0</v>
      </c>
      <c r="K47" s="119" t="str">
        <f>IFERROR(VLOOKUP(H_Dec[[#This Row],[Service]],Codes[],4,0),"")</f>
        <v/>
      </c>
      <c r="L47" s="49">
        <f>IF(H_Dec[[#This Row],[PNP Début]]=0,0,IF(H_Dec[[#This Row],[PNP Début]]&lt;H_Dec[[#This Row],[début]],1,0)+H_Dec[[#This Row],[PNP Début]])</f>
        <v>0</v>
      </c>
      <c r="M47" s="50">
        <f>IF(H_Dec[[#This Row],[PNP Fin]]=0,0,IF(H_Dec[[#This Row],[PNP Fin]]&lt;H_Dec[[#This Row],[début]],1,0)+H_Dec[[#This Row],[PNP Fin]])</f>
        <v>0</v>
      </c>
      <c r="N47" s="50">
        <f>IF(H_Dec[[#This Row],[Fin]]&lt;H_Dec[[#This Row],[début]],1,0)+H_Dec[[#This Row],[Fin]]</f>
        <v>0</v>
      </c>
      <c r="O47" s="31">
        <f>IF(H_Dec[[#This Row],[Fin]]&lt;H_Dec[[#This Row],[début]],MAX(0,MIN(H_Dec[[#This Row],[Fin corrigée si nuit]],fin_nuit)-MAX(H_Dec[[#This Row],[début]],deb_nuit))*24,(MAX(deb_nuit,H_Dec[[#This Row],[Fin]])-MAX(deb_nuit,H_Dec[[#This Row],[début]])+MAX(MIN(fin_nuit-1,H_Dec[[#This Row],[Fin]])-MIN(fin_nuit-1,H_Dec[[#This Row],[début]]),0))*24)</f>
        <v>0</v>
      </c>
      <c r="P47" s="51">
        <f>(MAX(0,MIN(H_Dec[[#This Row],[Fin corrigée si nuit]],fin_nuit)-MAX(H_Dec[[#This Row],[début]],deb_nuit))-IF(H_Dec[[#This Row],[PNP Début]]=0,0,MIN(H_Dec[[#This Row],[PNP Fin corrigée]],fin_nuit)-MAX(H_Dec[[#This Row],[PNP Début corrigé]],deb_nuit)))*24</f>
        <v>0</v>
      </c>
      <c r="Q47" s="51">
        <f>(IF(WEEKDAY(H_Dec[[#This Row],[Date]],2)=7,MAX(0,MIN(fin_dimJF,H_Dec[[#This Row],[Fin corrigée si nuit]])-MAX(deb_dimJF,H_Dec[[#This Row],[début]])),0)+IF(WEEKDAY(H_Dec[[#This Row],[Date]],2)=6,MAX(0,H_Dec[[#This Row],[Fin corrigée si nuit]]-(1+deb_dimJF)),0))*24</f>
        <v>0</v>
      </c>
      <c r="R47"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7" s="51">
        <f>(IF(COUNTIF(JF,H_Dec[[#This Row],[Date]]),MAX(0,MIN(fin_dimJF,H_Dec[[#This Row],[Fin corrigée si nuit]])-MAX(deb_dimJF,H_Dec[[#This Row],[début]])),0)+IF(COUNTIF(JF,H_Dec[[#This Row],[Date]]+1),MAX(0,H_Dec[[#This Row],[Fin corrigée si nuit]]-(1+deb_dimJF)),0))*24</f>
        <v>0</v>
      </c>
      <c r="T47"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8" spans="1:20" x14ac:dyDescent="0.3">
      <c r="A48" s="4"/>
      <c r="B48" s="1"/>
      <c r="C48" s="2"/>
      <c r="D48" s="2"/>
      <c r="E48" s="3"/>
      <c r="F48" s="3"/>
      <c r="G48" s="3"/>
      <c r="H48" s="3"/>
      <c r="I48" s="47">
        <f>0.1*(H_Dec[[#This Row],[Heures de nuit]]+IF(H_Dec[[#This Row],[majoration dim &amp; JF]]="non",0,H_Dec[[#This Row],[heures jour dimanche]]+H_Dec[[#This Row],[heures jour fériés]]))</f>
        <v>0</v>
      </c>
      <c r="J48" s="48">
        <f>(MOD(H_Dec[[#This Row],[Fin]]-H_Dec[[#This Row],[début]],1)-MOD(H_Dec[[#This Row],[PNP Fin]]-H_Dec[[#This Row],[PNP Début]],1))*24</f>
        <v>0</v>
      </c>
      <c r="K48" s="119" t="str">
        <f>IFERROR(VLOOKUP(H_Dec[[#This Row],[Service]],Codes[],4,0),"")</f>
        <v/>
      </c>
      <c r="L48" s="49">
        <f>IF(H_Dec[[#This Row],[PNP Début]]=0,0,IF(H_Dec[[#This Row],[PNP Début]]&lt;H_Dec[[#This Row],[début]],1,0)+H_Dec[[#This Row],[PNP Début]])</f>
        <v>0</v>
      </c>
      <c r="M48" s="50">
        <f>IF(H_Dec[[#This Row],[PNP Fin]]=0,0,IF(H_Dec[[#This Row],[PNP Fin]]&lt;H_Dec[[#This Row],[début]],1,0)+H_Dec[[#This Row],[PNP Fin]])</f>
        <v>0</v>
      </c>
      <c r="N48" s="50">
        <f>IF(H_Dec[[#This Row],[Fin]]&lt;H_Dec[[#This Row],[début]],1,0)+H_Dec[[#This Row],[Fin]]</f>
        <v>0</v>
      </c>
      <c r="O48" s="31">
        <f>IF(H_Dec[[#This Row],[Fin]]&lt;H_Dec[[#This Row],[début]],MAX(0,MIN(H_Dec[[#This Row],[Fin corrigée si nuit]],fin_nuit)-MAX(H_Dec[[#This Row],[début]],deb_nuit))*24,(MAX(deb_nuit,H_Dec[[#This Row],[Fin]])-MAX(deb_nuit,H_Dec[[#This Row],[début]])+MAX(MIN(fin_nuit-1,H_Dec[[#This Row],[Fin]])-MIN(fin_nuit-1,H_Dec[[#This Row],[début]]),0))*24)</f>
        <v>0</v>
      </c>
      <c r="P48" s="51">
        <f>(MAX(0,MIN(H_Dec[[#This Row],[Fin corrigée si nuit]],fin_nuit)-MAX(H_Dec[[#This Row],[début]],deb_nuit))-IF(H_Dec[[#This Row],[PNP Début]]=0,0,MIN(H_Dec[[#This Row],[PNP Fin corrigée]],fin_nuit)-MAX(H_Dec[[#This Row],[PNP Début corrigé]],deb_nuit)))*24</f>
        <v>0</v>
      </c>
      <c r="Q48" s="51">
        <f>(IF(WEEKDAY(H_Dec[[#This Row],[Date]],2)=7,MAX(0,MIN(fin_dimJF,H_Dec[[#This Row],[Fin corrigée si nuit]])-MAX(deb_dimJF,H_Dec[[#This Row],[début]])),0)+IF(WEEKDAY(H_Dec[[#This Row],[Date]],2)=6,MAX(0,H_Dec[[#This Row],[Fin corrigée si nuit]]-(1+deb_dimJF)),0))*24</f>
        <v>0</v>
      </c>
      <c r="R48"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8" s="51">
        <f>(IF(COUNTIF(JF,H_Dec[[#This Row],[Date]]),MAX(0,MIN(fin_dimJF,H_Dec[[#This Row],[Fin corrigée si nuit]])-MAX(deb_dimJF,H_Dec[[#This Row],[début]])),0)+IF(COUNTIF(JF,H_Dec[[#This Row],[Date]]+1),MAX(0,H_Dec[[#This Row],[Fin corrigée si nuit]]-(1+deb_dimJF)),0))*24</f>
        <v>0</v>
      </c>
      <c r="T48"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49" spans="1:20" ht="15" thickBot="1" x14ac:dyDescent="0.35">
      <c r="A49" s="4"/>
      <c r="B49" s="1"/>
      <c r="C49" s="2"/>
      <c r="D49" s="2"/>
      <c r="E49" s="3"/>
      <c r="F49" s="3"/>
      <c r="G49" s="3"/>
      <c r="H49" s="3"/>
      <c r="I49" s="47">
        <f>0.1*(H_Dec[[#This Row],[Heures de nuit]]+IF(H_Dec[[#This Row],[majoration dim &amp; JF]]="non",0,H_Dec[[#This Row],[heures jour dimanche]]+H_Dec[[#This Row],[heures jour fériés]]))</f>
        <v>0</v>
      </c>
      <c r="J49" s="48">
        <f>(MOD(H_Dec[[#This Row],[Fin]]-H_Dec[[#This Row],[début]],1)-MOD(H_Dec[[#This Row],[PNP Fin]]-H_Dec[[#This Row],[PNP Début]],1))*24</f>
        <v>0</v>
      </c>
      <c r="K49" s="119" t="str">
        <f>IFERROR(VLOOKUP(H_Dec[[#This Row],[Service]],Codes[],4,0),"")</f>
        <v/>
      </c>
      <c r="L49" s="49">
        <f>IF(H_Dec[[#This Row],[PNP Début]]=0,0,IF(H_Dec[[#This Row],[PNP Début]]&lt;H_Dec[[#This Row],[début]],1,0)+H_Dec[[#This Row],[PNP Début]])</f>
        <v>0</v>
      </c>
      <c r="M49" s="50">
        <f>IF(H_Dec[[#This Row],[PNP Fin]]=0,0,IF(H_Dec[[#This Row],[PNP Fin]]&lt;H_Dec[[#This Row],[début]],1,0)+H_Dec[[#This Row],[PNP Fin]])</f>
        <v>0</v>
      </c>
      <c r="N49" s="50">
        <f>IF(H_Dec[[#This Row],[Fin]]&lt;H_Dec[[#This Row],[début]],1,0)+H_Dec[[#This Row],[Fin]]</f>
        <v>0</v>
      </c>
      <c r="O49" s="31">
        <f>IF(H_Dec[[#This Row],[Fin]]&lt;H_Dec[[#This Row],[début]],MAX(0,MIN(H_Dec[[#This Row],[Fin corrigée si nuit]],fin_nuit)-MAX(H_Dec[[#This Row],[début]],deb_nuit))*24,(MAX(deb_nuit,H_Dec[[#This Row],[Fin]])-MAX(deb_nuit,H_Dec[[#This Row],[début]])+MAX(MIN(fin_nuit-1,H_Dec[[#This Row],[Fin]])-MIN(fin_nuit-1,H_Dec[[#This Row],[début]]),0))*24)</f>
        <v>0</v>
      </c>
      <c r="P49" s="51">
        <f>(MAX(0,MIN(H_Dec[[#This Row],[Fin corrigée si nuit]],fin_nuit)-MAX(H_Dec[[#This Row],[début]],deb_nuit))-IF(H_Dec[[#This Row],[PNP Début]]=0,0,MIN(H_Dec[[#This Row],[PNP Fin corrigée]],fin_nuit)-MAX(H_Dec[[#This Row],[PNP Début corrigé]],deb_nuit)))*24</f>
        <v>0</v>
      </c>
      <c r="Q49" s="51">
        <f>(IF(WEEKDAY(H_Dec[[#This Row],[Date]],2)=7,MAX(0,MIN(fin_dimJF,H_Dec[[#This Row],[Fin corrigée si nuit]])-MAX(deb_dimJF,H_Dec[[#This Row],[début]])),0)+IF(WEEKDAY(H_Dec[[#This Row],[Date]],2)=6,MAX(0,H_Dec[[#This Row],[Fin corrigée si nuit]]-(1+deb_dimJF)),0))*24</f>
        <v>0</v>
      </c>
      <c r="R49" s="51">
        <f>(IF(WEEKDAY(H_Dec[[#This Row],[Date]],2)=7,MAX(0,MIN(fin_dimJF,H_Dec[[#This Row],[Fin corrigée si nuit]])-MAX(deb_dimJF,H_Dec[[#This Row],[début]])),0)+IF(WEEKDAY(H_Dec[[#This Row],[Date]],2)=6,MAX(0,H_Dec[[#This Row],[Fin corrigée si nuit]]-(1+deb_dimJF)),0))*24-
(IF(WEEKDAY(H_Dec[[#This Row],[Date]],2)=7,MAX(0,MIN(fin_dimJF,H_Dec[[#This Row],[PNP Fin corrigée]])-MAX(deb_dimJF,H_Dec[[#This Row],[PNP Début corrigé]])),0)+IF(WEEKDAY(H_Dec[[#This Row],[Date]],2)=6,MAX(0,H_Dec[[#This Row],[PNP Fin corrigée]]-(1+deb_dimJF)),0))*24</f>
        <v>0</v>
      </c>
      <c r="S49" s="51">
        <f>(IF(COUNTIF(JF,H_Dec[[#This Row],[Date]]),MAX(0,MIN(fin_dimJF,H_Dec[[#This Row],[Fin corrigée si nuit]])-MAX(deb_dimJF,H_Dec[[#This Row],[début]])),0)+IF(COUNTIF(JF,H_Dec[[#This Row],[Date]]+1),MAX(0,H_Dec[[#This Row],[Fin corrigée si nuit]]-(1+deb_dimJF)),0))*24</f>
        <v>0</v>
      </c>
      <c r="T49" s="51">
        <f>(IF(COUNTIF(JF,H_Dec[[#This Row],[Date]]),MAX(0,MIN(fin_dimJF,H_Dec[[#This Row],[Fin corrigée si nuit]])-MAX(deb_dimJF,H_Dec[[#This Row],[début]])),0)+IF(COUNTIF(JF,H_Dec[[#This Row],[Date]]+1),MAX(0,H_Dec[[#This Row],[Fin corrigée si nuit]]-(1+deb_dimJF)),0))*24-
(IF(COUNTIF(JF,H_Dec[[#This Row],[Date]]),MAX(0,MIN(fin_dimJF,H_Dec[[#This Row],[PNP Fin corrigée]])-MAX(deb_dimJF,H_Dec[[#This Row],[PNP Début corrigé]])),0)+IF(COUNTIF(JF,H_Dec[[#This Row],[Date]]+1),MAX(0,H_Dec[[#This Row],[PNP Fin corrigée]]-(1+deb_dimJF)),0))*24</f>
        <v>0</v>
      </c>
    </row>
    <row r="50" spans="1:20" ht="16.2" thickBot="1" x14ac:dyDescent="0.35">
      <c r="A50" s="52"/>
      <c r="B50" s="15"/>
      <c r="C50" s="15"/>
      <c r="D50" s="15"/>
      <c r="E50" s="144" t="s">
        <v>29</v>
      </c>
      <c r="F50" s="145"/>
      <c r="G50" s="145"/>
      <c r="H50" s="146"/>
      <c r="I50" s="53">
        <f>SUM(H_Dec[Majoration])</f>
        <v>0</v>
      </c>
      <c r="J50" s="54">
        <f>SUM(H_Dec[Heures totales payées])</f>
        <v>0</v>
      </c>
      <c r="K50" s="121"/>
      <c r="L50" s="15"/>
      <c r="M50" s="15"/>
      <c r="N50" s="15"/>
      <c r="O50" s="15"/>
      <c r="P50" s="15"/>
      <c r="Q50" s="15"/>
      <c r="R50" s="15"/>
      <c r="S50" s="15"/>
      <c r="T50" s="15"/>
    </row>
    <row r="51" spans="1:20" ht="17.399999999999999" customHeight="1" x14ac:dyDescent="0.3">
      <c r="A51" s="147" t="s">
        <v>30</v>
      </c>
      <c r="B51" s="147"/>
      <c r="C51" s="147"/>
      <c r="D51" s="147"/>
      <c r="E51" s="15"/>
      <c r="F51" s="15"/>
      <c r="G51" s="148" t="s">
        <v>31</v>
      </c>
      <c r="H51" s="148"/>
      <c r="I51" s="148"/>
      <c r="J51" s="148"/>
      <c r="K51" s="117"/>
      <c r="L51" s="15"/>
      <c r="M51" s="15"/>
      <c r="N51" s="15"/>
      <c r="O51" s="15"/>
      <c r="P51" s="15"/>
      <c r="Q51" s="15"/>
      <c r="R51" s="15"/>
      <c r="S51" s="15"/>
      <c r="T51" s="15"/>
    </row>
    <row r="52" spans="1:20" x14ac:dyDescent="0.3">
      <c r="A52" s="158"/>
      <c r="B52" s="159"/>
      <c r="C52" s="159"/>
      <c r="D52" s="166"/>
      <c r="E52" s="52"/>
      <c r="F52" s="15"/>
      <c r="G52" s="158"/>
      <c r="H52" s="159"/>
      <c r="I52" s="159"/>
      <c r="J52" s="159"/>
      <c r="K52" s="101"/>
      <c r="L52" s="15"/>
      <c r="M52" s="15"/>
      <c r="N52" s="15"/>
      <c r="O52" s="15"/>
      <c r="P52" s="15"/>
      <c r="Q52" s="15"/>
      <c r="R52" s="15"/>
      <c r="S52" s="15"/>
      <c r="T52" s="15"/>
    </row>
    <row r="53" spans="1:20" x14ac:dyDescent="0.3">
      <c r="A53" s="160"/>
      <c r="B53" s="161"/>
      <c r="C53" s="161"/>
      <c r="D53" s="167"/>
      <c r="E53" s="15"/>
      <c r="F53" s="15"/>
      <c r="G53" s="160"/>
      <c r="H53" s="161"/>
      <c r="I53" s="161"/>
      <c r="J53" s="161"/>
      <c r="K53" s="101"/>
      <c r="L53" s="15"/>
      <c r="M53" s="15"/>
      <c r="N53" s="15"/>
      <c r="O53" s="15"/>
      <c r="P53" s="15"/>
      <c r="Q53" s="15"/>
      <c r="R53" s="15"/>
      <c r="S53" s="15"/>
      <c r="T53" s="15"/>
    </row>
    <row r="54" spans="1:20" ht="7.8" customHeight="1" x14ac:dyDescent="0.3">
      <c r="A54" s="162"/>
      <c r="B54" s="163"/>
      <c r="C54" s="163"/>
      <c r="D54" s="168"/>
      <c r="E54" s="52"/>
      <c r="F54" s="15"/>
      <c r="G54" s="162"/>
      <c r="H54" s="163"/>
      <c r="I54" s="163"/>
      <c r="J54" s="163"/>
      <c r="K54" s="101"/>
      <c r="L54" s="15"/>
      <c r="M54" s="15"/>
      <c r="N54" s="15"/>
      <c r="O54" s="15"/>
      <c r="P54" s="15"/>
      <c r="Q54" s="15"/>
      <c r="R54" s="15"/>
      <c r="S54" s="15"/>
      <c r="T54" s="15"/>
    </row>
    <row r="55" spans="1:20" x14ac:dyDescent="0.3">
      <c r="A55" s="52"/>
      <c r="B55" s="15"/>
      <c r="C55" s="15"/>
      <c r="D55" s="15"/>
      <c r="E55" s="15"/>
      <c r="F55" s="15"/>
      <c r="G55" s="15"/>
      <c r="H55" s="15"/>
      <c r="I55" s="15"/>
      <c r="J55" s="57"/>
      <c r="K55" s="101"/>
      <c r="L55" s="15"/>
      <c r="M55" s="15"/>
      <c r="N55" s="15"/>
      <c r="O55" s="15"/>
      <c r="P55" s="15"/>
      <c r="Q55" s="15"/>
      <c r="R55" s="15"/>
      <c r="S55" s="15"/>
      <c r="T55" s="15"/>
    </row>
    <row r="56" spans="1:20" x14ac:dyDescent="0.3">
      <c r="A56" s="15"/>
      <c r="B56" s="15"/>
      <c r="C56" s="15"/>
      <c r="D56" s="15"/>
      <c r="E56" s="15"/>
      <c r="F56" s="15"/>
      <c r="G56" s="15"/>
      <c r="H56" s="15"/>
      <c r="I56" s="15"/>
      <c r="J56" s="16"/>
      <c r="K56" s="16"/>
      <c r="L56" s="15"/>
      <c r="M56" s="15"/>
      <c r="N56" s="15"/>
      <c r="O56" s="15"/>
      <c r="P56" s="15"/>
      <c r="Q56" s="15"/>
      <c r="R56" s="15"/>
      <c r="S56" s="15"/>
      <c r="T56" s="15"/>
    </row>
    <row r="57" spans="1:20" x14ac:dyDescent="0.3">
      <c r="A57" s="15"/>
      <c r="B57" s="15"/>
      <c r="C57" s="15"/>
      <c r="D57" s="15"/>
      <c r="E57" s="15"/>
      <c r="F57" s="15"/>
      <c r="G57" s="15"/>
      <c r="H57" s="15"/>
      <c r="I57" s="15"/>
      <c r="J57" s="16"/>
      <c r="K57" s="16"/>
      <c r="L57" s="15"/>
      <c r="M57" s="15"/>
      <c r="N57" s="15"/>
      <c r="O57" s="15"/>
      <c r="P57" s="15"/>
      <c r="Q57" s="15"/>
      <c r="R57" s="15"/>
      <c r="S57" s="15"/>
      <c r="T57" s="15"/>
    </row>
    <row r="58" spans="1:20" x14ac:dyDescent="0.3">
      <c r="A58" s="15"/>
      <c r="B58" s="15"/>
      <c r="C58" s="15"/>
      <c r="D58" s="15"/>
      <c r="E58" s="15"/>
      <c r="F58" s="15"/>
      <c r="G58" s="15"/>
      <c r="H58" s="15"/>
      <c r="I58" s="15"/>
      <c r="J58" s="16"/>
      <c r="K58" s="16"/>
      <c r="L58" s="15"/>
      <c r="M58" s="15"/>
      <c r="N58" s="15"/>
      <c r="O58" s="15"/>
      <c r="P58" s="15"/>
      <c r="Q58" s="15"/>
      <c r="R58" s="15"/>
      <c r="S58" s="15"/>
      <c r="T58" s="15"/>
    </row>
    <row r="59" spans="1:20" x14ac:dyDescent="0.3">
      <c r="A59" s="15"/>
      <c r="B59" s="15"/>
      <c r="C59" s="15"/>
      <c r="D59" s="15"/>
      <c r="E59" s="15"/>
      <c r="F59" s="15"/>
      <c r="G59" s="15"/>
      <c r="H59" s="15"/>
      <c r="I59" s="15"/>
      <c r="J59" s="16"/>
      <c r="K59" s="16"/>
      <c r="L59" s="15"/>
      <c r="M59" s="15"/>
      <c r="N59" s="15"/>
      <c r="O59" s="15"/>
      <c r="P59" s="15"/>
      <c r="Q59" s="15"/>
      <c r="R59" s="15"/>
      <c r="S59" s="15"/>
      <c r="T59" s="15"/>
    </row>
    <row r="60" spans="1:20" x14ac:dyDescent="0.3">
      <c r="A60" s="15"/>
      <c r="B60" s="15"/>
      <c r="C60" s="15"/>
      <c r="D60" s="15"/>
      <c r="E60" s="15"/>
      <c r="F60" s="15"/>
      <c r="G60" s="15"/>
      <c r="H60" s="15"/>
      <c r="I60" s="15"/>
      <c r="J60" s="16"/>
      <c r="K60" s="16"/>
      <c r="L60" s="15"/>
      <c r="M60" s="15"/>
      <c r="N60" s="15"/>
      <c r="O60" s="15"/>
      <c r="P60" s="15"/>
      <c r="Q60" s="15"/>
      <c r="R60" s="15"/>
      <c r="S60" s="15"/>
      <c r="T60" s="15"/>
    </row>
  </sheetData>
  <sheetProtection selectLockedCells="1"/>
  <mergeCells count="19">
    <mergeCell ref="E50:H50"/>
    <mergeCell ref="A51:D51"/>
    <mergeCell ref="G51:J51"/>
    <mergeCell ref="A52:D54"/>
    <mergeCell ref="G52:J54"/>
    <mergeCell ref="A1:B2"/>
    <mergeCell ref="A3:J4"/>
    <mergeCell ref="D5:F5"/>
    <mergeCell ref="G5:H5"/>
    <mergeCell ref="J9:J11"/>
    <mergeCell ref="C10:C11"/>
    <mergeCell ref="D10:D11"/>
    <mergeCell ref="E10:F10"/>
    <mergeCell ref="G10:H10"/>
    <mergeCell ref="A9:A11"/>
    <mergeCell ref="B9:B11"/>
    <mergeCell ref="C9:D9"/>
    <mergeCell ref="E9:H9"/>
    <mergeCell ref="I9:I11"/>
  </mergeCells>
  <conditionalFormatting sqref="C13:D49">
    <cfRule type="expression" dxfId="25" priority="1">
      <formula>$K13="non"</formula>
    </cfRule>
  </conditionalFormatting>
  <dataValidations count="3">
    <dataValidation allowBlank="1" showInputMessage="1" showErrorMessage="1" error="Tapez les heures sous le format_x000a_00:00" sqref="L12:O49"/>
    <dataValidation type="time" allowBlank="1" showInputMessage="1" showErrorMessage="1" error="Tapez les heures sous le format_x000a_00:00" sqref="C13:H49">
      <formula1>0</formula1>
      <formula2>0.999305555555556</formula2>
    </dataValidation>
    <dataValidation type="date" operator="greaterThan" allowBlank="1" showInputMessage="1" showErrorMessage="1" error="Tapez le mois sous le format suivant_x000a_09/17" promptTitle="Mois du relevé" sqref="I5:K5">
      <formula1>42736</formula1>
    </dataValidation>
  </dataValidations>
  <printOptions horizontalCentered="1"/>
  <pageMargins left="0" right="0" top="0" bottom="0" header="0" footer="0"/>
  <pageSetup paperSize="9" orientation="portrait" r:id="rId1"/>
  <drawing r:id="rId2"/>
  <legacyDrawing r:id="rId3"/>
  <controls>
    <mc:AlternateContent xmlns:mc="http://schemas.openxmlformats.org/markup-compatibility/2006">
      <mc:Choice Requires="x14">
        <control shapeId="15361" r:id="rId4" name="CommandButton1">
          <controlPr defaultSize="0" print="0" autoLine="0" r:id="rId5">
            <anchor moveWithCells="1">
              <from>
                <xdr:col>9</xdr:col>
                <xdr:colOff>487680</xdr:colOff>
                <xdr:row>0</xdr:row>
                <xdr:rowOff>53340</xdr:rowOff>
              </from>
              <to>
                <xdr:col>9</xdr:col>
                <xdr:colOff>1272540</xdr:colOff>
                <xdr:row>3</xdr:row>
                <xdr:rowOff>175260</xdr:rowOff>
              </to>
            </anchor>
          </controlPr>
        </control>
      </mc:Choice>
      <mc:Fallback>
        <control shapeId="15361" r:id="rId4" name="CommandButton1"/>
      </mc:Fallback>
    </mc:AlternateContent>
  </controls>
  <tableParts count="1">
    <tablePart r:id="rId6"/>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ATTENTION" error="Mettre le service avec la bonne orthographe" promptTitle="Services">
          <x14:formula1>
            <xm:f>'JF '!$A$23:$A$91</xm:f>
          </x14:formula1>
          <xm:sqref>B13:B49</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20</vt:i4>
      </vt:variant>
    </vt:vector>
  </HeadingPairs>
  <TitlesOfParts>
    <vt:vector size="35" baseType="lpstr">
      <vt:lpstr>TOTAUX ANNUEL </vt:lpstr>
      <vt:lpstr>parametres </vt:lpstr>
      <vt:lpstr>JF </vt:lpstr>
      <vt:lpstr>Janvier 18</vt:lpstr>
      <vt:lpstr>Février 18</vt:lpstr>
      <vt:lpstr>Mars 18</vt:lpstr>
      <vt:lpstr>Avril 18</vt:lpstr>
      <vt:lpstr>Mai 18</vt:lpstr>
      <vt:lpstr>Juin 18</vt:lpstr>
      <vt:lpstr>Juillet 18</vt:lpstr>
      <vt:lpstr>Août 18</vt:lpstr>
      <vt:lpstr>Septembre 18</vt:lpstr>
      <vt:lpstr>Octobre 18</vt:lpstr>
      <vt:lpstr>Novembre 18</vt:lpstr>
      <vt:lpstr>Décembre 18</vt:lpstr>
      <vt:lpstr>deb_dimJF</vt:lpstr>
      <vt:lpstr>deb_nuit</vt:lpstr>
      <vt:lpstr>fin_dimJF</vt:lpstr>
      <vt:lpstr>fin_nuit</vt:lpstr>
      <vt:lpstr>JF</vt:lpstr>
      <vt:lpstr>Maladie</vt:lpstr>
      <vt:lpstr>Services</vt:lpstr>
      <vt:lpstr>Vacances</vt:lpstr>
      <vt:lpstr>'Août 18'!Zone_d_impression</vt:lpstr>
      <vt:lpstr>'Avril 18'!Zone_d_impression</vt:lpstr>
      <vt:lpstr>'Décembre 18'!Zone_d_impression</vt:lpstr>
      <vt:lpstr>'Février 18'!Zone_d_impression</vt:lpstr>
      <vt:lpstr>'Janvier 18'!Zone_d_impression</vt:lpstr>
      <vt:lpstr>'Juillet 18'!Zone_d_impression</vt:lpstr>
      <vt:lpstr>'Juin 18'!Zone_d_impression</vt:lpstr>
      <vt:lpstr>'Mai 18'!Zone_d_impression</vt:lpstr>
      <vt:lpstr>'Mars 18'!Zone_d_impression</vt:lpstr>
      <vt:lpstr>'Novembre 18'!Zone_d_impression</vt:lpstr>
      <vt:lpstr>'Octobre 18'!Zone_d_impression</vt:lpstr>
      <vt:lpstr>'Septembre 18'!Zone_d_impression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philippe.conte</cp:lastModifiedBy>
  <cp:lastPrinted>2018-04-27T19:36:37Z</cp:lastPrinted>
  <dcterms:created xsi:type="dcterms:W3CDTF">2017-09-02T09:30:55Z</dcterms:created>
  <dcterms:modified xsi:type="dcterms:W3CDTF">2018-05-13T10:37:01Z</dcterms:modified>
</cp:coreProperties>
</file>