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tables/table8.xml" ContentType="application/vnd.openxmlformats-officedocument.spreadsheetml.table+xml"/>
  <Override PartName="/xl/drawings/drawing11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tables/table9.xml" ContentType="application/vnd.openxmlformats-officedocument.spreadsheetml.table+xml"/>
  <Override PartName="/xl/drawings/drawing1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tables/table10.xml" ContentType="application/vnd.openxmlformats-officedocument.spreadsheetml.table+xml"/>
  <Override PartName="/xl/drawings/drawing1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11.xml" ContentType="application/vnd.openxmlformats-officedocument.spreadsheetml.table+xml"/>
  <Override PartName="/xl/drawings/drawing1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12.xml" ContentType="application/vnd.openxmlformats-officedocument.spreadsheetml.table+xml"/>
  <Override PartName="/xl/drawings/drawing1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7\Documents\"/>
    </mc:Choice>
  </mc:AlternateContent>
  <xr:revisionPtr revIDLastSave="0" documentId="13_ncr:1_{0E0BBC24-6D8B-400B-96EC-DE8881A4DF5A}" xr6:coauthVersionLast="32" xr6:coauthVersionMax="32" xr10:uidLastSave="{00000000-0000-0000-0000-000000000000}"/>
  <bookViews>
    <workbookView xWindow="0" yWindow="0" windowWidth="23040" windowHeight="9072" tabRatio="904" activeTab="4" xr2:uid="{00000000-000D-0000-FFFF-FFFF00000000}"/>
  </bookViews>
  <sheets>
    <sheet name="TOTAUX ANNUEL " sheetId="26" r:id="rId1"/>
    <sheet name="JF " sheetId="2" r:id="rId2"/>
    <sheet name="parametres " sheetId="3" r:id="rId3"/>
    <sheet name="Janvier 18" sheetId="13" r:id="rId4"/>
    <sheet name="Février 18" sheetId="14" r:id="rId5"/>
    <sheet name="Mars 18" sheetId="15" r:id="rId6"/>
    <sheet name="Avril 18" sheetId="16" r:id="rId7"/>
    <sheet name="Mai 18" sheetId="17" r:id="rId8"/>
    <sheet name="Juin 18" sheetId="19" r:id="rId9"/>
    <sheet name="Juillet 18" sheetId="20" r:id="rId10"/>
    <sheet name="Août 18" sheetId="25" r:id="rId11"/>
    <sheet name="Septembre 18" sheetId="24" r:id="rId12"/>
    <sheet name="Octobre 18" sheetId="23" r:id="rId13"/>
    <sheet name="Novembre 18" sheetId="22" r:id="rId14"/>
    <sheet name="Décembre 18" sheetId="21" r:id="rId15"/>
  </sheets>
  <definedNames>
    <definedName name="deb_dimJF">'parametres '!$B$3</definedName>
    <definedName name="deb_nuit">'parametres '!$B$1</definedName>
    <definedName name="fin_dimJF">'parametres '!$B$4</definedName>
    <definedName name="fin_nuit">'parametres '!$B$2</definedName>
    <definedName name="JF">'JF '!$D$1:$D$12</definedName>
    <definedName name="Maladie">'JF '!$A$20</definedName>
    <definedName name="Services">Codes[[#Headers],[Services]]</definedName>
    <definedName name="Vacances">'JF '!$A$19</definedName>
    <definedName name="_xlnm.Print_Area" localSheetId="10">'Août 18'!$A$1:$J$113</definedName>
    <definedName name="_xlnm.Print_Area" localSheetId="6">'Avril 18'!$A$1:$J$113</definedName>
    <definedName name="_xlnm.Print_Area" localSheetId="14">'Décembre 18'!$A$1:$J$113</definedName>
    <definedName name="_xlnm.Print_Area" localSheetId="4">'Février 18'!$A$1:$J$113</definedName>
    <definedName name="_xlnm.Print_Area" localSheetId="3">'Janvier 18'!$A$1:$J$113</definedName>
    <definedName name="_xlnm.Print_Area" localSheetId="9">'Juillet 18'!$A$1:$J$113</definedName>
    <definedName name="_xlnm.Print_Area" localSheetId="8">'Juin 18'!$A$1:$J$113</definedName>
    <definedName name="_xlnm.Print_Area" localSheetId="7">'Mai 18'!$A$1:$J$113</definedName>
    <definedName name="_xlnm.Print_Area" localSheetId="5">'Mars 18'!$A$1:$J$113</definedName>
    <definedName name="_xlnm.Print_Area" localSheetId="13">'Novembre 18'!$A$1:$J$113</definedName>
    <definedName name="_xlnm.Print_Area" localSheetId="12">'Octobre 18'!$A$3:$J$113</definedName>
    <definedName name="_xlnm.Print_Area" localSheetId="11">'Septembre 18'!$A$1:$J$113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6" i="13" l="1"/>
  <c r="Y16" i="17"/>
  <c r="U9" i="17"/>
  <c r="U10" i="17" s="1"/>
  <c r="U9" i="16"/>
  <c r="U10" i="16" s="1"/>
  <c r="U9" i="15"/>
  <c r="U10" i="15" s="1"/>
  <c r="U9" i="13"/>
  <c r="U10" i="13" s="1"/>
  <c r="U9" i="19"/>
  <c r="U10" i="19" s="1"/>
  <c r="Y16" i="15" l="1"/>
  <c r="Y16" i="16"/>
  <c r="Y16" i="19"/>
  <c r="W23" i="21"/>
  <c r="W23" i="22"/>
  <c r="W23" i="23"/>
  <c r="W23" i="24"/>
  <c r="W23" i="25"/>
  <c r="W23" i="20"/>
  <c r="W23" i="19"/>
  <c r="W23" i="17"/>
  <c r="W23" i="16"/>
  <c r="W23" i="15"/>
  <c r="W23" i="13"/>
  <c r="W21" i="21"/>
  <c r="W21" i="22"/>
  <c r="W21" i="23"/>
  <c r="W21" i="24"/>
  <c r="W21" i="25"/>
  <c r="W21" i="20"/>
  <c r="W21" i="19"/>
  <c r="W21" i="17"/>
  <c r="W21" i="16"/>
  <c r="W21" i="15"/>
  <c r="W21" i="14"/>
  <c r="W21" i="13"/>
  <c r="W19" i="21"/>
  <c r="W19" i="22"/>
  <c r="W19" i="23"/>
  <c r="W19" i="24"/>
  <c r="W19" i="25"/>
  <c r="W19" i="20"/>
  <c r="W19" i="19"/>
  <c r="W19" i="17"/>
  <c r="W19" i="16"/>
  <c r="W19" i="15"/>
  <c r="W19" i="14"/>
  <c r="E23" i="26"/>
  <c r="E24" i="26"/>
  <c r="E29" i="26"/>
  <c r="E31" i="26"/>
  <c r="E30" i="26"/>
  <c r="E27" i="26"/>
  <c r="E28" i="26"/>
  <c r="E33" i="26"/>
  <c r="E32" i="26"/>
  <c r="E26" i="26"/>
  <c r="B22" i="26"/>
  <c r="B30" i="26"/>
  <c r="B26" i="26"/>
  <c r="E25" i="26"/>
  <c r="B28" i="26"/>
  <c r="E22" i="26"/>
  <c r="B23" i="26"/>
  <c r="B33" i="26"/>
  <c r="B29" i="26"/>
  <c r="B25" i="26"/>
  <c r="B32" i="26"/>
  <c r="B24" i="26"/>
  <c r="B31" i="26"/>
  <c r="B27" i="26"/>
  <c r="J15" i="26" l="1"/>
  <c r="W19" i="13" l="1"/>
  <c r="H5" i="26"/>
  <c r="H4" i="26"/>
  <c r="H11" i="26"/>
  <c r="H12" i="26"/>
  <c r="H13" i="26"/>
  <c r="H9" i="26"/>
  <c r="H3" i="26"/>
  <c r="H2" i="26"/>
  <c r="H6" i="26"/>
  <c r="H10" i="26"/>
  <c r="H7" i="26"/>
  <c r="H8" i="26"/>
  <c r="H15" i="26" l="1"/>
  <c r="K2" i="26" l="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34" i="25"/>
  <c r="K35" i="25"/>
  <c r="K36" i="25"/>
  <c r="K37" i="25"/>
  <c r="K38" i="25"/>
  <c r="K39" i="25"/>
  <c r="K40" i="25"/>
  <c r="K41" i="25"/>
  <c r="K42" i="25"/>
  <c r="K43" i="25"/>
  <c r="K44" i="25"/>
  <c r="K45" i="25"/>
  <c r="K46" i="25"/>
  <c r="K47" i="25"/>
  <c r="K48" i="25"/>
  <c r="K49" i="25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K13" i="16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38" i="16"/>
  <c r="K39" i="16"/>
  <c r="K40" i="16"/>
  <c r="K41" i="16"/>
  <c r="K42" i="16"/>
  <c r="K43" i="16"/>
  <c r="K44" i="16"/>
  <c r="K45" i="16"/>
  <c r="K46" i="16"/>
  <c r="K47" i="16"/>
  <c r="K48" i="16"/>
  <c r="K49" i="16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3" i="26" l="1"/>
  <c r="K4" i="26" s="1"/>
  <c r="I5" i="13"/>
  <c r="K5" i="26" l="1"/>
  <c r="B5" i="15"/>
  <c r="D5" i="15"/>
  <c r="B5" i="22"/>
  <c r="B7" i="22"/>
  <c r="E7" i="22"/>
  <c r="D5" i="22"/>
  <c r="B5" i="23"/>
  <c r="B7" i="23"/>
  <c r="E7" i="23"/>
  <c r="D5" i="23"/>
  <c r="B5" i="24"/>
  <c r="B7" i="24"/>
  <c r="E7" i="24"/>
  <c r="D5" i="24"/>
  <c r="B5" i="25"/>
  <c r="B7" i="25"/>
  <c r="E7" i="25"/>
  <c r="D5" i="25"/>
  <c r="B5" i="20"/>
  <c r="B7" i="20"/>
  <c r="E7" i="20"/>
  <c r="D5" i="20"/>
  <c r="B5" i="19"/>
  <c r="B7" i="19"/>
  <c r="E7" i="19"/>
  <c r="D5" i="19"/>
  <c r="E7" i="17"/>
  <c r="B7" i="17"/>
  <c r="B5" i="17"/>
  <c r="D5" i="17"/>
  <c r="E7" i="16"/>
  <c r="D5" i="16"/>
  <c r="B7" i="16"/>
  <c r="B5" i="16"/>
  <c r="E7" i="15"/>
  <c r="B7" i="15"/>
  <c r="E7" i="14"/>
  <c r="B7" i="14"/>
  <c r="D5" i="14"/>
  <c r="B5" i="14"/>
  <c r="K6" i="26" l="1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I5" i="14"/>
  <c r="L14" i="14"/>
  <c r="M14" i="14"/>
  <c r="N14" i="14"/>
  <c r="P14" i="14" s="1"/>
  <c r="L15" i="14"/>
  <c r="M15" i="14"/>
  <c r="N15" i="14"/>
  <c r="Q15" i="14" s="1"/>
  <c r="L16" i="14"/>
  <c r="M16" i="14"/>
  <c r="N16" i="14"/>
  <c r="L17" i="14"/>
  <c r="M17" i="14"/>
  <c r="N17" i="14"/>
  <c r="P17" i="14" s="1"/>
  <c r="O17" i="14"/>
  <c r="L18" i="14"/>
  <c r="M18" i="14"/>
  <c r="N18" i="14"/>
  <c r="P18" i="14" s="1"/>
  <c r="O18" i="14"/>
  <c r="L19" i="14"/>
  <c r="M19" i="14"/>
  <c r="N19" i="14"/>
  <c r="Q19" i="14" s="1"/>
  <c r="O19" i="14"/>
  <c r="L20" i="14"/>
  <c r="M20" i="14"/>
  <c r="N20" i="14"/>
  <c r="O20" i="14" s="1"/>
  <c r="L21" i="14"/>
  <c r="M21" i="14"/>
  <c r="N21" i="14"/>
  <c r="O21" i="14"/>
  <c r="L22" i="14"/>
  <c r="M22" i="14"/>
  <c r="N22" i="14"/>
  <c r="P22" i="14" s="1"/>
  <c r="L23" i="14"/>
  <c r="M23" i="14"/>
  <c r="N23" i="14"/>
  <c r="Q23" i="14" s="1"/>
  <c r="O23" i="14"/>
  <c r="L24" i="14"/>
  <c r="M24" i="14"/>
  <c r="N24" i="14"/>
  <c r="O24" i="14" s="1"/>
  <c r="L25" i="14"/>
  <c r="M25" i="14"/>
  <c r="N25" i="14"/>
  <c r="O25" i="14"/>
  <c r="L26" i="14"/>
  <c r="M26" i="14"/>
  <c r="N26" i="14"/>
  <c r="P26" i="14" s="1"/>
  <c r="O26" i="14"/>
  <c r="L27" i="14"/>
  <c r="M27" i="14"/>
  <c r="N27" i="14"/>
  <c r="Q27" i="14" s="1"/>
  <c r="L28" i="14"/>
  <c r="M28" i="14"/>
  <c r="N28" i="14"/>
  <c r="O28" i="14"/>
  <c r="L29" i="14"/>
  <c r="M29" i="14"/>
  <c r="N29" i="14"/>
  <c r="O29" i="14"/>
  <c r="L30" i="14"/>
  <c r="M30" i="14"/>
  <c r="N30" i="14"/>
  <c r="P30" i="14" s="1"/>
  <c r="O30" i="14"/>
  <c r="L31" i="14"/>
  <c r="M31" i="14"/>
  <c r="N31" i="14"/>
  <c r="Q31" i="14" s="1"/>
  <c r="O31" i="14"/>
  <c r="L32" i="14"/>
  <c r="M32" i="14"/>
  <c r="N32" i="14"/>
  <c r="O32" i="14"/>
  <c r="L33" i="14"/>
  <c r="M33" i="14"/>
  <c r="N33" i="14"/>
  <c r="P33" i="14" s="1"/>
  <c r="O33" i="14"/>
  <c r="L34" i="14"/>
  <c r="M34" i="14"/>
  <c r="N34" i="14"/>
  <c r="P34" i="14" s="1"/>
  <c r="O34" i="14"/>
  <c r="L35" i="14"/>
  <c r="M35" i="14"/>
  <c r="N35" i="14"/>
  <c r="Q35" i="14" s="1"/>
  <c r="O35" i="14"/>
  <c r="L36" i="14"/>
  <c r="M36" i="14"/>
  <c r="N36" i="14"/>
  <c r="O36" i="14"/>
  <c r="L37" i="14"/>
  <c r="M37" i="14"/>
  <c r="N37" i="14"/>
  <c r="P37" i="14" s="1"/>
  <c r="O37" i="14"/>
  <c r="L38" i="14"/>
  <c r="M38" i="14"/>
  <c r="N38" i="14"/>
  <c r="P38" i="14" s="1"/>
  <c r="O38" i="14"/>
  <c r="L39" i="14"/>
  <c r="M39" i="14"/>
  <c r="N39" i="14"/>
  <c r="Q39" i="14" s="1"/>
  <c r="L40" i="14"/>
  <c r="M40" i="14"/>
  <c r="N40" i="14"/>
  <c r="O40" i="14"/>
  <c r="L41" i="14"/>
  <c r="M41" i="14"/>
  <c r="N41" i="14"/>
  <c r="P41" i="14" s="1"/>
  <c r="O41" i="14"/>
  <c r="L42" i="14"/>
  <c r="M42" i="14"/>
  <c r="N42" i="14"/>
  <c r="P42" i="14" s="1"/>
  <c r="O42" i="14"/>
  <c r="L43" i="14"/>
  <c r="M43" i="14"/>
  <c r="N43" i="14"/>
  <c r="Q43" i="14" s="1"/>
  <c r="O43" i="14"/>
  <c r="L44" i="14"/>
  <c r="M44" i="14"/>
  <c r="N44" i="14"/>
  <c r="O44" i="14"/>
  <c r="Q44" i="14"/>
  <c r="L45" i="14"/>
  <c r="M45" i="14"/>
  <c r="N45" i="14"/>
  <c r="O45" i="14"/>
  <c r="L46" i="14"/>
  <c r="M46" i="14"/>
  <c r="N46" i="14"/>
  <c r="P46" i="14" s="1"/>
  <c r="O46" i="14"/>
  <c r="L47" i="14"/>
  <c r="M47" i="14"/>
  <c r="N47" i="14"/>
  <c r="Q47" i="14" s="1"/>
  <c r="O47" i="14"/>
  <c r="L48" i="14"/>
  <c r="M48" i="14"/>
  <c r="N48" i="14"/>
  <c r="O48" i="14"/>
  <c r="L49" i="14"/>
  <c r="M49" i="14"/>
  <c r="N49" i="14"/>
  <c r="Q49" i="14" s="1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M14" i="13"/>
  <c r="N14" i="13"/>
  <c r="M15" i="13"/>
  <c r="N15" i="13"/>
  <c r="O15" i="13" s="1"/>
  <c r="M16" i="13"/>
  <c r="N16" i="13"/>
  <c r="O16" i="13" s="1"/>
  <c r="M17" i="13"/>
  <c r="N17" i="13"/>
  <c r="Q17" i="13" s="1"/>
  <c r="M18" i="13"/>
  <c r="N18" i="13"/>
  <c r="Q18" i="13" s="1"/>
  <c r="M19" i="13"/>
  <c r="N19" i="13"/>
  <c r="Q19" i="13" s="1"/>
  <c r="M20" i="13"/>
  <c r="N20" i="13"/>
  <c r="Q20" i="13" s="1"/>
  <c r="M21" i="13"/>
  <c r="N21" i="13"/>
  <c r="Q21" i="13" s="1"/>
  <c r="M22" i="13"/>
  <c r="N22" i="13"/>
  <c r="Q22" i="13" s="1"/>
  <c r="M23" i="13"/>
  <c r="N23" i="13"/>
  <c r="Q23" i="13" s="1"/>
  <c r="M24" i="13"/>
  <c r="N24" i="13"/>
  <c r="Q24" i="13" s="1"/>
  <c r="M25" i="13"/>
  <c r="N25" i="13"/>
  <c r="Q25" i="13" s="1"/>
  <c r="M26" i="13"/>
  <c r="N26" i="13"/>
  <c r="Q26" i="13" s="1"/>
  <c r="M27" i="13"/>
  <c r="N27" i="13"/>
  <c r="Q27" i="13" s="1"/>
  <c r="M28" i="13"/>
  <c r="N28" i="13"/>
  <c r="Q28" i="13" s="1"/>
  <c r="M29" i="13"/>
  <c r="N29" i="13"/>
  <c r="Q29" i="13" s="1"/>
  <c r="M30" i="13"/>
  <c r="N30" i="13"/>
  <c r="Q30" i="13" s="1"/>
  <c r="O30" i="13"/>
  <c r="M31" i="13"/>
  <c r="N31" i="13"/>
  <c r="Q31" i="13" s="1"/>
  <c r="O31" i="13"/>
  <c r="M32" i="13"/>
  <c r="N32" i="13"/>
  <c r="Q32" i="13" s="1"/>
  <c r="M33" i="13"/>
  <c r="N33" i="13"/>
  <c r="Q33" i="13" s="1"/>
  <c r="O33" i="13"/>
  <c r="M34" i="13"/>
  <c r="N34" i="13"/>
  <c r="Q34" i="13" s="1"/>
  <c r="O34" i="13"/>
  <c r="M35" i="13"/>
  <c r="N35" i="13"/>
  <c r="Q35" i="13" s="1"/>
  <c r="M36" i="13"/>
  <c r="N36" i="13"/>
  <c r="Q36" i="13" s="1"/>
  <c r="O36" i="13"/>
  <c r="M37" i="13"/>
  <c r="N37" i="13"/>
  <c r="Q37" i="13" s="1"/>
  <c r="O37" i="13"/>
  <c r="M38" i="13"/>
  <c r="N38" i="13"/>
  <c r="Q38" i="13" s="1"/>
  <c r="M39" i="13"/>
  <c r="N39" i="13"/>
  <c r="Q39" i="13" s="1"/>
  <c r="M40" i="13"/>
  <c r="N40" i="13"/>
  <c r="Q40" i="13" s="1"/>
  <c r="O40" i="13"/>
  <c r="M41" i="13"/>
  <c r="N41" i="13"/>
  <c r="Q41" i="13" s="1"/>
  <c r="O41" i="13"/>
  <c r="M42" i="13"/>
  <c r="N42" i="13"/>
  <c r="Q42" i="13" s="1"/>
  <c r="O42" i="13"/>
  <c r="M43" i="13"/>
  <c r="N43" i="13"/>
  <c r="Q43" i="13" s="1"/>
  <c r="O43" i="13"/>
  <c r="M44" i="13"/>
  <c r="N44" i="13"/>
  <c r="Q44" i="13" s="1"/>
  <c r="M45" i="13"/>
  <c r="N45" i="13"/>
  <c r="Q45" i="13" s="1"/>
  <c r="O45" i="13"/>
  <c r="M46" i="13"/>
  <c r="N46" i="13"/>
  <c r="Q46" i="13" s="1"/>
  <c r="O46" i="13"/>
  <c r="M47" i="13"/>
  <c r="N47" i="13"/>
  <c r="Q47" i="13" s="1"/>
  <c r="M48" i="13"/>
  <c r="N48" i="13"/>
  <c r="Q48" i="13" s="1"/>
  <c r="O48" i="13"/>
  <c r="M49" i="13"/>
  <c r="N49" i="13"/>
  <c r="Q49" i="13" s="1"/>
  <c r="O23" i="13" l="1"/>
  <c r="K7" i="26"/>
  <c r="O14" i="14"/>
  <c r="O28" i="13"/>
  <c r="P16" i="14"/>
  <c r="O22" i="14"/>
  <c r="O49" i="14"/>
  <c r="O39" i="14"/>
  <c r="O27" i="14"/>
  <c r="P21" i="14"/>
  <c r="O47" i="13"/>
  <c r="O44" i="13"/>
  <c r="O39" i="13"/>
  <c r="O38" i="13"/>
  <c r="O35" i="13"/>
  <c r="O32" i="13"/>
  <c r="O27" i="13"/>
  <c r="O22" i="13"/>
  <c r="O21" i="13"/>
  <c r="O17" i="13"/>
  <c r="O16" i="14"/>
  <c r="O15" i="14"/>
  <c r="P14" i="13"/>
  <c r="O29" i="13"/>
  <c r="O24" i="13"/>
  <c r="O19" i="13"/>
  <c r="P49" i="14"/>
  <c r="P47" i="13"/>
  <c r="O49" i="13"/>
  <c r="O20" i="13"/>
  <c r="O14" i="13"/>
  <c r="P30" i="13"/>
  <c r="P44" i="14"/>
  <c r="Q17" i="14"/>
  <c r="P32" i="13"/>
  <c r="P27" i="13"/>
  <c r="R43" i="14"/>
  <c r="R21" i="14"/>
  <c r="Q33" i="14"/>
  <c r="R22" i="14"/>
  <c r="R47" i="14"/>
  <c r="P40" i="14"/>
  <c r="Q20" i="14"/>
  <c r="Q36" i="14"/>
  <c r="Q24" i="14"/>
  <c r="Q21" i="14"/>
  <c r="R33" i="14"/>
  <c r="Q29" i="14"/>
  <c r="P24" i="14"/>
  <c r="R17" i="14"/>
  <c r="R27" i="14"/>
  <c r="P42" i="13"/>
  <c r="P38" i="13"/>
  <c r="R38" i="13"/>
  <c r="P43" i="13"/>
  <c r="P31" i="13"/>
  <c r="R44" i="13"/>
  <c r="R37" i="14"/>
  <c r="R49" i="14"/>
  <c r="Q40" i="14"/>
  <c r="R29" i="14"/>
  <c r="R18" i="14"/>
  <c r="Q37" i="14"/>
  <c r="R34" i="14"/>
  <c r="R31" i="14"/>
  <c r="Q28" i="14"/>
  <c r="R38" i="14"/>
  <c r="P28" i="14"/>
  <c r="P39" i="13"/>
  <c r="R36" i="13"/>
  <c r="R48" i="13"/>
  <c r="R42" i="13"/>
  <c r="R30" i="13"/>
  <c r="Q14" i="13"/>
  <c r="R34" i="13"/>
  <c r="R46" i="13"/>
  <c r="P34" i="13"/>
  <c r="R17" i="13"/>
  <c r="R14" i="13"/>
  <c r="R40" i="13"/>
  <c r="P46" i="13"/>
  <c r="P35" i="13"/>
  <c r="R32" i="13"/>
  <c r="P17" i="13"/>
  <c r="P24" i="13"/>
  <c r="P22" i="13"/>
  <c r="O26" i="13"/>
  <c r="O25" i="13"/>
  <c r="R24" i="13"/>
  <c r="R22" i="13"/>
  <c r="P19" i="13"/>
  <c r="R18" i="13"/>
  <c r="O18" i="13"/>
  <c r="R28" i="13"/>
  <c r="R26" i="13"/>
  <c r="P23" i="13"/>
  <c r="R20" i="13"/>
  <c r="P18" i="13"/>
  <c r="Q16" i="13"/>
  <c r="R16" i="13"/>
  <c r="P28" i="13"/>
  <c r="P26" i="13"/>
  <c r="P20" i="13"/>
  <c r="P16" i="13"/>
  <c r="Q45" i="14"/>
  <c r="Q48" i="14"/>
  <c r="R46" i="14"/>
  <c r="P45" i="14"/>
  <c r="Q41" i="14"/>
  <c r="R41" i="14"/>
  <c r="R39" i="14"/>
  <c r="P36" i="14"/>
  <c r="Q32" i="14"/>
  <c r="R30" i="14"/>
  <c r="P29" i="14"/>
  <c r="Q25" i="14"/>
  <c r="R25" i="14"/>
  <c r="R23" i="14"/>
  <c r="P20" i="14"/>
  <c r="Q16" i="14"/>
  <c r="R14" i="14"/>
  <c r="P48" i="14"/>
  <c r="R42" i="14"/>
  <c r="R35" i="14"/>
  <c r="P32" i="14"/>
  <c r="R26" i="14"/>
  <c r="P25" i="14"/>
  <c r="R19" i="14"/>
  <c r="R15" i="14"/>
  <c r="Q14" i="14"/>
  <c r="R45" i="14"/>
  <c r="R49" i="13"/>
  <c r="P48" i="13"/>
  <c r="R45" i="13"/>
  <c r="P44" i="13"/>
  <c r="R41" i="13"/>
  <c r="P40" i="13"/>
  <c r="R37" i="13"/>
  <c r="P36" i="13"/>
  <c r="R33" i="13"/>
  <c r="R29" i="13"/>
  <c r="R25" i="13"/>
  <c r="R21" i="13"/>
  <c r="Q15" i="13"/>
  <c r="R15" i="13"/>
  <c r="P49" i="13"/>
  <c r="P37" i="13"/>
  <c r="P33" i="13"/>
  <c r="P29" i="13"/>
  <c r="P25" i="13"/>
  <c r="P21" i="13"/>
  <c r="P15" i="13"/>
  <c r="P45" i="13"/>
  <c r="P41" i="13"/>
  <c r="R47" i="13"/>
  <c r="R43" i="13"/>
  <c r="R39" i="13"/>
  <c r="R35" i="13"/>
  <c r="R31" i="13"/>
  <c r="R27" i="13"/>
  <c r="R23" i="13"/>
  <c r="R19" i="13"/>
  <c r="P47" i="14"/>
  <c r="Q46" i="14"/>
  <c r="P43" i="14"/>
  <c r="Q42" i="14"/>
  <c r="P39" i="14"/>
  <c r="Q38" i="14"/>
  <c r="P35" i="14"/>
  <c r="Q34" i="14"/>
  <c r="P31" i="14"/>
  <c r="Q30" i="14"/>
  <c r="P27" i="14"/>
  <c r="Q26" i="14"/>
  <c r="P23" i="14"/>
  <c r="Q22" i="14"/>
  <c r="P19" i="14"/>
  <c r="Q18" i="14"/>
  <c r="P15" i="14"/>
  <c r="R48" i="14"/>
  <c r="R44" i="14"/>
  <c r="R40" i="14"/>
  <c r="R36" i="14"/>
  <c r="R32" i="14"/>
  <c r="R28" i="14"/>
  <c r="R24" i="14"/>
  <c r="R20" i="14"/>
  <c r="R16" i="14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47" i="15"/>
  <c r="O48" i="15"/>
  <c r="O49" i="15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14" i="19"/>
  <c r="O15" i="19"/>
  <c r="O16" i="19"/>
  <c r="O17" i="19"/>
  <c r="O18" i="19"/>
  <c r="O19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14" i="20"/>
  <c r="O15" i="20"/>
  <c r="O16" i="20"/>
  <c r="O17" i="20"/>
  <c r="O18" i="20"/>
  <c r="O19" i="20"/>
  <c r="O20" i="20"/>
  <c r="O21" i="20"/>
  <c r="O22" i="20"/>
  <c r="O23" i="20"/>
  <c r="O24" i="20"/>
  <c r="O25" i="20"/>
  <c r="O26" i="20"/>
  <c r="O27" i="20"/>
  <c r="O28" i="20"/>
  <c r="O29" i="20"/>
  <c r="O30" i="20"/>
  <c r="O31" i="20"/>
  <c r="O32" i="20"/>
  <c r="O33" i="20"/>
  <c r="O34" i="20"/>
  <c r="O35" i="20"/>
  <c r="O36" i="20"/>
  <c r="O37" i="20"/>
  <c r="O38" i="20"/>
  <c r="O39" i="20"/>
  <c r="O40" i="20"/>
  <c r="O41" i="20"/>
  <c r="O42" i="20"/>
  <c r="O43" i="20"/>
  <c r="O44" i="20"/>
  <c r="O45" i="20"/>
  <c r="O46" i="20"/>
  <c r="O47" i="20"/>
  <c r="O48" i="20"/>
  <c r="O49" i="20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14" i="23"/>
  <c r="O15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O39" i="23"/>
  <c r="O40" i="23"/>
  <c r="O41" i="23"/>
  <c r="O42" i="23"/>
  <c r="O43" i="23"/>
  <c r="O44" i="23"/>
  <c r="O45" i="23"/>
  <c r="O46" i="23"/>
  <c r="O47" i="23"/>
  <c r="O48" i="23"/>
  <c r="O49" i="23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37" i="22"/>
  <c r="O38" i="22"/>
  <c r="O39" i="22"/>
  <c r="O40" i="22"/>
  <c r="O41" i="22"/>
  <c r="O42" i="22"/>
  <c r="O43" i="22"/>
  <c r="O44" i="22"/>
  <c r="O45" i="22"/>
  <c r="O46" i="22"/>
  <c r="O47" i="22"/>
  <c r="O48" i="22"/>
  <c r="O49" i="22"/>
  <c r="O14" i="21"/>
  <c r="O15" i="21"/>
  <c r="O16" i="21"/>
  <c r="O17" i="21"/>
  <c r="O18" i="21"/>
  <c r="O19" i="21"/>
  <c r="O20" i="21"/>
  <c r="O21" i="21"/>
  <c r="O22" i="21"/>
  <c r="O23" i="21"/>
  <c r="O24" i="21"/>
  <c r="O25" i="21"/>
  <c r="O26" i="21"/>
  <c r="O27" i="21"/>
  <c r="O28" i="21"/>
  <c r="O29" i="21"/>
  <c r="O30" i="21"/>
  <c r="O31" i="21"/>
  <c r="O32" i="21"/>
  <c r="O33" i="21"/>
  <c r="O34" i="21"/>
  <c r="O35" i="21"/>
  <c r="O36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13" i="22"/>
  <c r="O13" i="23"/>
  <c r="O13" i="25"/>
  <c r="O13" i="20"/>
  <c r="O13" i="16"/>
  <c r="K8" i="26" l="1"/>
  <c r="I5" i="22"/>
  <c r="I5" i="23"/>
  <c r="I5" i="24"/>
  <c r="I5" i="25"/>
  <c r="I5" i="20"/>
  <c r="I5" i="19"/>
  <c r="I5" i="17"/>
  <c r="I5" i="16"/>
  <c r="I5" i="15"/>
  <c r="K9" i="26" l="1"/>
  <c r="K10" i="26" s="1"/>
  <c r="K11" i="26" s="1"/>
  <c r="N49" i="25"/>
  <c r="M49" i="25"/>
  <c r="L49" i="25"/>
  <c r="J49" i="25"/>
  <c r="N48" i="25"/>
  <c r="Q48" i="25" s="1"/>
  <c r="M48" i="25"/>
  <c r="L48" i="25"/>
  <c r="J48" i="25"/>
  <c r="N47" i="25"/>
  <c r="M47" i="25"/>
  <c r="L47" i="25"/>
  <c r="J47" i="25"/>
  <c r="N46" i="25"/>
  <c r="M46" i="25"/>
  <c r="L46" i="25"/>
  <c r="J46" i="25"/>
  <c r="N45" i="25"/>
  <c r="M45" i="25"/>
  <c r="L45" i="25"/>
  <c r="J45" i="25"/>
  <c r="N44" i="25"/>
  <c r="M44" i="25"/>
  <c r="L44" i="25"/>
  <c r="J44" i="25"/>
  <c r="N43" i="25"/>
  <c r="P43" i="25" s="1"/>
  <c r="M43" i="25"/>
  <c r="L43" i="25"/>
  <c r="J43" i="25"/>
  <c r="N42" i="25"/>
  <c r="M42" i="25"/>
  <c r="L42" i="25"/>
  <c r="J42" i="25"/>
  <c r="N41" i="25"/>
  <c r="M41" i="25"/>
  <c r="L41" i="25"/>
  <c r="J41" i="25"/>
  <c r="N40" i="25"/>
  <c r="Q40" i="25" s="1"/>
  <c r="M40" i="25"/>
  <c r="L40" i="25"/>
  <c r="J40" i="25"/>
  <c r="N39" i="25"/>
  <c r="M39" i="25"/>
  <c r="L39" i="25"/>
  <c r="J39" i="25"/>
  <c r="N38" i="25"/>
  <c r="Q38" i="25" s="1"/>
  <c r="M38" i="25"/>
  <c r="L38" i="25"/>
  <c r="J38" i="25"/>
  <c r="N37" i="25"/>
  <c r="M37" i="25"/>
  <c r="L37" i="25"/>
  <c r="J37" i="25"/>
  <c r="N36" i="25"/>
  <c r="P36" i="25" s="1"/>
  <c r="M36" i="25"/>
  <c r="L36" i="25"/>
  <c r="J36" i="25"/>
  <c r="N35" i="25"/>
  <c r="P35" i="25" s="1"/>
  <c r="M35" i="25"/>
  <c r="L35" i="25"/>
  <c r="J35" i="25"/>
  <c r="N34" i="25"/>
  <c r="M34" i="25"/>
  <c r="L34" i="25"/>
  <c r="J34" i="25"/>
  <c r="N33" i="25"/>
  <c r="M33" i="25"/>
  <c r="L33" i="25"/>
  <c r="J33" i="25"/>
  <c r="N32" i="25"/>
  <c r="Q32" i="25" s="1"/>
  <c r="M32" i="25"/>
  <c r="L32" i="25"/>
  <c r="J32" i="25"/>
  <c r="N31" i="25"/>
  <c r="M31" i="25"/>
  <c r="L31" i="25"/>
  <c r="J31" i="25"/>
  <c r="N30" i="25"/>
  <c r="M30" i="25"/>
  <c r="L30" i="25"/>
  <c r="J30" i="25"/>
  <c r="N29" i="25"/>
  <c r="M29" i="25"/>
  <c r="L29" i="25"/>
  <c r="J29" i="25"/>
  <c r="N28" i="25"/>
  <c r="M28" i="25"/>
  <c r="L28" i="25"/>
  <c r="J28" i="25"/>
  <c r="N27" i="25"/>
  <c r="P27" i="25" s="1"/>
  <c r="M27" i="25"/>
  <c r="L27" i="25"/>
  <c r="J27" i="25"/>
  <c r="N26" i="25"/>
  <c r="M26" i="25"/>
  <c r="L26" i="25"/>
  <c r="J26" i="25"/>
  <c r="N25" i="25"/>
  <c r="Q25" i="25" s="1"/>
  <c r="M25" i="25"/>
  <c r="L25" i="25"/>
  <c r="J25" i="25"/>
  <c r="N24" i="25"/>
  <c r="Q24" i="25" s="1"/>
  <c r="M24" i="25"/>
  <c r="L24" i="25"/>
  <c r="J24" i="25"/>
  <c r="N23" i="25"/>
  <c r="M23" i="25"/>
  <c r="L23" i="25"/>
  <c r="J23" i="25"/>
  <c r="N22" i="25"/>
  <c r="M22" i="25"/>
  <c r="L22" i="25"/>
  <c r="J22" i="25"/>
  <c r="N21" i="25"/>
  <c r="M21" i="25"/>
  <c r="L21" i="25"/>
  <c r="J21" i="25"/>
  <c r="N20" i="25"/>
  <c r="M20" i="25"/>
  <c r="L20" i="25"/>
  <c r="J20" i="25"/>
  <c r="N19" i="25"/>
  <c r="P19" i="25" s="1"/>
  <c r="M19" i="25"/>
  <c r="L19" i="25"/>
  <c r="J19" i="25"/>
  <c r="N18" i="25"/>
  <c r="M18" i="25"/>
  <c r="L18" i="25"/>
  <c r="J18" i="25"/>
  <c r="N17" i="25"/>
  <c r="P17" i="25" s="1"/>
  <c r="M17" i="25"/>
  <c r="L17" i="25"/>
  <c r="J17" i="25"/>
  <c r="N16" i="25"/>
  <c r="Q16" i="25" s="1"/>
  <c r="M16" i="25"/>
  <c r="L16" i="25"/>
  <c r="J16" i="25"/>
  <c r="N15" i="25"/>
  <c r="M15" i="25"/>
  <c r="L15" i="25"/>
  <c r="J15" i="25"/>
  <c r="N14" i="25"/>
  <c r="Q14" i="25" s="1"/>
  <c r="M14" i="25"/>
  <c r="L14" i="25"/>
  <c r="J14" i="25"/>
  <c r="N13" i="25"/>
  <c r="M13" i="25"/>
  <c r="L13" i="25"/>
  <c r="J13" i="25"/>
  <c r="N49" i="24"/>
  <c r="M49" i="24"/>
  <c r="L49" i="24"/>
  <c r="J49" i="24"/>
  <c r="N48" i="24"/>
  <c r="Q48" i="24" s="1"/>
  <c r="M48" i="24"/>
  <c r="L48" i="24"/>
  <c r="J48" i="24"/>
  <c r="N47" i="24"/>
  <c r="M47" i="24"/>
  <c r="L47" i="24"/>
  <c r="J47" i="24"/>
  <c r="N46" i="24"/>
  <c r="P46" i="24" s="1"/>
  <c r="M46" i="24"/>
  <c r="L46" i="24"/>
  <c r="J46" i="24"/>
  <c r="N45" i="24"/>
  <c r="M45" i="24"/>
  <c r="L45" i="24"/>
  <c r="J45" i="24"/>
  <c r="N44" i="24"/>
  <c r="M44" i="24"/>
  <c r="L44" i="24"/>
  <c r="J44" i="24"/>
  <c r="N43" i="24"/>
  <c r="P43" i="24" s="1"/>
  <c r="M43" i="24"/>
  <c r="L43" i="24"/>
  <c r="J43" i="24"/>
  <c r="N42" i="24"/>
  <c r="M42" i="24"/>
  <c r="L42" i="24"/>
  <c r="J42" i="24"/>
  <c r="N41" i="24"/>
  <c r="M41" i="24"/>
  <c r="L41" i="24"/>
  <c r="J41" i="24"/>
  <c r="N40" i="24"/>
  <c r="Q40" i="24" s="1"/>
  <c r="M40" i="24"/>
  <c r="L40" i="24"/>
  <c r="J40" i="24"/>
  <c r="N39" i="24"/>
  <c r="M39" i="24"/>
  <c r="L39" i="24"/>
  <c r="J39" i="24"/>
  <c r="N38" i="24"/>
  <c r="M38" i="24"/>
  <c r="L38" i="24"/>
  <c r="J38" i="24"/>
  <c r="N37" i="24"/>
  <c r="M37" i="24"/>
  <c r="L37" i="24"/>
  <c r="J37" i="24"/>
  <c r="N36" i="24"/>
  <c r="M36" i="24"/>
  <c r="L36" i="24"/>
  <c r="J36" i="24"/>
  <c r="N35" i="24"/>
  <c r="P35" i="24" s="1"/>
  <c r="M35" i="24"/>
  <c r="L35" i="24"/>
  <c r="J35" i="24"/>
  <c r="N34" i="24"/>
  <c r="M34" i="24"/>
  <c r="L34" i="24"/>
  <c r="J34" i="24"/>
  <c r="N33" i="24"/>
  <c r="P33" i="24" s="1"/>
  <c r="M33" i="24"/>
  <c r="L33" i="24"/>
  <c r="J33" i="24"/>
  <c r="N32" i="24"/>
  <c r="Q32" i="24" s="1"/>
  <c r="M32" i="24"/>
  <c r="L32" i="24"/>
  <c r="J32" i="24"/>
  <c r="N31" i="24"/>
  <c r="M31" i="24"/>
  <c r="L31" i="24"/>
  <c r="J31" i="24"/>
  <c r="N30" i="24"/>
  <c r="M30" i="24"/>
  <c r="L30" i="24"/>
  <c r="J30" i="24"/>
  <c r="N29" i="24"/>
  <c r="M29" i="24"/>
  <c r="L29" i="24"/>
  <c r="J29" i="24"/>
  <c r="N28" i="24"/>
  <c r="P28" i="24" s="1"/>
  <c r="M28" i="24"/>
  <c r="L28" i="24"/>
  <c r="J28" i="24"/>
  <c r="N27" i="24"/>
  <c r="P27" i="24" s="1"/>
  <c r="M27" i="24"/>
  <c r="L27" i="24"/>
  <c r="J27" i="24"/>
  <c r="N26" i="24"/>
  <c r="M26" i="24"/>
  <c r="L26" i="24"/>
  <c r="J26" i="24"/>
  <c r="N25" i="24"/>
  <c r="P25" i="24" s="1"/>
  <c r="M25" i="24"/>
  <c r="L25" i="24"/>
  <c r="J25" i="24"/>
  <c r="N24" i="24"/>
  <c r="Q24" i="24" s="1"/>
  <c r="M24" i="24"/>
  <c r="L24" i="24"/>
  <c r="J24" i="24"/>
  <c r="N23" i="24"/>
  <c r="M23" i="24"/>
  <c r="L23" i="24"/>
  <c r="J23" i="24"/>
  <c r="N22" i="24"/>
  <c r="M22" i="24"/>
  <c r="L22" i="24"/>
  <c r="J22" i="24"/>
  <c r="N21" i="24"/>
  <c r="M21" i="24"/>
  <c r="L21" i="24"/>
  <c r="J21" i="24"/>
  <c r="N20" i="24"/>
  <c r="M20" i="24"/>
  <c r="L20" i="24"/>
  <c r="J20" i="24"/>
  <c r="N19" i="24"/>
  <c r="P19" i="24" s="1"/>
  <c r="M19" i="24"/>
  <c r="L19" i="24"/>
  <c r="J19" i="24"/>
  <c r="N18" i="24"/>
  <c r="M18" i="24"/>
  <c r="L18" i="24"/>
  <c r="J18" i="24"/>
  <c r="N17" i="24"/>
  <c r="M17" i="24"/>
  <c r="L17" i="24"/>
  <c r="J17" i="24"/>
  <c r="N16" i="24"/>
  <c r="Q16" i="24" s="1"/>
  <c r="M16" i="24"/>
  <c r="L16" i="24"/>
  <c r="J16" i="24"/>
  <c r="N15" i="24"/>
  <c r="M15" i="24"/>
  <c r="L15" i="24"/>
  <c r="J15" i="24"/>
  <c r="N14" i="24"/>
  <c r="M14" i="24"/>
  <c r="L14" i="24"/>
  <c r="J14" i="24"/>
  <c r="N13" i="24"/>
  <c r="O13" i="24" s="1"/>
  <c r="M13" i="24"/>
  <c r="L13" i="24"/>
  <c r="J13" i="24"/>
  <c r="N49" i="23"/>
  <c r="M49" i="23"/>
  <c r="L49" i="23"/>
  <c r="J49" i="23"/>
  <c r="N48" i="23"/>
  <c r="M48" i="23"/>
  <c r="L48" i="23"/>
  <c r="J48" i="23"/>
  <c r="N47" i="23"/>
  <c r="M47" i="23"/>
  <c r="L47" i="23"/>
  <c r="J47" i="23"/>
  <c r="N46" i="23"/>
  <c r="P46" i="23" s="1"/>
  <c r="M46" i="23"/>
  <c r="L46" i="23"/>
  <c r="J46" i="23"/>
  <c r="N45" i="23"/>
  <c r="M45" i="23"/>
  <c r="L45" i="23"/>
  <c r="J45" i="23"/>
  <c r="N44" i="23"/>
  <c r="M44" i="23"/>
  <c r="L44" i="23"/>
  <c r="J44" i="23"/>
  <c r="N43" i="23"/>
  <c r="P43" i="23" s="1"/>
  <c r="M43" i="23"/>
  <c r="L43" i="23"/>
  <c r="J43" i="23"/>
  <c r="N42" i="23"/>
  <c r="M42" i="23"/>
  <c r="L42" i="23"/>
  <c r="J42" i="23"/>
  <c r="N41" i="23"/>
  <c r="M41" i="23"/>
  <c r="L41" i="23"/>
  <c r="J41" i="23"/>
  <c r="N40" i="23"/>
  <c r="Q40" i="23" s="1"/>
  <c r="M40" i="23"/>
  <c r="L40" i="23"/>
  <c r="J40" i="23"/>
  <c r="N39" i="23"/>
  <c r="M39" i="23"/>
  <c r="L39" i="23"/>
  <c r="J39" i="23"/>
  <c r="N38" i="23"/>
  <c r="Q38" i="23" s="1"/>
  <c r="M38" i="23"/>
  <c r="L38" i="23"/>
  <c r="J38" i="23"/>
  <c r="N37" i="23"/>
  <c r="M37" i="23"/>
  <c r="L37" i="23"/>
  <c r="J37" i="23"/>
  <c r="N36" i="23"/>
  <c r="M36" i="23"/>
  <c r="L36" i="23"/>
  <c r="J36" i="23"/>
  <c r="N35" i="23"/>
  <c r="M35" i="23"/>
  <c r="L35" i="23"/>
  <c r="J35" i="23"/>
  <c r="N34" i="23"/>
  <c r="M34" i="23"/>
  <c r="L34" i="23"/>
  <c r="J34" i="23"/>
  <c r="N33" i="23"/>
  <c r="M33" i="23"/>
  <c r="L33" i="23"/>
  <c r="J33" i="23"/>
  <c r="N32" i="23"/>
  <c r="M32" i="23"/>
  <c r="L32" i="23"/>
  <c r="J32" i="23"/>
  <c r="N31" i="23"/>
  <c r="M31" i="23"/>
  <c r="L31" i="23"/>
  <c r="J31" i="23"/>
  <c r="N30" i="23"/>
  <c r="P30" i="23" s="1"/>
  <c r="M30" i="23"/>
  <c r="L30" i="23"/>
  <c r="J30" i="23"/>
  <c r="N29" i="23"/>
  <c r="Q29" i="23" s="1"/>
  <c r="M29" i="23"/>
  <c r="L29" i="23"/>
  <c r="J29" i="23"/>
  <c r="N28" i="23"/>
  <c r="M28" i="23"/>
  <c r="L28" i="23"/>
  <c r="J28" i="23"/>
  <c r="N27" i="23"/>
  <c r="P27" i="23" s="1"/>
  <c r="M27" i="23"/>
  <c r="L27" i="23"/>
  <c r="J27" i="23"/>
  <c r="N26" i="23"/>
  <c r="M26" i="23"/>
  <c r="L26" i="23"/>
  <c r="J26" i="23"/>
  <c r="N25" i="23"/>
  <c r="P25" i="23" s="1"/>
  <c r="M25" i="23"/>
  <c r="L25" i="23"/>
  <c r="J25" i="23"/>
  <c r="N24" i="23"/>
  <c r="Q24" i="23" s="1"/>
  <c r="M24" i="23"/>
  <c r="L24" i="23"/>
  <c r="J24" i="23"/>
  <c r="N23" i="23"/>
  <c r="M23" i="23"/>
  <c r="L23" i="23"/>
  <c r="J23" i="23"/>
  <c r="N22" i="23"/>
  <c r="M22" i="23"/>
  <c r="L22" i="23"/>
  <c r="J22" i="23"/>
  <c r="N21" i="23"/>
  <c r="Q21" i="23" s="1"/>
  <c r="M21" i="23"/>
  <c r="L21" i="23"/>
  <c r="J21" i="23"/>
  <c r="N20" i="23"/>
  <c r="M20" i="23"/>
  <c r="L20" i="23"/>
  <c r="J20" i="23"/>
  <c r="N19" i="23"/>
  <c r="M19" i="23"/>
  <c r="L19" i="23"/>
  <c r="J19" i="23"/>
  <c r="N18" i="23"/>
  <c r="M18" i="23"/>
  <c r="L18" i="23"/>
  <c r="J18" i="23"/>
  <c r="N17" i="23"/>
  <c r="Q17" i="23" s="1"/>
  <c r="M17" i="23"/>
  <c r="L17" i="23"/>
  <c r="J17" i="23"/>
  <c r="N16" i="23"/>
  <c r="O16" i="23" s="1"/>
  <c r="M16" i="23"/>
  <c r="L16" i="23"/>
  <c r="J16" i="23"/>
  <c r="N15" i="23"/>
  <c r="M15" i="23"/>
  <c r="L15" i="23"/>
  <c r="J15" i="23"/>
  <c r="N14" i="23"/>
  <c r="P14" i="23" s="1"/>
  <c r="M14" i="23"/>
  <c r="L14" i="23"/>
  <c r="J14" i="23"/>
  <c r="N13" i="23"/>
  <c r="M13" i="23"/>
  <c r="L13" i="23"/>
  <c r="J13" i="23"/>
  <c r="N49" i="22"/>
  <c r="M49" i="22"/>
  <c r="L49" i="22"/>
  <c r="J49" i="22"/>
  <c r="N48" i="22"/>
  <c r="M48" i="22"/>
  <c r="L48" i="22"/>
  <c r="J48" i="22"/>
  <c r="N47" i="22"/>
  <c r="M47" i="22"/>
  <c r="L47" i="22"/>
  <c r="J47" i="22"/>
  <c r="N46" i="22"/>
  <c r="P46" i="22" s="1"/>
  <c r="M46" i="22"/>
  <c r="L46" i="22"/>
  <c r="J46" i="22"/>
  <c r="N45" i="22"/>
  <c r="Q45" i="22" s="1"/>
  <c r="M45" i="22"/>
  <c r="L45" i="22"/>
  <c r="J45" i="22"/>
  <c r="N44" i="22"/>
  <c r="M44" i="22"/>
  <c r="L44" i="22"/>
  <c r="J44" i="22"/>
  <c r="N43" i="22"/>
  <c r="P43" i="22" s="1"/>
  <c r="M43" i="22"/>
  <c r="L43" i="22"/>
  <c r="J43" i="22"/>
  <c r="N42" i="22"/>
  <c r="M42" i="22"/>
  <c r="L42" i="22"/>
  <c r="J42" i="22"/>
  <c r="N41" i="22"/>
  <c r="P41" i="22" s="1"/>
  <c r="M41" i="22"/>
  <c r="L41" i="22"/>
  <c r="J41" i="22"/>
  <c r="N40" i="22"/>
  <c r="Q40" i="22" s="1"/>
  <c r="M40" i="22"/>
  <c r="L40" i="22"/>
  <c r="J40" i="22"/>
  <c r="N39" i="22"/>
  <c r="M39" i="22"/>
  <c r="L39" i="22"/>
  <c r="J39" i="22"/>
  <c r="N38" i="22"/>
  <c r="Q38" i="22" s="1"/>
  <c r="M38" i="22"/>
  <c r="L38" i="22"/>
  <c r="J38" i="22"/>
  <c r="N37" i="22"/>
  <c r="Q37" i="22" s="1"/>
  <c r="M37" i="22"/>
  <c r="L37" i="22"/>
  <c r="J37" i="22"/>
  <c r="N36" i="22"/>
  <c r="M36" i="22"/>
  <c r="L36" i="22"/>
  <c r="J36" i="22"/>
  <c r="N35" i="22"/>
  <c r="P35" i="22" s="1"/>
  <c r="M35" i="22"/>
  <c r="L35" i="22"/>
  <c r="J35" i="22"/>
  <c r="N34" i="22"/>
  <c r="M34" i="22"/>
  <c r="L34" i="22"/>
  <c r="J34" i="22"/>
  <c r="N33" i="22"/>
  <c r="Q33" i="22" s="1"/>
  <c r="M33" i="22"/>
  <c r="L33" i="22"/>
  <c r="J33" i="22"/>
  <c r="N32" i="22"/>
  <c r="Q32" i="22" s="1"/>
  <c r="M32" i="22"/>
  <c r="L32" i="22"/>
  <c r="J32" i="22"/>
  <c r="N31" i="22"/>
  <c r="M31" i="22"/>
  <c r="L31" i="22"/>
  <c r="J31" i="22"/>
  <c r="N30" i="22"/>
  <c r="P30" i="22" s="1"/>
  <c r="M30" i="22"/>
  <c r="L30" i="22"/>
  <c r="J30" i="22"/>
  <c r="N29" i="22"/>
  <c r="Q29" i="22" s="1"/>
  <c r="M29" i="22"/>
  <c r="L29" i="22"/>
  <c r="J29" i="22"/>
  <c r="N28" i="22"/>
  <c r="M28" i="22"/>
  <c r="L28" i="22"/>
  <c r="J28" i="22"/>
  <c r="N27" i="22"/>
  <c r="P27" i="22" s="1"/>
  <c r="M27" i="22"/>
  <c r="L27" i="22"/>
  <c r="J27" i="22"/>
  <c r="N26" i="22"/>
  <c r="M26" i="22"/>
  <c r="L26" i="22"/>
  <c r="J26" i="22"/>
  <c r="N25" i="22"/>
  <c r="P25" i="22" s="1"/>
  <c r="M25" i="22"/>
  <c r="L25" i="22"/>
  <c r="J25" i="22"/>
  <c r="N24" i="22"/>
  <c r="Q24" i="22" s="1"/>
  <c r="M24" i="22"/>
  <c r="L24" i="22"/>
  <c r="J24" i="22"/>
  <c r="N23" i="22"/>
  <c r="M23" i="22"/>
  <c r="L23" i="22"/>
  <c r="J23" i="22"/>
  <c r="N22" i="22"/>
  <c r="Q22" i="22" s="1"/>
  <c r="M22" i="22"/>
  <c r="L22" i="22"/>
  <c r="J22" i="22"/>
  <c r="N21" i="22"/>
  <c r="M21" i="22"/>
  <c r="L21" i="22"/>
  <c r="J21" i="22"/>
  <c r="N20" i="22"/>
  <c r="M20" i="22"/>
  <c r="L20" i="22"/>
  <c r="J20" i="22"/>
  <c r="N19" i="22"/>
  <c r="P19" i="22" s="1"/>
  <c r="M19" i="22"/>
  <c r="L19" i="22"/>
  <c r="J19" i="22"/>
  <c r="N18" i="22"/>
  <c r="M18" i="22"/>
  <c r="L18" i="22"/>
  <c r="J18" i="22"/>
  <c r="N17" i="22"/>
  <c r="Q17" i="22" s="1"/>
  <c r="M17" i="22"/>
  <c r="L17" i="22"/>
  <c r="J17" i="22"/>
  <c r="N16" i="22"/>
  <c r="Q16" i="22" s="1"/>
  <c r="M16" i="22"/>
  <c r="L16" i="22"/>
  <c r="J16" i="22"/>
  <c r="N15" i="22"/>
  <c r="M15" i="22"/>
  <c r="L15" i="22"/>
  <c r="J15" i="22"/>
  <c r="N14" i="22"/>
  <c r="P14" i="22" s="1"/>
  <c r="M14" i="22"/>
  <c r="L14" i="22"/>
  <c r="J14" i="22"/>
  <c r="N13" i="22"/>
  <c r="Q13" i="22" s="1"/>
  <c r="M13" i="22"/>
  <c r="L13" i="22"/>
  <c r="J13" i="22"/>
  <c r="N49" i="21"/>
  <c r="M49" i="21"/>
  <c r="L49" i="21"/>
  <c r="J49" i="21"/>
  <c r="N48" i="21"/>
  <c r="Q48" i="21" s="1"/>
  <c r="M48" i="21"/>
  <c r="L48" i="21"/>
  <c r="J48" i="21"/>
  <c r="N47" i="21"/>
  <c r="M47" i="21"/>
  <c r="L47" i="21"/>
  <c r="J47" i="21"/>
  <c r="N46" i="21"/>
  <c r="P46" i="21" s="1"/>
  <c r="M46" i="21"/>
  <c r="L46" i="21"/>
  <c r="J46" i="21"/>
  <c r="N45" i="21"/>
  <c r="Q45" i="21" s="1"/>
  <c r="M45" i="21"/>
  <c r="L45" i="21"/>
  <c r="J45" i="21"/>
  <c r="N44" i="21"/>
  <c r="M44" i="21"/>
  <c r="L44" i="21"/>
  <c r="J44" i="21"/>
  <c r="N43" i="21"/>
  <c r="P43" i="21" s="1"/>
  <c r="M43" i="21"/>
  <c r="L43" i="21"/>
  <c r="J43" i="21"/>
  <c r="N42" i="21"/>
  <c r="M42" i="21"/>
  <c r="L42" i="21"/>
  <c r="J42" i="21"/>
  <c r="N41" i="21"/>
  <c r="Q41" i="21" s="1"/>
  <c r="M41" i="21"/>
  <c r="L41" i="21"/>
  <c r="J41" i="21"/>
  <c r="N40" i="21"/>
  <c r="Q40" i="21" s="1"/>
  <c r="M40" i="21"/>
  <c r="L40" i="21"/>
  <c r="J40" i="21"/>
  <c r="N39" i="21"/>
  <c r="M39" i="21"/>
  <c r="L39" i="21"/>
  <c r="J39" i="21"/>
  <c r="N38" i="21"/>
  <c r="P38" i="21" s="1"/>
  <c r="M38" i="21"/>
  <c r="L38" i="21"/>
  <c r="J38" i="21"/>
  <c r="N37" i="21"/>
  <c r="P37" i="21" s="1"/>
  <c r="M37" i="21"/>
  <c r="L37" i="21"/>
  <c r="J37" i="21"/>
  <c r="N36" i="21"/>
  <c r="M36" i="21"/>
  <c r="L36" i="21"/>
  <c r="J36" i="21"/>
  <c r="N35" i="21"/>
  <c r="P35" i="21" s="1"/>
  <c r="M35" i="21"/>
  <c r="L35" i="21"/>
  <c r="J35" i="21"/>
  <c r="N34" i="21"/>
  <c r="M34" i="21"/>
  <c r="L34" i="21"/>
  <c r="J34" i="21"/>
  <c r="N33" i="21"/>
  <c r="M33" i="21"/>
  <c r="L33" i="21"/>
  <c r="J33" i="21"/>
  <c r="N32" i="21"/>
  <c r="Q32" i="21" s="1"/>
  <c r="M32" i="21"/>
  <c r="L32" i="21"/>
  <c r="J32" i="21"/>
  <c r="N31" i="21"/>
  <c r="M31" i="21"/>
  <c r="L31" i="21"/>
  <c r="J31" i="21"/>
  <c r="N30" i="21"/>
  <c r="P30" i="21" s="1"/>
  <c r="M30" i="21"/>
  <c r="L30" i="21"/>
  <c r="J30" i="21"/>
  <c r="N29" i="21"/>
  <c r="P29" i="21" s="1"/>
  <c r="M29" i="21"/>
  <c r="L29" i="21"/>
  <c r="J29" i="21"/>
  <c r="N28" i="21"/>
  <c r="M28" i="21"/>
  <c r="L28" i="21"/>
  <c r="J28" i="21"/>
  <c r="N27" i="21"/>
  <c r="P27" i="21" s="1"/>
  <c r="M27" i="21"/>
  <c r="L27" i="21"/>
  <c r="J27" i="21"/>
  <c r="N26" i="21"/>
  <c r="M26" i="21"/>
  <c r="L26" i="21"/>
  <c r="J26" i="21"/>
  <c r="N25" i="21"/>
  <c r="M25" i="21"/>
  <c r="L25" i="21"/>
  <c r="J25" i="21"/>
  <c r="N24" i="21"/>
  <c r="Q24" i="21" s="1"/>
  <c r="M24" i="21"/>
  <c r="L24" i="21"/>
  <c r="J24" i="21"/>
  <c r="N23" i="21"/>
  <c r="M23" i="21"/>
  <c r="L23" i="21"/>
  <c r="J23" i="21"/>
  <c r="N22" i="21"/>
  <c r="P22" i="21" s="1"/>
  <c r="M22" i="21"/>
  <c r="L22" i="21"/>
  <c r="J22" i="21"/>
  <c r="N21" i="21"/>
  <c r="P21" i="21" s="1"/>
  <c r="M21" i="21"/>
  <c r="L21" i="21"/>
  <c r="J21" i="21"/>
  <c r="N20" i="21"/>
  <c r="M20" i="21"/>
  <c r="L20" i="21"/>
  <c r="J20" i="21"/>
  <c r="N19" i="21"/>
  <c r="P19" i="21" s="1"/>
  <c r="M19" i="21"/>
  <c r="L19" i="21"/>
  <c r="J19" i="21"/>
  <c r="N18" i="21"/>
  <c r="M18" i="21"/>
  <c r="L18" i="21"/>
  <c r="J18" i="21"/>
  <c r="N17" i="21"/>
  <c r="P17" i="21" s="1"/>
  <c r="M17" i="21"/>
  <c r="L17" i="21"/>
  <c r="J17" i="21"/>
  <c r="N16" i="21"/>
  <c r="Q16" i="21" s="1"/>
  <c r="M16" i="21"/>
  <c r="L16" i="21"/>
  <c r="J16" i="21"/>
  <c r="N15" i="21"/>
  <c r="M15" i="21"/>
  <c r="L15" i="21"/>
  <c r="J15" i="21"/>
  <c r="N14" i="21"/>
  <c r="Q14" i="21" s="1"/>
  <c r="M14" i="21"/>
  <c r="L14" i="21"/>
  <c r="J14" i="21"/>
  <c r="N13" i="21"/>
  <c r="M13" i="21"/>
  <c r="L13" i="21"/>
  <c r="J13" i="21"/>
  <c r="N49" i="20"/>
  <c r="M49" i="20"/>
  <c r="L49" i="20"/>
  <c r="J49" i="20"/>
  <c r="N48" i="20"/>
  <c r="M48" i="20"/>
  <c r="L48" i="20"/>
  <c r="J48" i="20"/>
  <c r="N47" i="20"/>
  <c r="M47" i="20"/>
  <c r="L47" i="20"/>
  <c r="J47" i="20"/>
  <c r="N46" i="20"/>
  <c r="Q46" i="20" s="1"/>
  <c r="M46" i="20"/>
  <c r="L46" i="20"/>
  <c r="J46" i="20"/>
  <c r="N45" i="20"/>
  <c r="M45" i="20"/>
  <c r="L45" i="20"/>
  <c r="J45" i="20"/>
  <c r="N44" i="20"/>
  <c r="M44" i="20"/>
  <c r="L44" i="20"/>
  <c r="J44" i="20"/>
  <c r="N43" i="20"/>
  <c r="P43" i="20" s="1"/>
  <c r="M43" i="20"/>
  <c r="L43" i="20"/>
  <c r="J43" i="20"/>
  <c r="N42" i="20"/>
  <c r="M42" i="20"/>
  <c r="L42" i="20"/>
  <c r="J42" i="20"/>
  <c r="N41" i="20"/>
  <c r="M41" i="20"/>
  <c r="L41" i="20"/>
  <c r="J41" i="20"/>
  <c r="N40" i="20"/>
  <c r="M40" i="20"/>
  <c r="L40" i="20"/>
  <c r="J40" i="20"/>
  <c r="N39" i="20"/>
  <c r="M39" i="20"/>
  <c r="L39" i="20"/>
  <c r="J39" i="20"/>
  <c r="N38" i="20"/>
  <c r="P38" i="20" s="1"/>
  <c r="M38" i="20"/>
  <c r="L38" i="20"/>
  <c r="J38" i="20"/>
  <c r="N37" i="20"/>
  <c r="M37" i="20"/>
  <c r="L37" i="20"/>
  <c r="J37" i="20"/>
  <c r="N36" i="20"/>
  <c r="M36" i="20"/>
  <c r="L36" i="20"/>
  <c r="J36" i="20"/>
  <c r="N35" i="20"/>
  <c r="P35" i="20" s="1"/>
  <c r="M35" i="20"/>
  <c r="L35" i="20"/>
  <c r="J35" i="20"/>
  <c r="N34" i="20"/>
  <c r="M34" i="20"/>
  <c r="L34" i="20"/>
  <c r="J34" i="20"/>
  <c r="N33" i="20"/>
  <c r="M33" i="20"/>
  <c r="L33" i="20"/>
  <c r="J33" i="20"/>
  <c r="N32" i="20"/>
  <c r="P32" i="20" s="1"/>
  <c r="M32" i="20"/>
  <c r="L32" i="20"/>
  <c r="J32" i="20"/>
  <c r="N31" i="20"/>
  <c r="M31" i="20"/>
  <c r="L31" i="20"/>
  <c r="J31" i="20"/>
  <c r="N30" i="20"/>
  <c r="Q30" i="20" s="1"/>
  <c r="M30" i="20"/>
  <c r="L30" i="20"/>
  <c r="J30" i="20"/>
  <c r="N29" i="20"/>
  <c r="M29" i="20"/>
  <c r="L29" i="20"/>
  <c r="J29" i="20"/>
  <c r="N28" i="20"/>
  <c r="M28" i="20"/>
  <c r="L28" i="20"/>
  <c r="J28" i="20"/>
  <c r="N27" i="20"/>
  <c r="P27" i="20" s="1"/>
  <c r="M27" i="20"/>
  <c r="L27" i="20"/>
  <c r="J27" i="20"/>
  <c r="N26" i="20"/>
  <c r="M26" i="20"/>
  <c r="L26" i="20"/>
  <c r="J26" i="20"/>
  <c r="N25" i="20"/>
  <c r="M25" i="20"/>
  <c r="L25" i="20"/>
  <c r="J25" i="20"/>
  <c r="N24" i="20"/>
  <c r="Q24" i="20" s="1"/>
  <c r="M24" i="20"/>
  <c r="L24" i="20"/>
  <c r="J24" i="20"/>
  <c r="N23" i="20"/>
  <c r="M23" i="20"/>
  <c r="L23" i="20"/>
  <c r="J23" i="20"/>
  <c r="N22" i="20"/>
  <c r="M22" i="20"/>
  <c r="L22" i="20"/>
  <c r="J22" i="20"/>
  <c r="N21" i="20"/>
  <c r="Q21" i="20" s="1"/>
  <c r="M21" i="20"/>
  <c r="L21" i="20"/>
  <c r="J21" i="20"/>
  <c r="N20" i="20"/>
  <c r="M20" i="20"/>
  <c r="L20" i="20"/>
  <c r="J20" i="20"/>
  <c r="N19" i="20"/>
  <c r="P19" i="20" s="1"/>
  <c r="M19" i="20"/>
  <c r="L19" i="20"/>
  <c r="J19" i="20"/>
  <c r="N18" i="20"/>
  <c r="M18" i="20"/>
  <c r="L18" i="20"/>
  <c r="J18" i="20"/>
  <c r="N17" i="20"/>
  <c r="M17" i="20"/>
  <c r="L17" i="20"/>
  <c r="J17" i="20"/>
  <c r="N16" i="20"/>
  <c r="M16" i="20"/>
  <c r="L16" i="20"/>
  <c r="J16" i="20"/>
  <c r="N15" i="20"/>
  <c r="M15" i="20"/>
  <c r="L15" i="20"/>
  <c r="J15" i="20"/>
  <c r="N14" i="20"/>
  <c r="M14" i="20"/>
  <c r="L14" i="20"/>
  <c r="J14" i="20"/>
  <c r="N13" i="20"/>
  <c r="M13" i="20"/>
  <c r="L13" i="20"/>
  <c r="J13" i="20"/>
  <c r="N49" i="19"/>
  <c r="M49" i="19"/>
  <c r="L49" i="19"/>
  <c r="J49" i="19"/>
  <c r="N48" i="19"/>
  <c r="Q48" i="19" s="1"/>
  <c r="M48" i="19"/>
  <c r="L48" i="19"/>
  <c r="J48" i="19"/>
  <c r="N47" i="19"/>
  <c r="M47" i="19"/>
  <c r="L47" i="19"/>
  <c r="J47" i="19"/>
  <c r="N46" i="19"/>
  <c r="M46" i="19"/>
  <c r="L46" i="19"/>
  <c r="J46" i="19"/>
  <c r="N45" i="19"/>
  <c r="M45" i="19"/>
  <c r="L45" i="19"/>
  <c r="J45" i="19"/>
  <c r="N44" i="19"/>
  <c r="M44" i="19"/>
  <c r="L44" i="19"/>
  <c r="J44" i="19"/>
  <c r="N43" i="19"/>
  <c r="P43" i="19" s="1"/>
  <c r="M43" i="19"/>
  <c r="L43" i="19"/>
  <c r="J43" i="19"/>
  <c r="N42" i="19"/>
  <c r="M42" i="19"/>
  <c r="L42" i="19"/>
  <c r="J42" i="19"/>
  <c r="N41" i="19"/>
  <c r="P41" i="19" s="1"/>
  <c r="M41" i="19"/>
  <c r="L41" i="19"/>
  <c r="J41" i="19"/>
  <c r="N40" i="19"/>
  <c r="M40" i="19"/>
  <c r="L40" i="19"/>
  <c r="J40" i="19"/>
  <c r="N39" i="19"/>
  <c r="M39" i="19"/>
  <c r="L39" i="19"/>
  <c r="J39" i="19"/>
  <c r="N38" i="19"/>
  <c r="Q38" i="19" s="1"/>
  <c r="M38" i="19"/>
  <c r="L38" i="19"/>
  <c r="J38" i="19"/>
  <c r="N37" i="19"/>
  <c r="M37" i="19"/>
  <c r="L37" i="19"/>
  <c r="J37" i="19"/>
  <c r="N36" i="19"/>
  <c r="M36" i="19"/>
  <c r="L36" i="19"/>
  <c r="J36" i="19"/>
  <c r="N35" i="19"/>
  <c r="M35" i="19"/>
  <c r="L35" i="19"/>
  <c r="J35" i="19"/>
  <c r="N34" i="19"/>
  <c r="M34" i="19"/>
  <c r="L34" i="19"/>
  <c r="J34" i="19"/>
  <c r="N33" i="19"/>
  <c r="M33" i="19"/>
  <c r="L33" i="19"/>
  <c r="J33" i="19"/>
  <c r="N32" i="19"/>
  <c r="M32" i="19"/>
  <c r="L32" i="19"/>
  <c r="J32" i="19"/>
  <c r="N31" i="19"/>
  <c r="M31" i="19"/>
  <c r="L31" i="19"/>
  <c r="J31" i="19"/>
  <c r="N30" i="19"/>
  <c r="P30" i="19" s="1"/>
  <c r="M30" i="19"/>
  <c r="L30" i="19"/>
  <c r="J30" i="19"/>
  <c r="N29" i="19"/>
  <c r="M29" i="19"/>
  <c r="L29" i="19"/>
  <c r="J29" i="19"/>
  <c r="N28" i="19"/>
  <c r="M28" i="19"/>
  <c r="L28" i="19"/>
  <c r="J28" i="19"/>
  <c r="N27" i="19"/>
  <c r="Q27" i="19" s="1"/>
  <c r="M27" i="19"/>
  <c r="L27" i="19"/>
  <c r="J27" i="19"/>
  <c r="N26" i="19"/>
  <c r="M26" i="19"/>
  <c r="L26" i="19"/>
  <c r="J26" i="19"/>
  <c r="N25" i="19"/>
  <c r="M25" i="19"/>
  <c r="L25" i="19"/>
  <c r="J25" i="19"/>
  <c r="N24" i="19"/>
  <c r="Q24" i="19" s="1"/>
  <c r="M24" i="19"/>
  <c r="L24" i="19"/>
  <c r="J24" i="19"/>
  <c r="N23" i="19"/>
  <c r="M23" i="19"/>
  <c r="L23" i="19"/>
  <c r="J23" i="19"/>
  <c r="N22" i="19"/>
  <c r="M22" i="19"/>
  <c r="L22" i="19"/>
  <c r="J22" i="19"/>
  <c r="N21" i="19"/>
  <c r="M21" i="19"/>
  <c r="L21" i="19"/>
  <c r="J21" i="19"/>
  <c r="N20" i="19"/>
  <c r="M20" i="19"/>
  <c r="L20" i="19"/>
  <c r="J20" i="19"/>
  <c r="N19" i="19"/>
  <c r="M19" i="19"/>
  <c r="L19" i="19"/>
  <c r="J19" i="19"/>
  <c r="N18" i="19"/>
  <c r="M18" i="19"/>
  <c r="L18" i="19"/>
  <c r="J18" i="19"/>
  <c r="N17" i="19"/>
  <c r="M17" i="19"/>
  <c r="L17" i="19"/>
  <c r="J17" i="19"/>
  <c r="N16" i="19"/>
  <c r="M16" i="19"/>
  <c r="L16" i="19"/>
  <c r="J16" i="19"/>
  <c r="N15" i="19"/>
  <c r="M15" i="19"/>
  <c r="L15" i="19"/>
  <c r="J15" i="19"/>
  <c r="N14" i="19"/>
  <c r="P14" i="19" s="1"/>
  <c r="M14" i="19"/>
  <c r="L14" i="19"/>
  <c r="J14" i="19"/>
  <c r="N13" i="19"/>
  <c r="O13" i="19" s="1"/>
  <c r="M13" i="19"/>
  <c r="L13" i="19"/>
  <c r="J13" i="19"/>
  <c r="N49" i="17"/>
  <c r="M49" i="17"/>
  <c r="L49" i="17"/>
  <c r="J49" i="17"/>
  <c r="N48" i="17"/>
  <c r="M48" i="17"/>
  <c r="L48" i="17"/>
  <c r="J48" i="17"/>
  <c r="N47" i="17"/>
  <c r="M47" i="17"/>
  <c r="L47" i="17"/>
  <c r="J47" i="17"/>
  <c r="N46" i="17"/>
  <c r="Q46" i="17" s="1"/>
  <c r="M46" i="17"/>
  <c r="L46" i="17"/>
  <c r="J46" i="17"/>
  <c r="N45" i="17"/>
  <c r="M45" i="17"/>
  <c r="L45" i="17"/>
  <c r="J45" i="17"/>
  <c r="N44" i="17"/>
  <c r="M44" i="17"/>
  <c r="L44" i="17"/>
  <c r="J44" i="17"/>
  <c r="N43" i="17"/>
  <c r="M43" i="17"/>
  <c r="L43" i="17"/>
  <c r="J43" i="17"/>
  <c r="N42" i="17"/>
  <c r="M42" i="17"/>
  <c r="L42" i="17"/>
  <c r="J42" i="17"/>
  <c r="N41" i="17"/>
  <c r="M41" i="17"/>
  <c r="L41" i="17"/>
  <c r="J41" i="17"/>
  <c r="N40" i="17"/>
  <c r="Q40" i="17" s="1"/>
  <c r="M40" i="17"/>
  <c r="L40" i="17"/>
  <c r="J40" i="17"/>
  <c r="N39" i="17"/>
  <c r="M39" i="17"/>
  <c r="L39" i="17"/>
  <c r="J39" i="17"/>
  <c r="N38" i="17"/>
  <c r="Q38" i="17" s="1"/>
  <c r="M38" i="17"/>
  <c r="L38" i="17"/>
  <c r="J38" i="17"/>
  <c r="N37" i="17"/>
  <c r="M37" i="17"/>
  <c r="L37" i="17"/>
  <c r="J37" i="17"/>
  <c r="N36" i="17"/>
  <c r="M36" i="17"/>
  <c r="L36" i="17"/>
  <c r="J36" i="17"/>
  <c r="N35" i="17"/>
  <c r="M35" i="17"/>
  <c r="L35" i="17"/>
  <c r="J35" i="17"/>
  <c r="N34" i="17"/>
  <c r="M34" i="17"/>
  <c r="L34" i="17"/>
  <c r="J34" i="17"/>
  <c r="N33" i="17"/>
  <c r="M33" i="17"/>
  <c r="L33" i="17"/>
  <c r="J33" i="17"/>
  <c r="N32" i="17"/>
  <c r="Q32" i="17" s="1"/>
  <c r="M32" i="17"/>
  <c r="L32" i="17"/>
  <c r="J32" i="17"/>
  <c r="N31" i="17"/>
  <c r="M31" i="17"/>
  <c r="L31" i="17"/>
  <c r="J31" i="17"/>
  <c r="N30" i="17"/>
  <c r="Q30" i="17" s="1"/>
  <c r="M30" i="17"/>
  <c r="L30" i="17"/>
  <c r="J30" i="17"/>
  <c r="N29" i="17"/>
  <c r="M29" i="17"/>
  <c r="L29" i="17"/>
  <c r="J29" i="17"/>
  <c r="N28" i="17"/>
  <c r="M28" i="17"/>
  <c r="L28" i="17"/>
  <c r="J28" i="17"/>
  <c r="N27" i="17"/>
  <c r="P27" i="17" s="1"/>
  <c r="M27" i="17"/>
  <c r="L27" i="17"/>
  <c r="J27" i="17"/>
  <c r="N26" i="17"/>
  <c r="M26" i="17"/>
  <c r="L26" i="17"/>
  <c r="J26" i="17"/>
  <c r="N25" i="17"/>
  <c r="Q25" i="17" s="1"/>
  <c r="M25" i="17"/>
  <c r="L25" i="17"/>
  <c r="J25" i="17"/>
  <c r="N24" i="17"/>
  <c r="M24" i="17"/>
  <c r="L24" i="17"/>
  <c r="J24" i="17"/>
  <c r="N23" i="17"/>
  <c r="M23" i="17"/>
  <c r="L23" i="17"/>
  <c r="J23" i="17"/>
  <c r="N22" i="17"/>
  <c r="P22" i="17" s="1"/>
  <c r="M22" i="17"/>
  <c r="L22" i="17"/>
  <c r="J22" i="17"/>
  <c r="N21" i="17"/>
  <c r="M21" i="17"/>
  <c r="L21" i="17"/>
  <c r="J21" i="17"/>
  <c r="N20" i="17"/>
  <c r="M20" i="17"/>
  <c r="L20" i="17"/>
  <c r="J20" i="17"/>
  <c r="N19" i="17"/>
  <c r="P19" i="17" s="1"/>
  <c r="M19" i="17"/>
  <c r="L19" i="17"/>
  <c r="J19" i="17"/>
  <c r="N18" i="17"/>
  <c r="M18" i="17"/>
  <c r="L18" i="17"/>
  <c r="J18" i="17"/>
  <c r="N17" i="17"/>
  <c r="M17" i="17"/>
  <c r="L17" i="17"/>
  <c r="J17" i="17"/>
  <c r="N16" i="17"/>
  <c r="M16" i="17"/>
  <c r="L16" i="17"/>
  <c r="J16" i="17"/>
  <c r="N15" i="17"/>
  <c r="M15" i="17"/>
  <c r="L15" i="17"/>
  <c r="J15" i="17"/>
  <c r="N14" i="17"/>
  <c r="Q14" i="17" s="1"/>
  <c r="M14" i="17"/>
  <c r="L14" i="17"/>
  <c r="J14" i="17"/>
  <c r="N13" i="17"/>
  <c r="O13" i="17" s="1"/>
  <c r="M13" i="17"/>
  <c r="L13" i="17"/>
  <c r="J13" i="17"/>
  <c r="N49" i="16"/>
  <c r="M49" i="16"/>
  <c r="L49" i="16"/>
  <c r="N48" i="16"/>
  <c r="Q48" i="16" s="1"/>
  <c r="M48" i="16"/>
  <c r="L48" i="16"/>
  <c r="N47" i="16"/>
  <c r="M47" i="16"/>
  <c r="L47" i="16"/>
  <c r="N46" i="16"/>
  <c r="M46" i="16"/>
  <c r="L46" i="16"/>
  <c r="N45" i="16"/>
  <c r="M45" i="16"/>
  <c r="L45" i="16"/>
  <c r="N44" i="16"/>
  <c r="M44" i="16"/>
  <c r="L44" i="16"/>
  <c r="N43" i="16"/>
  <c r="P43" i="16" s="1"/>
  <c r="M43" i="16"/>
  <c r="L43" i="16"/>
  <c r="N42" i="16"/>
  <c r="M42" i="16"/>
  <c r="L42" i="16"/>
  <c r="N41" i="16"/>
  <c r="P41" i="16" s="1"/>
  <c r="M41" i="16"/>
  <c r="L41" i="16"/>
  <c r="N40" i="16"/>
  <c r="Q40" i="16" s="1"/>
  <c r="M40" i="16"/>
  <c r="L40" i="16"/>
  <c r="N39" i="16"/>
  <c r="M39" i="16"/>
  <c r="L39" i="16"/>
  <c r="N38" i="16"/>
  <c r="M38" i="16"/>
  <c r="L38" i="16"/>
  <c r="N37" i="16"/>
  <c r="M37" i="16"/>
  <c r="L37" i="16"/>
  <c r="N36" i="16"/>
  <c r="M36" i="16"/>
  <c r="L36" i="16"/>
  <c r="N35" i="16"/>
  <c r="P35" i="16" s="1"/>
  <c r="M35" i="16"/>
  <c r="L35" i="16"/>
  <c r="N34" i="16"/>
  <c r="M34" i="16"/>
  <c r="L34" i="16"/>
  <c r="N33" i="16"/>
  <c r="M33" i="16"/>
  <c r="L33" i="16"/>
  <c r="N32" i="16"/>
  <c r="Q32" i="16" s="1"/>
  <c r="M32" i="16"/>
  <c r="L32" i="16"/>
  <c r="N31" i="16"/>
  <c r="O31" i="16" s="1"/>
  <c r="M31" i="16"/>
  <c r="L31" i="16"/>
  <c r="N30" i="16"/>
  <c r="M30" i="16"/>
  <c r="L30" i="16"/>
  <c r="N29" i="16"/>
  <c r="O29" i="16" s="1"/>
  <c r="M29" i="16"/>
  <c r="L29" i="16"/>
  <c r="N28" i="16"/>
  <c r="O28" i="16" s="1"/>
  <c r="M28" i="16"/>
  <c r="L28" i="16"/>
  <c r="N27" i="16"/>
  <c r="M27" i="16"/>
  <c r="L27" i="16"/>
  <c r="N26" i="16"/>
  <c r="O26" i="16" s="1"/>
  <c r="M26" i="16"/>
  <c r="L26" i="16"/>
  <c r="N25" i="16"/>
  <c r="O25" i="16" s="1"/>
  <c r="M25" i="16"/>
  <c r="L25" i="16"/>
  <c r="N24" i="16"/>
  <c r="M24" i="16"/>
  <c r="L24" i="16"/>
  <c r="N23" i="16"/>
  <c r="O23" i="16" s="1"/>
  <c r="M23" i="16"/>
  <c r="L23" i="16"/>
  <c r="N22" i="16"/>
  <c r="O22" i="16" s="1"/>
  <c r="M22" i="16"/>
  <c r="L22" i="16"/>
  <c r="N21" i="16"/>
  <c r="O21" i="16" s="1"/>
  <c r="M21" i="16"/>
  <c r="L21" i="16"/>
  <c r="N20" i="16"/>
  <c r="O20" i="16" s="1"/>
  <c r="M20" i="16"/>
  <c r="L20" i="16"/>
  <c r="N19" i="16"/>
  <c r="M19" i="16"/>
  <c r="L19" i="16"/>
  <c r="N18" i="16"/>
  <c r="O18" i="16" s="1"/>
  <c r="M18" i="16"/>
  <c r="L18" i="16"/>
  <c r="N17" i="16"/>
  <c r="O17" i="16" s="1"/>
  <c r="M17" i="16"/>
  <c r="L17" i="16"/>
  <c r="N16" i="16"/>
  <c r="M16" i="16"/>
  <c r="L16" i="16"/>
  <c r="N15" i="16"/>
  <c r="O15" i="16" s="1"/>
  <c r="M15" i="16"/>
  <c r="L15" i="16"/>
  <c r="N14" i="16"/>
  <c r="O14" i="16" s="1"/>
  <c r="M14" i="16"/>
  <c r="L14" i="16"/>
  <c r="N13" i="16"/>
  <c r="P13" i="16" s="1"/>
  <c r="M13" i="16"/>
  <c r="L13" i="16"/>
  <c r="J13" i="16"/>
  <c r="N49" i="15"/>
  <c r="M49" i="15"/>
  <c r="L49" i="15"/>
  <c r="J49" i="15"/>
  <c r="N48" i="15"/>
  <c r="M48" i="15"/>
  <c r="L48" i="15"/>
  <c r="J48" i="15"/>
  <c r="N47" i="15"/>
  <c r="M47" i="15"/>
  <c r="L47" i="15"/>
  <c r="J47" i="15"/>
  <c r="N46" i="15"/>
  <c r="P46" i="15" s="1"/>
  <c r="M46" i="15"/>
  <c r="L46" i="15"/>
  <c r="J46" i="15"/>
  <c r="N45" i="15"/>
  <c r="M45" i="15"/>
  <c r="L45" i="15"/>
  <c r="J45" i="15"/>
  <c r="N44" i="15"/>
  <c r="M44" i="15"/>
  <c r="L44" i="15"/>
  <c r="J44" i="15"/>
  <c r="N43" i="15"/>
  <c r="M43" i="15"/>
  <c r="L43" i="15"/>
  <c r="J43" i="15"/>
  <c r="N42" i="15"/>
  <c r="M42" i="15"/>
  <c r="L42" i="15"/>
  <c r="J42" i="15"/>
  <c r="N41" i="15"/>
  <c r="Q41" i="15" s="1"/>
  <c r="M41" i="15"/>
  <c r="L41" i="15"/>
  <c r="J41" i="15"/>
  <c r="N40" i="15"/>
  <c r="M40" i="15"/>
  <c r="L40" i="15"/>
  <c r="J40" i="15"/>
  <c r="N39" i="15"/>
  <c r="M39" i="15"/>
  <c r="L39" i="15"/>
  <c r="J39" i="15"/>
  <c r="N38" i="15"/>
  <c r="Q38" i="15" s="1"/>
  <c r="M38" i="15"/>
  <c r="L38" i="15"/>
  <c r="J38" i="15"/>
  <c r="N37" i="15"/>
  <c r="Q37" i="15" s="1"/>
  <c r="M37" i="15"/>
  <c r="L37" i="15"/>
  <c r="J37" i="15"/>
  <c r="N36" i="15"/>
  <c r="M36" i="15"/>
  <c r="L36" i="15"/>
  <c r="J36" i="15"/>
  <c r="N35" i="15"/>
  <c r="Q35" i="15" s="1"/>
  <c r="M35" i="15"/>
  <c r="L35" i="15"/>
  <c r="J35" i="15"/>
  <c r="N34" i="15"/>
  <c r="M34" i="15"/>
  <c r="L34" i="15"/>
  <c r="J34" i="15"/>
  <c r="N33" i="15"/>
  <c r="Q33" i="15" s="1"/>
  <c r="M33" i="15"/>
  <c r="L33" i="15"/>
  <c r="J33" i="15"/>
  <c r="N32" i="15"/>
  <c r="Q32" i="15" s="1"/>
  <c r="M32" i="15"/>
  <c r="L32" i="15"/>
  <c r="J32" i="15"/>
  <c r="N31" i="15"/>
  <c r="M31" i="15"/>
  <c r="L31" i="15"/>
  <c r="J31" i="15"/>
  <c r="N20" i="15"/>
  <c r="M20" i="15"/>
  <c r="L20" i="15"/>
  <c r="J20" i="15"/>
  <c r="N30" i="15"/>
  <c r="M30" i="15"/>
  <c r="L30" i="15"/>
  <c r="J30" i="15"/>
  <c r="N29" i="15"/>
  <c r="O29" i="15" s="1"/>
  <c r="M29" i="15"/>
  <c r="L29" i="15"/>
  <c r="J29" i="15"/>
  <c r="N28" i="15"/>
  <c r="O28" i="15" s="1"/>
  <c r="M28" i="15"/>
  <c r="L28" i="15"/>
  <c r="J28" i="15"/>
  <c r="N27" i="15"/>
  <c r="O27" i="15" s="1"/>
  <c r="M27" i="15"/>
  <c r="L27" i="15"/>
  <c r="J27" i="15"/>
  <c r="N26" i="15"/>
  <c r="M26" i="15"/>
  <c r="L26" i="15"/>
  <c r="J26" i="15"/>
  <c r="N25" i="15"/>
  <c r="O25" i="15" s="1"/>
  <c r="M25" i="15"/>
  <c r="L25" i="15"/>
  <c r="J25" i="15"/>
  <c r="N24" i="15"/>
  <c r="O24" i="15" s="1"/>
  <c r="M24" i="15"/>
  <c r="L24" i="15"/>
  <c r="J24" i="15"/>
  <c r="N23" i="15"/>
  <c r="O23" i="15" s="1"/>
  <c r="M23" i="15"/>
  <c r="L23" i="15"/>
  <c r="J23" i="15"/>
  <c r="N22" i="15"/>
  <c r="O22" i="15" s="1"/>
  <c r="M22" i="15"/>
  <c r="L22" i="15"/>
  <c r="J22" i="15"/>
  <c r="N21" i="15"/>
  <c r="O21" i="15" s="1"/>
  <c r="M21" i="15"/>
  <c r="L21" i="15"/>
  <c r="J21" i="15"/>
  <c r="N19" i="15"/>
  <c r="M19" i="15"/>
  <c r="L19" i="15"/>
  <c r="J19" i="15"/>
  <c r="N18" i="15"/>
  <c r="O18" i="15" s="1"/>
  <c r="M18" i="15"/>
  <c r="L18" i="15"/>
  <c r="J18" i="15"/>
  <c r="N17" i="15"/>
  <c r="O17" i="15" s="1"/>
  <c r="M17" i="15"/>
  <c r="L17" i="15"/>
  <c r="J17" i="15"/>
  <c r="N16" i="15"/>
  <c r="O16" i="15" s="1"/>
  <c r="M16" i="15"/>
  <c r="L16" i="15"/>
  <c r="J16" i="15"/>
  <c r="N15" i="15"/>
  <c r="O15" i="15" s="1"/>
  <c r="M15" i="15"/>
  <c r="L15" i="15"/>
  <c r="J15" i="15"/>
  <c r="N14" i="15"/>
  <c r="O14" i="15" s="1"/>
  <c r="M14" i="15"/>
  <c r="L14" i="15"/>
  <c r="J14" i="15"/>
  <c r="N13" i="15"/>
  <c r="O13" i="15" s="1"/>
  <c r="M13" i="15"/>
  <c r="L13" i="15"/>
  <c r="J13" i="15"/>
  <c r="B11" i="26"/>
  <c r="B3" i="26"/>
  <c r="B4" i="26"/>
  <c r="B10" i="26"/>
  <c r="B9" i="26"/>
  <c r="B13" i="26"/>
  <c r="B12" i="26"/>
  <c r="B5" i="26"/>
  <c r="B6" i="26"/>
  <c r="B2" i="26"/>
  <c r="B7" i="26"/>
  <c r="B8" i="26"/>
  <c r="P20" i="19" l="1"/>
  <c r="O20" i="19"/>
  <c r="R49" i="19"/>
  <c r="R48" i="20"/>
  <c r="K12" i="26"/>
  <c r="R25" i="24"/>
  <c r="P13" i="21"/>
  <c r="O13" i="21"/>
  <c r="R14" i="17"/>
  <c r="P30" i="16"/>
  <c r="O30" i="16"/>
  <c r="P27" i="16"/>
  <c r="O27" i="16"/>
  <c r="Q24" i="16"/>
  <c r="O24" i="16"/>
  <c r="P19" i="16"/>
  <c r="O19" i="16"/>
  <c r="Q16" i="16"/>
  <c r="O16" i="16"/>
  <c r="Q20" i="15"/>
  <c r="O20" i="15"/>
  <c r="P19" i="15"/>
  <c r="O19" i="15"/>
  <c r="Q26" i="15"/>
  <c r="O26" i="15"/>
  <c r="R24" i="22"/>
  <c r="R41" i="17"/>
  <c r="R17" i="16"/>
  <c r="P33" i="22"/>
  <c r="P25" i="25"/>
  <c r="R33" i="25"/>
  <c r="R48" i="17"/>
  <c r="R24" i="16"/>
  <c r="P16" i="22"/>
  <c r="R30" i="23"/>
  <c r="R30" i="24"/>
  <c r="Q43" i="24"/>
  <c r="R17" i="24"/>
  <c r="R41" i="24"/>
  <c r="R22" i="25"/>
  <c r="P49" i="20"/>
  <c r="Q17" i="20"/>
  <c r="Q49" i="20"/>
  <c r="R38" i="20"/>
  <c r="R27" i="19"/>
  <c r="R35" i="19"/>
  <c r="R33" i="19"/>
  <c r="R37" i="16"/>
  <c r="R45" i="16"/>
  <c r="P25" i="16"/>
  <c r="P28" i="15"/>
  <c r="Q28" i="15"/>
  <c r="R34" i="21"/>
  <c r="R22" i="22"/>
  <c r="P22" i="22"/>
  <c r="R40" i="22"/>
  <c r="P49" i="22"/>
  <c r="Q25" i="24"/>
  <c r="Q30" i="24"/>
  <c r="P38" i="25"/>
  <c r="R38" i="25"/>
  <c r="Q37" i="20"/>
  <c r="P30" i="20"/>
  <c r="P33" i="20"/>
  <c r="Q38" i="20"/>
  <c r="P38" i="19"/>
  <c r="Q49" i="19"/>
  <c r="Q35" i="19"/>
  <c r="P25" i="17"/>
  <c r="R43" i="17"/>
  <c r="Q49" i="16"/>
  <c r="R49" i="16"/>
  <c r="R23" i="15"/>
  <c r="R30" i="15"/>
  <c r="R35" i="15"/>
  <c r="R41" i="15"/>
  <c r="R45" i="21"/>
  <c r="R24" i="21"/>
  <c r="P41" i="21"/>
  <c r="P16" i="21"/>
  <c r="R16" i="21"/>
  <c r="Q35" i="21"/>
  <c r="Q49" i="21"/>
  <c r="P49" i="21"/>
  <c r="P40" i="21"/>
  <c r="Q27" i="21"/>
  <c r="Q46" i="21"/>
  <c r="P33" i="21"/>
  <c r="Q17" i="21"/>
  <c r="R23" i="21"/>
  <c r="Q19" i="22"/>
  <c r="P48" i="22"/>
  <c r="R21" i="22"/>
  <c r="R38" i="22"/>
  <c r="P38" i="22"/>
  <c r="Q25" i="23"/>
  <c r="Q46" i="23"/>
  <c r="Q13" i="23"/>
  <c r="P38" i="23"/>
  <c r="P40" i="23"/>
  <c r="R40" i="23"/>
  <c r="Q45" i="23"/>
  <c r="R24" i="23"/>
  <c r="P41" i="23"/>
  <c r="P24" i="23"/>
  <c r="Q41" i="23"/>
  <c r="R46" i="23"/>
  <c r="Q17" i="24"/>
  <c r="P16" i="24"/>
  <c r="R21" i="24"/>
  <c r="R29" i="24"/>
  <c r="R24" i="24"/>
  <c r="P17" i="24"/>
  <c r="R16" i="24"/>
  <c r="Q38" i="24"/>
  <c r="R28" i="25"/>
  <c r="P30" i="25"/>
  <c r="P41" i="25"/>
  <c r="Q41" i="25"/>
  <c r="R45" i="25"/>
  <c r="P22" i="25"/>
  <c r="R32" i="25"/>
  <c r="R44" i="25"/>
  <c r="Q32" i="20"/>
  <c r="Q41" i="20"/>
  <c r="Q48" i="20"/>
  <c r="R45" i="20"/>
  <c r="Q13" i="20"/>
  <c r="P24" i="20"/>
  <c r="R30" i="20"/>
  <c r="P46" i="20"/>
  <c r="R46" i="20"/>
  <c r="Q17" i="19"/>
  <c r="R48" i="19"/>
  <c r="P46" i="19"/>
  <c r="R24" i="19"/>
  <c r="R29" i="19"/>
  <c r="P17" i="19"/>
  <c r="R14" i="19"/>
  <c r="R16" i="19"/>
  <c r="P40" i="17"/>
  <c r="Q22" i="17"/>
  <c r="P46" i="17"/>
  <c r="Q29" i="17"/>
  <c r="R46" i="17"/>
  <c r="R33" i="17"/>
  <c r="R40" i="17"/>
  <c r="R35" i="17"/>
  <c r="Q13" i="17"/>
  <c r="P22" i="16"/>
  <c r="P29" i="16"/>
  <c r="P24" i="16"/>
  <c r="P33" i="16"/>
  <c r="Q33" i="16"/>
  <c r="P16" i="16"/>
  <c r="Q27" i="16"/>
  <c r="R16" i="16"/>
  <c r="R27" i="16"/>
  <c r="R22" i="15"/>
  <c r="Q48" i="15"/>
  <c r="P26" i="15"/>
  <c r="P33" i="15"/>
  <c r="R14" i="15"/>
  <c r="Q16" i="15"/>
  <c r="Q25" i="15"/>
  <c r="R28" i="15"/>
  <c r="R33" i="15"/>
  <c r="Q19" i="21"/>
  <c r="P25" i="21"/>
  <c r="P32" i="21"/>
  <c r="Q33" i="21"/>
  <c r="R40" i="21"/>
  <c r="Q42" i="21"/>
  <c r="P48" i="21"/>
  <c r="P14" i="21"/>
  <c r="R15" i="21"/>
  <c r="P24" i="21"/>
  <c r="Q25" i="21"/>
  <c r="R26" i="21"/>
  <c r="R32" i="21"/>
  <c r="R39" i="21"/>
  <c r="R18" i="21"/>
  <c r="R31" i="21"/>
  <c r="R42" i="21"/>
  <c r="Q21" i="22"/>
  <c r="Q25" i="22"/>
  <c r="R27" i="22"/>
  <c r="P32" i="22"/>
  <c r="Q41" i="22"/>
  <c r="R43" i="22"/>
  <c r="P17" i="22"/>
  <c r="Q35" i="22"/>
  <c r="R37" i="22"/>
  <c r="Q49" i="22"/>
  <c r="P16" i="23"/>
  <c r="R22" i="23"/>
  <c r="Q27" i="23"/>
  <c r="Q43" i="23"/>
  <c r="Q22" i="23"/>
  <c r="R27" i="23"/>
  <c r="Q30" i="23"/>
  <c r="R43" i="23"/>
  <c r="Q14" i="24"/>
  <c r="Q22" i="24"/>
  <c r="R37" i="24"/>
  <c r="R38" i="24"/>
  <c r="Q41" i="24"/>
  <c r="R14" i="24"/>
  <c r="R22" i="24"/>
  <c r="P24" i="24"/>
  <c r="R33" i="24"/>
  <c r="R40" i="24"/>
  <c r="P14" i="24"/>
  <c r="P22" i="24"/>
  <c r="R32" i="24"/>
  <c r="Q33" i="24"/>
  <c r="R19" i="25"/>
  <c r="Q30" i="25"/>
  <c r="P33" i="25"/>
  <c r="R40" i="25"/>
  <c r="R41" i="25"/>
  <c r="Q43" i="25"/>
  <c r="R30" i="25"/>
  <c r="Q33" i="25"/>
  <c r="R43" i="25"/>
  <c r="P14" i="25"/>
  <c r="R16" i="20"/>
  <c r="R32" i="20"/>
  <c r="Q35" i="20"/>
  <c r="Q45" i="20"/>
  <c r="Q27" i="20"/>
  <c r="R29" i="20"/>
  <c r="R35" i="20"/>
  <c r="Q16" i="20"/>
  <c r="P17" i="20"/>
  <c r="R19" i="20"/>
  <c r="Q29" i="20"/>
  <c r="Q14" i="19"/>
  <c r="P22" i="19"/>
  <c r="R17" i="19"/>
  <c r="Q22" i="19"/>
  <c r="R25" i="19"/>
  <c r="Q30" i="19"/>
  <c r="R43" i="19"/>
  <c r="Q46" i="19"/>
  <c r="Q25" i="19"/>
  <c r="P24" i="17"/>
  <c r="P49" i="17"/>
  <c r="Q27" i="17"/>
  <c r="Q41" i="17"/>
  <c r="R21" i="17"/>
  <c r="R22" i="17"/>
  <c r="Q24" i="17"/>
  <c r="R27" i="17"/>
  <c r="P32" i="17"/>
  <c r="P48" i="17"/>
  <c r="R24" i="17"/>
  <c r="Q48" i="17"/>
  <c r="P48" i="16"/>
  <c r="R48" i="16"/>
  <c r="P14" i="16"/>
  <c r="Q14" i="16"/>
  <c r="Q19" i="16"/>
  <c r="Q22" i="16"/>
  <c r="Q25" i="16"/>
  <c r="P37" i="16"/>
  <c r="R38" i="16"/>
  <c r="P46" i="16"/>
  <c r="P49" i="16"/>
  <c r="R14" i="16"/>
  <c r="R19" i="16"/>
  <c r="Q46" i="16"/>
  <c r="P16" i="15"/>
  <c r="Q19" i="15"/>
  <c r="P25" i="15"/>
  <c r="Q30" i="15"/>
  <c r="R20" i="15"/>
  <c r="R32" i="15"/>
  <c r="P23" i="15"/>
  <c r="R25" i="15"/>
  <c r="P20" i="15"/>
  <c r="R38" i="15"/>
  <c r="R40" i="15"/>
  <c r="P48" i="15"/>
  <c r="Q23" i="15"/>
  <c r="R13" i="15"/>
  <c r="P14" i="15"/>
  <c r="Q22" i="15"/>
  <c r="P40" i="15"/>
  <c r="J50" i="15"/>
  <c r="W10" i="15" s="1"/>
  <c r="Q13" i="15"/>
  <c r="Q14" i="15"/>
  <c r="R16" i="15"/>
  <c r="Q17" i="15"/>
  <c r="R19" i="15"/>
  <c r="R26" i="15"/>
  <c r="P32" i="15"/>
  <c r="P35" i="15"/>
  <c r="R37" i="15"/>
  <c r="P38" i="15"/>
  <c r="Q40" i="15"/>
  <c r="P41" i="15"/>
  <c r="Q43" i="15"/>
  <c r="Q45" i="15"/>
  <c r="Q46" i="15"/>
  <c r="R48" i="15"/>
  <c r="Q49" i="15"/>
  <c r="P17" i="16"/>
  <c r="P21" i="16"/>
  <c r="R22" i="16"/>
  <c r="R25" i="16"/>
  <c r="R29" i="16"/>
  <c r="Q30" i="16"/>
  <c r="R32" i="16"/>
  <c r="R33" i="16"/>
  <c r="R35" i="16"/>
  <c r="P38" i="16"/>
  <c r="P40" i="16"/>
  <c r="Q41" i="16"/>
  <c r="Q43" i="16"/>
  <c r="R46" i="16"/>
  <c r="R13" i="17"/>
  <c r="P14" i="17"/>
  <c r="Q16" i="17"/>
  <c r="P17" i="17"/>
  <c r="R19" i="17"/>
  <c r="R29" i="17"/>
  <c r="P30" i="17"/>
  <c r="R32" i="17"/>
  <c r="R37" i="17"/>
  <c r="Q37" i="17"/>
  <c r="R38" i="17"/>
  <c r="P43" i="17"/>
  <c r="Q43" i="17"/>
  <c r="Q49" i="17"/>
  <c r="R13" i="19"/>
  <c r="Q16" i="19"/>
  <c r="Q19" i="19"/>
  <c r="R30" i="19"/>
  <c r="P35" i="19"/>
  <c r="Q41" i="19"/>
  <c r="R41" i="19"/>
  <c r="R45" i="19"/>
  <c r="R17" i="15"/>
  <c r="R43" i="15"/>
  <c r="R46" i="15"/>
  <c r="R49" i="15"/>
  <c r="Q17" i="16"/>
  <c r="R30" i="16"/>
  <c r="Q38" i="16"/>
  <c r="R40" i="16"/>
  <c r="R41" i="16"/>
  <c r="R43" i="16"/>
  <c r="J50" i="17"/>
  <c r="W10" i="17" s="1"/>
  <c r="R16" i="17"/>
  <c r="Q17" i="17"/>
  <c r="R30" i="17"/>
  <c r="P35" i="17"/>
  <c r="Q35" i="17"/>
  <c r="P41" i="17"/>
  <c r="P25" i="19"/>
  <c r="P27" i="19"/>
  <c r="Q32" i="19"/>
  <c r="R32" i="19"/>
  <c r="Q33" i="19"/>
  <c r="P25" i="20"/>
  <c r="Q25" i="20"/>
  <c r="P33" i="17"/>
  <c r="R45" i="17"/>
  <c r="R21" i="19"/>
  <c r="R22" i="19"/>
  <c r="R38" i="19"/>
  <c r="P17" i="15"/>
  <c r="P43" i="15"/>
  <c r="R45" i="15"/>
  <c r="P49" i="15"/>
  <c r="P32" i="16"/>
  <c r="Q35" i="16"/>
  <c r="P45" i="16"/>
  <c r="P16" i="17"/>
  <c r="Q19" i="17"/>
  <c r="Q21" i="17"/>
  <c r="Q33" i="17"/>
  <c r="P38" i="17"/>
  <c r="Q45" i="17"/>
  <c r="P19" i="19"/>
  <c r="R19" i="19"/>
  <c r="P33" i="19"/>
  <c r="Q40" i="19"/>
  <c r="R40" i="19"/>
  <c r="P22" i="20"/>
  <c r="R22" i="20"/>
  <c r="Q22" i="20"/>
  <c r="J50" i="19"/>
  <c r="W10" i="19" s="1"/>
  <c r="R37" i="19"/>
  <c r="Q43" i="19"/>
  <c r="P49" i="19"/>
  <c r="P16" i="20"/>
  <c r="Q19" i="20"/>
  <c r="R24" i="20"/>
  <c r="R37" i="20"/>
  <c r="Q40" i="20"/>
  <c r="P41" i="20"/>
  <c r="R43" i="20"/>
  <c r="P48" i="20"/>
  <c r="R17" i="21"/>
  <c r="Q18" i="21"/>
  <c r="Q21" i="21"/>
  <c r="Q22" i="21"/>
  <c r="R25" i="21"/>
  <c r="Q26" i="21"/>
  <c r="Q29" i="21"/>
  <c r="Q30" i="21"/>
  <c r="R33" i="21"/>
  <c r="Q34" i="21"/>
  <c r="Q37" i="21"/>
  <c r="Q38" i="21"/>
  <c r="R41" i="21"/>
  <c r="P45" i="21"/>
  <c r="R47" i="21"/>
  <c r="R49" i="21"/>
  <c r="J50" i="22"/>
  <c r="W10" i="22" s="1"/>
  <c r="Q14" i="22"/>
  <c r="P24" i="22"/>
  <c r="Q27" i="22"/>
  <c r="Q30" i="22"/>
  <c r="P40" i="22"/>
  <c r="Q43" i="22"/>
  <c r="Q46" i="22"/>
  <c r="J50" i="23"/>
  <c r="W10" i="23" s="1"/>
  <c r="R14" i="23"/>
  <c r="Q16" i="23"/>
  <c r="R16" i="23"/>
  <c r="P17" i="23"/>
  <c r="P22" i="23"/>
  <c r="P33" i="23"/>
  <c r="Q33" i="23"/>
  <c r="Q48" i="23"/>
  <c r="P48" i="23"/>
  <c r="R48" i="23"/>
  <c r="R40" i="20"/>
  <c r="R13" i="21"/>
  <c r="R21" i="21"/>
  <c r="R29" i="21"/>
  <c r="R37" i="21"/>
  <c r="R14" i="22"/>
  <c r="R30" i="22"/>
  <c r="R46" i="22"/>
  <c r="Q48" i="22"/>
  <c r="R21" i="23"/>
  <c r="P35" i="23"/>
  <c r="Q35" i="23"/>
  <c r="R35" i="23"/>
  <c r="P49" i="23"/>
  <c r="R49" i="23"/>
  <c r="Q49" i="23"/>
  <c r="P19" i="23"/>
  <c r="R19" i="23"/>
  <c r="Q32" i="23"/>
  <c r="P32" i="23"/>
  <c r="R32" i="23"/>
  <c r="R37" i="23"/>
  <c r="Q37" i="23"/>
  <c r="R46" i="19"/>
  <c r="R21" i="20"/>
  <c r="R27" i="20"/>
  <c r="Q33" i="20"/>
  <c r="P40" i="20"/>
  <c r="Q43" i="20"/>
  <c r="J50" i="21"/>
  <c r="W10" i="21" s="1"/>
  <c r="Q13" i="21"/>
  <c r="Q43" i="21"/>
  <c r="R48" i="21"/>
  <c r="R13" i="22"/>
  <c r="R16" i="22"/>
  <c r="R19" i="22"/>
  <c r="R29" i="22"/>
  <c r="R32" i="22"/>
  <c r="R35" i="22"/>
  <c r="R45" i="22"/>
  <c r="R48" i="22"/>
  <c r="R49" i="22"/>
  <c r="Q14" i="23"/>
  <c r="Q19" i="23"/>
  <c r="R13" i="23"/>
  <c r="R29" i="23"/>
  <c r="R38" i="23"/>
  <c r="R45" i="23"/>
  <c r="R19" i="24"/>
  <c r="R27" i="24"/>
  <c r="P30" i="24"/>
  <c r="P32" i="24"/>
  <c r="R35" i="24"/>
  <c r="P38" i="24"/>
  <c r="P40" i="24"/>
  <c r="P41" i="24"/>
  <c r="R45" i="24"/>
  <c r="Q46" i="24"/>
  <c r="R48" i="24"/>
  <c r="Q49" i="24"/>
  <c r="J50" i="25"/>
  <c r="W10" i="25" s="1"/>
  <c r="R14" i="25"/>
  <c r="Q17" i="25"/>
  <c r="Q19" i="25"/>
  <c r="R25" i="25"/>
  <c r="R27" i="25"/>
  <c r="R35" i="25"/>
  <c r="P46" i="25"/>
  <c r="P49" i="25"/>
  <c r="R46" i="24"/>
  <c r="R49" i="24"/>
  <c r="R17" i="25"/>
  <c r="Q46" i="25"/>
  <c r="R48" i="25"/>
  <c r="Q49" i="25"/>
  <c r="R29" i="25"/>
  <c r="R37" i="25"/>
  <c r="R46" i="25"/>
  <c r="R49" i="25"/>
  <c r="J50" i="24"/>
  <c r="W10" i="24" s="1"/>
  <c r="Q19" i="24"/>
  <c r="Q27" i="24"/>
  <c r="Q35" i="24"/>
  <c r="R43" i="24"/>
  <c r="P48" i="24"/>
  <c r="P49" i="24"/>
  <c r="R13" i="25"/>
  <c r="R16" i="25"/>
  <c r="R21" i="25"/>
  <c r="Q22" i="25"/>
  <c r="R24" i="25"/>
  <c r="Q27" i="25"/>
  <c r="Q35" i="25"/>
  <c r="R13" i="24"/>
  <c r="R14" i="20"/>
  <c r="Q14" i="20"/>
  <c r="P14" i="20"/>
  <c r="J50" i="20"/>
  <c r="W10" i="20" s="1"/>
  <c r="R13" i="20"/>
  <c r="B15" i="26"/>
  <c r="P20" i="25"/>
  <c r="Q20" i="25"/>
  <c r="Q28" i="25"/>
  <c r="P31" i="25"/>
  <c r="Q36" i="25"/>
  <c r="Q15" i="25"/>
  <c r="R20" i="25"/>
  <c r="Q39" i="25"/>
  <c r="P42" i="25"/>
  <c r="P13" i="25"/>
  <c r="R15" i="25"/>
  <c r="Q18" i="25"/>
  <c r="P21" i="25"/>
  <c r="R23" i="25"/>
  <c r="Q26" i="25"/>
  <c r="P29" i="25"/>
  <c r="R31" i="25"/>
  <c r="Q34" i="25"/>
  <c r="P37" i="25"/>
  <c r="R39" i="25"/>
  <c r="Q42" i="25"/>
  <c r="P45" i="25"/>
  <c r="R47" i="25"/>
  <c r="P28" i="25"/>
  <c r="P44" i="25"/>
  <c r="P15" i="25"/>
  <c r="P39" i="25"/>
  <c r="P18" i="25"/>
  <c r="Q23" i="25"/>
  <c r="P26" i="25"/>
  <c r="Q31" i="25"/>
  <c r="R36" i="25"/>
  <c r="Q13" i="25"/>
  <c r="P16" i="25"/>
  <c r="R18" i="25"/>
  <c r="Q21" i="25"/>
  <c r="P24" i="25"/>
  <c r="R26" i="25"/>
  <c r="Q29" i="25"/>
  <c r="P32" i="25"/>
  <c r="R34" i="25"/>
  <c r="Q37" i="25"/>
  <c r="P40" i="25"/>
  <c r="R42" i="25"/>
  <c r="Q45" i="25"/>
  <c r="P48" i="25"/>
  <c r="P23" i="25"/>
  <c r="Q44" i="25"/>
  <c r="P47" i="25"/>
  <c r="P34" i="25"/>
  <c r="Q47" i="25"/>
  <c r="Q20" i="24"/>
  <c r="P23" i="24"/>
  <c r="Q28" i="24"/>
  <c r="P31" i="24"/>
  <c r="Q36" i="24"/>
  <c r="P39" i="24"/>
  <c r="Q44" i="24"/>
  <c r="P47" i="24"/>
  <c r="Q15" i="24"/>
  <c r="P18" i="24"/>
  <c r="R20" i="24"/>
  <c r="Q23" i="24"/>
  <c r="P26" i="24"/>
  <c r="R28" i="24"/>
  <c r="Q31" i="24"/>
  <c r="P34" i="24"/>
  <c r="R36" i="24"/>
  <c r="Q39" i="24"/>
  <c r="P42" i="24"/>
  <c r="R44" i="24"/>
  <c r="Q47" i="24"/>
  <c r="P20" i="24"/>
  <c r="P36" i="24"/>
  <c r="P29" i="24"/>
  <c r="R31" i="24"/>
  <c r="Q34" i="24"/>
  <c r="Q13" i="24"/>
  <c r="R18" i="24"/>
  <c r="Q21" i="24"/>
  <c r="R26" i="24"/>
  <c r="Q29" i="24"/>
  <c r="R34" i="24"/>
  <c r="Q37" i="24"/>
  <c r="R42" i="24"/>
  <c r="Q45" i="24"/>
  <c r="P44" i="24"/>
  <c r="P15" i="24"/>
  <c r="P13" i="24"/>
  <c r="R15" i="24"/>
  <c r="Q18" i="24"/>
  <c r="P21" i="24"/>
  <c r="R23" i="24"/>
  <c r="Q26" i="24"/>
  <c r="P37" i="24"/>
  <c r="R39" i="24"/>
  <c r="Q42" i="24"/>
  <c r="P45" i="24"/>
  <c r="R47" i="24"/>
  <c r="P20" i="23"/>
  <c r="P15" i="23"/>
  <c r="P39" i="23"/>
  <c r="R41" i="23"/>
  <c r="Q44" i="23"/>
  <c r="Q15" i="23"/>
  <c r="P18" i="23"/>
  <c r="R20" i="23"/>
  <c r="Q23" i="23"/>
  <c r="P26" i="23"/>
  <c r="R28" i="23"/>
  <c r="Q31" i="23"/>
  <c r="P34" i="23"/>
  <c r="R36" i="23"/>
  <c r="Q39" i="23"/>
  <c r="P42" i="23"/>
  <c r="R44" i="23"/>
  <c r="Q47" i="23"/>
  <c r="P28" i="23"/>
  <c r="P36" i="23"/>
  <c r="P44" i="23"/>
  <c r="R17" i="23"/>
  <c r="Q20" i="23"/>
  <c r="P23" i="23"/>
  <c r="R25" i="23"/>
  <c r="Q28" i="23"/>
  <c r="P31" i="23"/>
  <c r="R33" i="23"/>
  <c r="Q36" i="23"/>
  <c r="P47" i="23"/>
  <c r="P13" i="23"/>
  <c r="R15" i="23"/>
  <c r="Q18" i="23"/>
  <c r="P21" i="23"/>
  <c r="R23" i="23"/>
  <c r="Q26" i="23"/>
  <c r="P29" i="23"/>
  <c r="R31" i="23"/>
  <c r="Q34" i="23"/>
  <c r="P37" i="23"/>
  <c r="R39" i="23"/>
  <c r="Q42" i="23"/>
  <c r="P45" i="23"/>
  <c r="R47" i="23"/>
  <c r="R18" i="23"/>
  <c r="R26" i="23"/>
  <c r="R34" i="23"/>
  <c r="R42" i="23"/>
  <c r="P36" i="22"/>
  <c r="P44" i="22"/>
  <c r="P15" i="22"/>
  <c r="P23" i="22"/>
  <c r="R25" i="22"/>
  <c r="Q28" i="22"/>
  <c r="P31" i="22"/>
  <c r="R33" i="22"/>
  <c r="Q36" i="22"/>
  <c r="P47" i="22"/>
  <c r="Q15" i="22"/>
  <c r="P18" i="22"/>
  <c r="R20" i="22"/>
  <c r="Q23" i="22"/>
  <c r="P26" i="22"/>
  <c r="R28" i="22"/>
  <c r="Q31" i="22"/>
  <c r="P34" i="22"/>
  <c r="R36" i="22"/>
  <c r="Q39" i="22"/>
  <c r="P42" i="22"/>
  <c r="R44" i="22"/>
  <c r="Q47" i="22"/>
  <c r="P20" i="22"/>
  <c r="P28" i="22"/>
  <c r="R17" i="22"/>
  <c r="Q20" i="22"/>
  <c r="P39" i="22"/>
  <c r="R41" i="22"/>
  <c r="Q44" i="22"/>
  <c r="P13" i="22"/>
  <c r="R15" i="22"/>
  <c r="Q18" i="22"/>
  <c r="P21" i="22"/>
  <c r="R23" i="22"/>
  <c r="Q26" i="22"/>
  <c r="P29" i="22"/>
  <c r="R31" i="22"/>
  <c r="Q34" i="22"/>
  <c r="P37" i="22"/>
  <c r="R39" i="22"/>
  <c r="Q42" i="22"/>
  <c r="P45" i="22"/>
  <c r="R47" i="22"/>
  <c r="R18" i="22"/>
  <c r="R26" i="22"/>
  <c r="R34" i="22"/>
  <c r="R42" i="22"/>
  <c r="R27" i="21"/>
  <c r="R35" i="21"/>
  <c r="R43" i="21"/>
  <c r="P20" i="21"/>
  <c r="R22" i="21"/>
  <c r="P44" i="21"/>
  <c r="R46" i="21"/>
  <c r="P15" i="21"/>
  <c r="Q20" i="21"/>
  <c r="P23" i="21"/>
  <c r="Q28" i="21"/>
  <c r="P31" i="21"/>
  <c r="Q36" i="21"/>
  <c r="P39" i="21"/>
  <c r="Q44" i="21"/>
  <c r="P47" i="21"/>
  <c r="R19" i="21"/>
  <c r="R14" i="21"/>
  <c r="P28" i="21"/>
  <c r="R30" i="21"/>
  <c r="P36" i="21"/>
  <c r="R38" i="21"/>
  <c r="Q15" i="21"/>
  <c r="P18" i="21"/>
  <c r="R20" i="21"/>
  <c r="Q23" i="21"/>
  <c r="P26" i="21"/>
  <c r="R28" i="21"/>
  <c r="Q31" i="21"/>
  <c r="P34" i="21"/>
  <c r="R36" i="21"/>
  <c r="Q39" i="21"/>
  <c r="P42" i="21"/>
  <c r="R44" i="21"/>
  <c r="Q47" i="21"/>
  <c r="P28" i="20"/>
  <c r="P15" i="20"/>
  <c r="R17" i="20"/>
  <c r="Q20" i="20"/>
  <c r="P23" i="20"/>
  <c r="R25" i="20"/>
  <c r="Q28" i="20"/>
  <c r="R41" i="20"/>
  <c r="Q44" i="20"/>
  <c r="P47" i="20"/>
  <c r="R49" i="20"/>
  <c r="Q15" i="20"/>
  <c r="P18" i="20"/>
  <c r="R20" i="20"/>
  <c r="Q23" i="20"/>
  <c r="P26" i="20"/>
  <c r="R28" i="20"/>
  <c r="Q31" i="20"/>
  <c r="P34" i="20"/>
  <c r="R36" i="20"/>
  <c r="Q39" i="20"/>
  <c r="P42" i="20"/>
  <c r="R44" i="20"/>
  <c r="Q47" i="20"/>
  <c r="P36" i="20"/>
  <c r="P44" i="20"/>
  <c r="P31" i="20"/>
  <c r="R33" i="20"/>
  <c r="Q36" i="20"/>
  <c r="P39" i="20"/>
  <c r="P13" i="20"/>
  <c r="R15" i="20"/>
  <c r="Q18" i="20"/>
  <c r="P21" i="20"/>
  <c r="R23" i="20"/>
  <c r="Q26" i="20"/>
  <c r="P29" i="20"/>
  <c r="R31" i="20"/>
  <c r="Q34" i="20"/>
  <c r="P37" i="20"/>
  <c r="R39" i="20"/>
  <c r="Q42" i="20"/>
  <c r="P45" i="20"/>
  <c r="R47" i="20"/>
  <c r="P20" i="20"/>
  <c r="R18" i="20"/>
  <c r="R26" i="20"/>
  <c r="R34" i="20"/>
  <c r="R42" i="20"/>
  <c r="P44" i="19"/>
  <c r="Q20" i="19"/>
  <c r="Q36" i="19"/>
  <c r="P39" i="19"/>
  <c r="Q44" i="19"/>
  <c r="P47" i="19"/>
  <c r="Q15" i="19"/>
  <c r="P18" i="19"/>
  <c r="R20" i="19"/>
  <c r="Q23" i="19"/>
  <c r="P26" i="19"/>
  <c r="R28" i="19"/>
  <c r="Q31" i="19"/>
  <c r="P34" i="19"/>
  <c r="R36" i="19"/>
  <c r="Q39" i="19"/>
  <c r="P42" i="19"/>
  <c r="R44" i="19"/>
  <c r="Q47" i="19"/>
  <c r="P28" i="19"/>
  <c r="P36" i="19"/>
  <c r="P23" i="19"/>
  <c r="Q28" i="19"/>
  <c r="P31" i="19"/>
  <c r="P13" i="19"/>
  <c r="R15" i="19"/>
  <c r="Q18" i="19"/>
  <c r="P21" i="19"/>
  <c r="R23" i="19"/>
  <c r="Q26" i="19"/>
  <c r="P37" i="19"/>
  <c r="R39" i="19"/>
  <c r="Q42" i="19"/>
  <c r="P45" i="19"/>
  <c r="R47" i="19"/>
  <c r="Q13" i="19"/>
  <c r="P16" i="19"/>
  <c r="R18" i="19"/>
  <c r="Q21" i="19"/>
  <c r="P24" i="19"/>
  <c r="R26" i="19"/>
  <c r="Q29" i="19"/>
  <c r="P32" i="19"/>
  <c r="R34" i="19"/>
  <c r="Q37" i="19"/>
  <c r="P40" i="19"/>
  <c r="R42" i="19"/>
  <c r="Q45" i="19"/>
  <c r="P48" i="19"/>
  <c r="P15" i="19"/>
  <c r="P29" i="19"/>
  <c r="R31" i="19"/>
  <c r="Q34" i="19"/>
  <c r="P44" i="17"/>
  <c r="R17" i="17"/>
  <c r="Q20" i="17"/>
  <c r="Q36" i="17"/>
  <c r="P39" i="17"/>
  <c r="Q44" i="17"/>
  <c r="P47" i="17"/>
  <c r="R49" i="17"/>
  <c r="Q15" i="17"/>
  <c r="P18" i="17"/>
  <c r="R20" i="17"/>
  <c r="Q23" i="17"/>
  <c r="P26" i="17"/>
  <c r="R28" i="17"/>
  <c r="Q31" i="17"/>
  <c r="P34" i="17"/>
  <c r="R36" i="17"/>
  <c r="Q39" i="17"/>
  <c r="P42" i="17"/>
  <c r="R44" i="17"/>
  <c r="Q47" i="17"/>
  <c r="P20" i="17"/>
  <c r="P28" i="17"/>
  <c r="P15" i="17"/>
  <c r="P23" i="17"/>
  <c r="R25" i="17"/>
  <c r="Q28" i="17"/>
  <c r="P31" i="17"/>
  <c r="P13" i="17"/>
  <c r="R15" i="17"/>
  <c r="Q18" i="17"/>
  <c r="P21" i="17"/>
  <c r="R23" i="17"/>
  <c r="Q26" i="17"/>
  <c r="P29" i="17"/>
  <c r="R31" i="17"/>
  <c r="Q34" i="17"/>
  <c r="P37" i="17"/>
  <c r="R39" i="17"/>
  <c r="Q42" i="17"/>
  <c r="P45" i="17"/>
  <c r="R47" i="17"/>
  <c r="P36" i="17"/>
  <c r="R18" i="17"/>
  <c r="R26" i="17"/>
  <c r="R34" i="17"/>
  <c r="R42" i="17"/>
  <c r="R39" i="16"/>
  <c r="Q39" i="16"/>
  <c r="P39" i="16"/>
  <c r="J50" i="16"/>
  <c r="W10" i="16" s="1"/>
  <c r="R20" i="16"/>
  <c r="Q20" i="16"/>
  <c r="R44" i="16"/>
  <c r="Q44" i="16"/>
  <c r="P44" i="16"/>
  <c r="R36" i="16"/>
  <c r="Q36" i="16"/>
  <c r="P36" i="16"/>
  <c r="P20" i="16"/>
  <c r="R28" i="16"/>
  <c r="Q28" i="16"/>
  <c r="P28" i="16"/>
  <c r="R13" i="16"/>
  <c r="R15" i="16"/>
  <c r="Q15" i="16"/>
  <c r="P15" i="16"/>
  <c r="R18" i="16"/>
  <c r="Q18" i="16"/>
  <c r="P18" i="16"/>
  <c r="R47" i="16"/>
  <c r="Q47" i="16"/>
  <c r="P47" i="16"/>
  <c r="R21" i="16"/>
  <c r="R23" i="16"/>
  <c r="Q23" i="16"/>
  <c r="P23" i="16"/>
  <c r="R31" i="16"/>
  <c r="Q31" i="16"/>
  <c r="P31" i="16"/>
  <c r="P26" i="16"/>
  <c r="P34" i="16"/>
  <c r="P42" i="16"/>
  <c r="Q26" i="16"/>
  <c r="Q34" i="16"/>
  <c r="Q42" i="16"/>
  <c r="Q13" i="16"/>
  <c r="Q21" i="16"/>
  <c r="R26" i="16"/>
  <c r="Q29" i="16"/>
  <c r="R34" i="16"/>
  <c r="Q37" i="16"/>
  <c r="R42" i="16"/>
  <c r="Q45" i="16"/>
  <c r="P21" i="15"/>
  <c r="P29" i="15"/>
  <c r="P36" i="15"/>
  <c r="P44" i="15"/>
  <c r="P24" i="15"/>
  <c r="Q29" i="15"/>
  <c r="P39" i="15"/>
  <c r="Q44" i="15"/>
  <c r="P47" i="15"/>
  <c r="Q15" i="15"/>
  <c r="P18" i="15"/>
  <c r="R21" i="15"/>
  <c r="Q24" i="15"/>
  <c r="P27" i="15"/>
  <c r="R29" i="15"/>
  <c r="Q31" i="15"/>
  <c r="P34" i="15"/>
  <c r="R36" i="15"/>
  <c r="Q39" i="15"/>
  <c r="P42" i="15"/>
  <c r="R44" i="15"/>
  <c r="Q47" i="15"/>
  <c r="P15" i="15"/>
  <c r="Q21" i="15"/>
  <c r="P31" i="15"/>
  <c r="Q36" i="15"/>
  <c r="P13" i="15"/>
  <c r="R15" i="15"/>
  <c r="Q18" i="15"/>
  <c r="P22" i="15"/>
  <c r="R24" i="15"/>
  <c r="Q27" i="15"/>
  <c r="P30" i="15"/>
  <c r="R31" i="15"/>
  <c r="Q34" i="15"/>
  <c r="P37" i="15"/>
  <c r="R39" i="15"/>
  <c r="Q42" i="15"/>
  <c r="P45" i="15"/>
  <c r="R47" i="15"/>
  <c r="R18" i="15"/>
  <c r="R27" i="15"/>
  <c r="R34" i="15"/>
  <c r="R42" i="15"/>
  <c r="N13" i="14"/>
  <c r="O13" i="14" s="1"/>
  <c r="M13" i="14"/>
  <c r="L13" i="14"/>
  <c r="J13" i="14"/>
  <c r="J50" i="14" s="1"/>
  <c r="W10" i="14" s="1"/>
  <c r="U9" i="14" s="1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N13" i="13"/>
  <c r="O13" i="13" s="1"/>
  <c r="M13" i="13"/>
  <c r="L13" i="13"/>
  <c r="F4" i="26"/>
  <c r="F12" i="26"/>
  <c r="F9" i="26"/>
  <c r="F11" i="26"/>
  <c r="F10" i="26"/>
  <c r="F3" i="26"/>
  <c r="F7" i="26"/>
  <c r="F5" i="26"/>
  <c r="F13" i="26"/>
  <c r="F6" i="26"/>
  <c r="F8" i="26"/>
  <c r="U10" i="14" l="1"/>
  <c r="Y16" i="14" s="1"/>
  <c r="K13" i="26"/>
  <c r="K15" i="26" s="1"/>
  <c r="E5" i="26"/>
  <c r="E11" i="26"/>
  <c r="E12" i="26"/>
  <c r="E6" i="26"/>
  <c r="E13" i="26"/>
  <c r="E4" i="26"/>
  <c r="E8" i="26"/>
  <c r="E10" i="26"/>
  <c r="E3" i="26"/>
  <c r="E7" i="26"/>
  <c r="E9" i="26"/>
  <c r="R13" i="13"/>
  <c r="R13" i="14"/>
  <c r="J50" i="13"/>
  <c r="W10" i="13" s="1"/>
  <c r="P13" i="13"/>
  <c r="Q13" i="14"/>
  <c r="P13" i="14"/>
  <c r="Q13" i="13"/>
  <c r="D2" i="2" l="1"/>
  <c r="D3" i="2"/>
  <c r="D4" i="2"/>
  <c r="D5" i="2"/>
  <c r="D8" i="2"/>
  <c r="D9" i="2"/>
  <c r="D10" i="2"/>
  <c r="D11" i="2"/>
  <c r="D12" i="2"/>
  <c r="D1" i="2"/>
  <c r="D7" i="2" l="1"/>
  <c r="D6" i="2"/>
  <c r="S14" i="14" l="1"/>
  <c r="I14" i="14" s="1"/>
  <c r="T14" i="14"/>
  <c r="S16" i="13"/>
  <c r="I16" i="13" s="1"/>
  <c r="T20" i="14"/>
  <c r="S29" i="13"/>
  <c r="I29" i="13" s="1"/>
  <c r="S33" i="13"/>
  <c r="I33" i="13" s="1"/>
  <c r="T36" i="13"/>
  <c r="T22" i="13"/>
  <c r="S26" i="14"/>
  <c r="I26" i="14" s="1"/>
  <c r="T31" i="13"/>
  <c r="T27" i="14"/>
  <c r="T22" i="14"/>
  <c r="S24" i="13"/>
  <c r="I24" i="13" s="1"/>
  <c r="T27" i="13"/>
  <c r="T19" i="14"/>
  <c r="S19" i="14"/>
  <c r="I19" i="14" s="1"/>
  <c r="S40" i="13"/>
  <c r="I40" i="13" s="1"/>
  <c r="S15" i="13"/>
  <c r="I15" i="13" s="1"/>
  <c r="T18" i="14"/>
  <c r="T29" i="14"/>
  <c r="T30" i="13"/>
  <c r="S38" i="14"/>
  <c r="I38" i="14" s="1"/>
  <c r="T44" i="13"/>
  <c r="S23" i="13"/>
  <c r="I23" i="13" s="1"/>
  <c r="T17" i="14"/>
  <c r="T41" i="13"/>
  <c r="T31" i="14"/>
  <c r="S31" i="14"/>
  <c r="I31" i="14" s="1"/>
  <c r="S21" i="13"/>
  <c r="I21" i="13" s="1"/>
  <c r="S20" i="14"/>
  <c r="I20" i="14" s="1"/>
  <c r="S41" i="14"/>
  <c r="I41" i="14" s="1"/>
  <c r="T39" i="14"/>
  <c r="S25" i="14"/>
  <c r="I25" i="14" s="1"/>
  <c r="S31" i="13"/>
  <c r="I31" i="13" s="1"/>
  <c r="S49" i="14"/>
  <c r="I49" i="14" s="1"/>
  <c r="S34" i="14"/>
  <c r="I34" i="14" s="1"/>
  <c r="T29" i="13"/>
  <c r="S24" i="19"/>
  <c r="I24" i="19" s="1"/>
  <c r="S46" i="16"/>
  <c r="I46" i="16" s="1"/>
  <c r="S45" i="24"/>
  <c r="I45" i="24" s="1"/>
  <c r="S42" i="23"/>
  <c r="I42" i="23" s="1"/>
  <c r="S37" i="17"/>
  <c r="I37" i="17" s="1"/>
  <c r="S30" i="15"/>
  <c r="I30" i="15" s="1"/>
  <c r="S32" i="19"/>
  <c r="I32" i="19" s="1"/>
  <c r="S49" i="20"/>
  <c r="I49" i="20" s="1"/>
  <c r="S45" i="22"/>
  <c r="I45" i="22" s="1"/>
  <c r="T43" i="17"/>
  <c r="T31" i="22"/>
  <c r="T48" i="23"/>
  <c r="T16" i="16"/>
  <c r="T25" i="22"/>
  <c r="S32" i="24"/>
  <c r="I32" i="24" s="1"/>
  <c r="T13" i="25"/>
  <c r="T41" i="20"/>
  <c r="T19" i="19"/>
  <c r="T37" i="17"/>
  <c r="T25" i="15"/>
  <c r="S25" i="16"/>
  <c r="I25" i="16" s="1"/>
  <c r="S34" i="24"/>
  <c r="I34" i="24" s="1"/>
  <c r="S17" i="16"/>
  <c r="I17" i="16" s="1"/>
  <c r="T45" i="25"/>
  <c r="S22" i="19"/>
  <c r="I22" i="19" s="1"/>
  <c r="S49" i="23"/>
  <c r="I49" i="23" s="1"/>
  <c r="S26" i="20"/>
  <c r="I26" i="20" s="1"/>
  <c r="S26" i="22"/>
  <c r="I26" i="22" s="1"/>
  <c r="S38" i="19"/>
  <c r="I38" i="19" s="1"/>
  <c r="S45" i="21"/>
  <c r="I45" i="21" s="1"/>
  <c r="T19" i="23"/>
  <c r="S43" i="19"/>
  <c r="I43" i="19" s="1"/>
  <c r="T28" i="15"/>
  <c r="T15" i="22"/>
  <c r="S29" i="23"/>
  <c r="I29" i="23" s="1"/>
  <c r="T21" i="25"/>
  <c r="T21" i="20"/>
  <c r="T22" i="19"/>
  <c r="S26" i="16"/>
  <c r="I26" i="16" s="1"/>
  <c r="S36" i="24"/>
  <c r="I36" i="24" s="1"/>
  <c r="S42" i="22"/>
  <c r="I42" i="22" s="1"/>
  <c r="S22" i="16"/>
  <c r="I22" i="16" s="1"/>
  <c r="S26" i="25"/>
  <c r="I26" i="25" s="1"/>
  <c r="S16" i="15"/>
  <c r="I16" i="15" s="1"/>
  <c r="S33" i="20"/>
  <c r="I33" i="20" s="1"/>
  <c r="S46" i="25"/>
  <c r="I46" i="25" s="1"/>
  <c r="T37" i="19"/>
  <c r="T47" i="21"/>
  <c r="T18" i="24"/>
  <c r="T32" i="20"/>
  <c r="S40" i="21"/>
  <c r="I40" i="21" s="1"/>
  <c r="S43" i="22"/>
  <c r="I43" i="22" s="1"/>
  <c r="S40" i="24"/>
  <c r="I40" i="24" s="1"/>
  <c r="T13" i="20"/>
  <c r="T41" i="19"/>
  <c r="S37" i="16"/>
  <c r="I37" i="16" s="1"/>
  <c r="T40" i="15"/>
  <c r="T32" i="16"/>
  <c r="T37" i="15"/>
  <c r="S49" i="25"/>
  <c r="I49" i="25" s="1"/>
  <c r="T44" i="19"/>
  <c r="T34" i="24"/>
  <c r="T26" i="20"/>
  <c r="T49" i="15"/>
  <c r="S21" i="17"/>
  <c r="I21" i="17" s="1"/>
  <c r="S35" i="19"/>
  <c r="I35" i="19" s="1"/>
  <c r="T40" i="16"/>
  <c r="T31" i="19"/>
  <c r="T41" i="15"/>
  <c r="S32" i="20"/>
  <c r="I32" i="20" s="1"/>
  <c r="T39" i="21"/>
  <c r="S19" i="23"/>
  <c r="I19" i="23" s="1"/>
  <c r="T19" i="22"/>
  <c r="S35" i="17"/>
  <c r="I35" i="17" s="1"/>
  <c r="T26" i="25"/>
  <c r="T29" i="25"/>
  <c r="T23" i="25"/>
  <c r="T16" i="15"/>
  <c r="T23" i="17"/>
  <c r="S14" i="19"/>
  <c r="I14" i="19" s="1"/>
  <c r="T21" i="17"/>
  <c r="S27" i="19"/>
  <c r="I27" i="19" s="1"/>
  <c r="T49" i="19"/>
  <c r="T40" i="21"/>
  <c r="T18" i="21"/>
  <c r="T15" i="20"/>
  <c r="T27" i="22"/>
  <c r="T23" i="23"/>
  <c r="T35" i="24"/>
  <c r="S25" i="25"/>
  <c r="I25" i="25" s="1"/>
  <c r="S21" i="25"/>
  <c r="I21" i="25" s="1"/>
  <c r="S37" i="19"/>
  <c r="I37" i="19" s="1"/>
  <c r="S16" i="16"/>
  <c r="I16" i="16" s="1"/>
  <c r="T17" i="17"/>
  <c r="T43" i="15"/>
  <c r="T25" i="17"/>
  <c r="T22" i="15"/>
  <c r="T40" i="17"/>
  <c r="S45" i="17"/>
  <c r="I45" i="17" s="1"/>
  <c r="T34" i="20"/>
  <c r="S48" i="21"/>
  <c r="I48" i="21" s="1"/>
  <c r="T37" i="22"/>
  <c r="T32" i="22"/>
  <c r="T17" i="20"/>
  <c r="T39" i="22"/>
  <c r="T42" i="23"/>
  <c r="S16" i="25"/>
  <c r="I16" i="25" s="1"/>
  <c r="S48" i="24"/>
  <c r="I48" i="24" s="1"/>
  <c r="T35" i="25"/>
  <c r="S43" i="15"/>
  <c r="I43" i="15" s="1"/>
  <c r="S16" i="20"/>
  <c r="I16" i="20" s="1"/>
  <c r="S48" i="25"/>
  <c r="I48" i="25" s="1"/>
  <c r="S40" i="23"/>
  <c r="I40" i="23" s="1"/>
  <c r="T16" i="17"/>
  <c r="S22" i="15"/>
  <c r="I22" i="15" s="1"/>
  <c r="T42" i="17"/>
  <c r="T24" i="16"/>
  <c r="S33" i="17"/>
  <c r="I33" i="17" s="1"/>
  <c r="T14" i="19"/>
  <c r="T35" i="20"/>
  <c r="T17" i="22"/>
  <c r="T25" i="20"/>
  <c r="T35" i="22"/>
  <c r="T46" i="19"/>
  <c r="T24" i="22"/>
  <c r="T43" i="23"/>
  <c r="T40" i="25"/>
  <c r="T27" i="24"/>
  <c r="T29" i="24"/>
  <c r="T20" i="25"/>
  <c r="T14" i="23"/>
  <c r="T46" i="23"/>
  <c r="S44" i="23"/>
  <c r="I44" i="23" s="1"/>
  <c r="T46" i="22"/>
  <c r="S41" i="13"/>
  <c r="I41" i="13" s="1"/>
  <c r="S36" i="13"/>
  <c r="I36" i="13" s="1"/>
  <c r="S42" i="13"/>
  <c r="I42" i="13" s="1"/>
  <c r="T16" i="14"/>
  <c r="S45" i="13"/>
  <c r="I45" i="13" s="1"/>
  <c r="S44" i="13"/>
  <c r="I44" i="13" s="1"/>
  <c r="S25" i="13"/>
  <c r="I25" i="13" s="1"/>
  <c r="S46" i="14"/>
  <c r="I46" i="14" s="1"/>
  <c r="T23" i="13"/>
  <c r="S43" i="14"/>
  <c r="I43" i="14" s="1"/>
  <c r="S49" i="13"/>
  <c r="I49" i="13" s="1"/>
  <c r="T18" i="13"/>
  <c r="T19" i="13"/>
  <c r="T15" i="14"/>
  <c r="S36" i="14"/>
  <c r="I36" i="14" s="1"/>
  <c r="S37" i="13"/>
  <c r="I37" i="13" s="1"/>
  <c r="T45" i="13"/>
  <c r="S45" i="14"/>
  <c r="I45" i="14" s="1"/>
  <c r="S33" i="14"/>
  <c r="I33" i="14" s="1"/>
  <c r="S30" i="13"/>
  <c r="I30" i="13" s="1"/>
  <c r="T36" i="14"/>
  <c r="T16" i="13"/>
  <c r="T28" i="13"/>
  <c r="T24" i="14"/>
  <c r="T33" i="13"/>
  <c r="S16" i="14"/>
  <c r="I16" i="14" s="1"/>
  <c r="T26" i="14"/>
  <c r="T20" i="13"/>
  <c r="S22" i="14"/>
  <c r="I22" i="14" s="1"/>
  <c r="S26" i="13"/>
  <c r="I26" i="13" s="1"/>
  <c r="T34" i="14"/>
  <c r="S17" i="14"/>
  <c r="I17" i="14" s="1"/>
  <c r="T40" i="13"/>
  <c r="T33" i="14"/>
  <c r="S34" i="13"/>
  <c r="I34" i="13" s="1"/>
  <c r="T23" i="14"/>
  <c r="S19" i="16"/>
  <c r="I19" i="16" s="1"/>
  <c r="S18" i="17"/>
  <c r="I18" i="17" s="1"/>
  <c r="S25" i="15"/>
  <c r="I25" i="15" s="1"/>
  <c r="S18" i="24"/>
  <c r="I18" i="24" s="1"/>
  <c r="S49" i="17"/>
  <c r="I49" i="17" s="1"/>
  <c r="T48" i="17"/>
  <c r="S46" i="19"/>
  <c r="I46" i="19" s="1"/>
  <c r="S33" i="21"/>
  <c r="I33" i="21" s="1"/>
  <c r="T32" i="23"/>
  <c r="T28" i="21"/>
  <c r="S24" i="23"/>
  <c r="I24" i="23" s="1"/>
  <c r="S19" i="25"/>
  <c r="I19" i="25" s="1"/>
  <c r="T33" i="21"/>
  <c r="T13" i="23"/>
  <c r="S16" i="24"/>
  <c r="I16" i="24" s="1"/>
  <c r="T31" i="25"/>
  <c r="T39" i="20"/>
  <c r="T15" i="17"/>
  <c r="T33" i="16"/>
  <c r="T39" i="15"/>
  <c r="S34" i="16"/>
  <c r="I34" i="16" s="1"/>
  <c r="S41" i="24"/>
  <c r="I41" i="24" s="1"/>
  <c r="S26" i="23"/>
  <c r="I26" i="23" s="1"/>
  <c r="S29" i="17"/>
  <c r="I29" i="17" s="1"/>
  <c r="S41" i="25"/>
  <c r="I41" i="25" s="1"/>
  <c r="S25" i="19"/>
  <c r="I25" i="19" s="1"/>
  <c r="S41" i="20"/>
  <c r="I41" i="20" s="1"/>
  <c r="T47" i="22"/>
  <c r="T49" i="16"/>
  <c r="T36" i="21"/>
  <c r="S25" i="23"/>
  <c r="I25" i="23" s="1"/>
  <c r="T35" i="19"/>
  <c r="T42" i="15"/>
  <c r="S25" i="22"/>
  <c r="I25" i="22" s="1"/>
  <c r="T33" i="23"/>
  <c r="S33" i="25"/>
  <c r="I33" i="25" s="1"/>
  <c r="S35" i="20"/>
  <c r="I35" i="20" s="1"/>
  <c r="T26" i="19"/>
  <c r="S38" i="16"/>
  <c r="I38" i="16" s="1"/>
  <c r="S42" i="24"/>
  <c r="I42" i="24" s="1"/>
  <c r="S34" i="23"/>
  <c r="I34" i="23" s="1"/>
  <c r="S34" i="17"/>
  <c r="I34" i="17" s="1"/>
  <c r="S42" i="25"/>
  <c r="I42" i="25" s="1"/>
  <c r="S26" i="19"/>
  <c r="I26" i="19" s="1"/>
  <c r="S42" i="20"/>
  <c r="I42" i="20" s="1"/>
  <c r="T19" i="15"/>
  <c r="T18" i="16"/>
  <c r="T29" i="22"/>
  <c r="T26" i="24"/>
  <c r="T32" i="17"/>
  <c r="S32" i="21"/>
  <c r="I32" i="21" s="1"/>
  <c r="T17" i="23"/>
  <c r="T22" i="25"/>
  <c r="T23" i="20"/>
  <c r="S29" i="19"/>
  <c r="I29" i="19" s="1"/>
  <c r="T48" i="15"/>
  <c r="T24" i="15"/>
  <c r="S29" i="16"/>
  <c r="I29" i="16" s="1"/>
  <c r="S30" i="25"/>
  <c r="I30" i="25" s="1"/>
  <c r="S19" i="20"/>
  <c r="I19" i="20" s="1"/>
  <c r="S16" i="21"/>
  <c r="I16" i="21" s="1"/>
  <c r="S48" i="19"/>
  <c r="I48" i="19" s="1"/>
  <c r="T38" i="19"/>
  <c r="T15" i="15"/>
  <c r="T27" i="17"/>
  <c r="S45" i="19"/>
  <c r="I45" i="19" s="1"/>
  <c r="T45" i="16"/>
  <c r="S25" i="20"/>
  <c r="I25" i="20" s="1"/>
  <c r="T42" i="19"/>
  <c r="T36" i="20"/>
  <c r="S17" i="22"/>
  <c r="I17" i="22" s="1"/>
  <c r="T27" i="20"/>
  <c r="S42" i="16"/>
  <c r="I42" i="16" s="1"/>
  <c r="S27" i="15"/>
  <c r="I27" i="15" s="1"/>
  <c r="S24" i="21"/>
  <c r="I24" i="21" s="1"/>
  <c r="T18" i="15"/>
  <c r="T30" i="25"/>
  <c r="T30" i="15"/>
  <c r="T28" i="17"/>
  <c r="T45" i="19"/>
  <c r="S32" i="17"/>
  <c r="I32" i="17" s="1"/>
  <c r="S16" i="17"/>
  <c r="I16" i="17" s="1"/>
  <c r="T33" i="20"/>
  <c r="S19" i="22"/>
  <c r="I19" i="22" s="1"/>
  <c r="S37" i="21"/>
  <c r="I37" i="21" s="1"/>
  <c r="T47" i="20"/>
  <c r="T43" i="22"/>
  <c r="T28" i="23"/>
  <c r="S24" i="25"/>
  <c r="I24" i="25" s="1"/>
  <c r="S46" i="24"/>
  <c r="I46" i="24" s="1"/>
  <c r="S48" i="14"/>
  <c r="I48" i="14" s="1"/>
  <c r="S18" i="14"/>
  <c r="I18" i="14" s="1"/>
  <c r="S38" i="13"/>
  <c r="I38" i="13" s="1"/>
  <c r="T41" i="14"/>
  <c r="T32" i="13"/>
  <c r="S22" i="13"/>
  <c r="I22" i="13" s="1"/>
  <c r="T26" i="13"/>
  <c r="T40" i="14"/>
  <c r="S17" i="13"/>
  <c r="I17" i="13" s="1"/>
  <c r="T38" i="14"/>
  <c r="S32" i="13"/>
  <c r="I32" i="13" s="1"/>
  <c r="T44" i="14"/>
  <c r="T14" i="13"/>
  <c r="T46" i="14"/>
  <c r="S30" i="14"/>
  <c r="I30" i="14" s="1"/>
  <c r="T37" i="14"/>
  <c r="T21" i="13"/>
  <c r="S28" i="14"/>
  <c r="I28" i="14" s="1"/>
  <c r="T49" i="14"/>
  <c r="T38" i="13"/>
  <c r="S48" i="13"/>
  <c r="I48" i="13" s="1"/>
  <c r="T46" i="13"/>
  <c r="T24" i="13"/>
  <c r="T47" i="13"/>
  <c r="T25" i="13"/>
  <c r="S47" i="14"/>
  <c r="I47" i="14" s="1"/>
  <c r="S15" i="14"/>
  <c r="I15" i="14" s="1"/>
  <c r="T28" i="14"/>
  <c r="S20" i="13"/>
  <c r="I20" i="13" s="1"/>
  <c r="T39" i="13"/>
  <c r="S44" i="14"/>
  <c r="I44" i="14" s="1"/>
  <c r="S39" i="13"/>
  <c r="I39" i="13" s="1"/>
  <c r="T42" i="13"/>
  <c r="S14" i="13"/>
  <c r="I14" i="13" s="1"/>
  <c r="S42" i="14"/>
  <c r="I42" i="14" s="1"/>
  <c r="S23" i="14"/>
  <c r="I23" i="14" s="1"/>
  <c r="S21" i="16"/>
  <c r="I21" i="16" s="1"/>
  <c r="S30" i="24"/>
  <c r="I30" i="24" s="1"/>
  <c r="S48" i="15"/>
  <c r="I48" i="15" s="1"/>
  <c r="T41" i="25"/>
  <c r="S21" i="19"/>
  <c r="I21" i="19" s="1"/>
  <c r="S18" i="23"/>
  <c r="I18" i="23" s="1"/>
  <c r="S17" i="20"/>
  <c r="I17" i="20" s="1"/>
  <c r="S18" i="22"/>
  <c r="I18" i="22" s="1"/>
  <c r="T49" i="24"/>
  <c r="S37" i="22"/>
  <c r="I37" i="22" s="1"/>
  <c r="T34" i="23"/>
  <c r="T37" i="20"/>
  <c r="T45" i="21"/>
  <c r="T16" i="23"/>
  <c r="T15" i="25"/>
  <c r="T48" i="25"/>
  <c r="T13" i="19"/>
  <c r="T20" i="17"/>
  <c r="T21" i="16"/>
  <c r="S35" i="15"/>
  <c r="I35" i="15" s="1"/>
  <c r="S49" i="16"/>
  <c r="I49" i="16" s="1"/>
  <c r="S13" i="25"/>
  <c r="I13" i="25" s="1"/>
  <c r="S45" i="23"/>
  <c r="I45" i="23" s="1"/>
  <c r="S42" i="17"/>
  <c r="I42" i="17" s="1"/>
  <c r="S42" i="15"/>
  <c r="I42" i="15" s="1"/>
  <c r="S34" i="19"/>
  <c r="I34" i="19" s="1"/>
  <c r="S18" i="21"/>
  <c r="I18" i="21" s="1"/>
  <c r="T47" i="24"/>
  <c r="T21" i="15"/>
  <c r="S24" i="22"/>
  <c r="I24" i="22" s="1"/>
  <c r="T42" i="24"/>
  <c r="T35" i="17"/>
  <c r="T20" i="21"/>
  <c r="S27" i="22"/>
  <c r="I27" i="22" s="1"/>
  <c r="S43" i="23"/>
  <c r="I43" i="23" s="1"/>
  <c r="T28" i="20"/>
  <c r="T27" i="19"/>
  <c r="T29" i="17"/>
  <c r="S13" i="17"/>
  <c r="I13" i="17" s="1"/>
  <c r="S18" i="25"/>
  <c r="I18" i="25" s="1"/>
  <c r="S14" i="24"/>
  <c r="I14" i="24" s="1"/>
  <c r="S43" i="17"/>
  <c r="I43" i="17" s="1"/>
  <c r="S45" i="15"/>
  <c r="I45" i="15" s="1"/>
  <c r="S36" i="19"/>
  <c r="I36" i="19" s="1"/>
  <c r="S25" i="21"/>
  <c r="I25" i="21" s="1"/>
  <c r="T42" i="20"/>
  <c r="T49" i="21"/>
  <c r="T20" i="22"/>
  <c r="T34" i="25"/>
  <c r="S40" i="16"/>
  <c r="I40" i="16" s="1"/>
  <c r="T18" i="22"/>
  <c r="T36" i="23"/>
  <c r="S40" i="25"/>
  <c r="I40" i="25" s="1"/>
  <c r="T17" i="19"/>
  <c r="T13" i="17"/>
  <c r="T17" i="15"/>
  <c r="T35" i="15"/>
  <c r="S37" i="24"/>
  <c r="I37" i="24" s="1"/>
  <c r="S18" i="15"/>
  <c r="I18" i="15" s="1"/>
  <c r="T48" i="16"/>
  <c r="T17" i="21"/>
  <c r="S29" i="24"/>
  <c r="I29" i="24" s="1"/>
  <c r="T34" i="17"/>
  <c r="T33" i="15"/>
  <c r="S13" i="19"/>
  <c r="I13" i="19" s="1"/>
  <c r="S40" i="15"/>
  <c r="I40" i="15" s="1"/>
  <c r="S19" i="17"/>
  <c r="I19" i="17" s="1"/>
  <c r="S41" i="16"/>
  <c r="I41" i="16" s="1"/>
  <c r="T47" i="17"/>
  <c r="T43" i="20"/>
  <c r="S33" i="22"/>
  <c r="I33" i="22" s="1"/>
  <c r="T13" i="21"/>
  <c r="S44" i="24"/>
  <c r="I44" i="24" s="1"/>
  <c r="S28" i="19"/>
  <c r="I28" i="19" s="1"/>
  <c r="S27" i="23"/>
  <c r="I27" i="23" s="1"/>
  <c r="T42" i="21"/>
  <c r="S21" i="20"/>
  <c r="I21" i="20" s="1"/>
  <c r="S27" i="16"/>
  <c r="I27" i="16" s="1"/>
  <c r="T36" i="17"/>
  <c r="T17" i="16"/>
  <c r="S38" i="17"/>
  <c r="I38" i="17" s="1"/>
  <c r="T33" i="19"/>
  <c r="S13" i="21"/>
  <c r="I13" i="21" s="1"/>
  <c r="S35" i="22"/>
  <c r="I35" i="22" s="1"/>
  <c r="T21" i="21"/>
  <c r="T15" i="21"/>
  <c r="T49" i="22"/>
  <c r="T40" i="23"/>
  <c r="T49" i="23"/>
  <c r="T31" i="24"/>
  <c r="S48" i="17"/>
  <c r="I48" i="17" s="1"/>
  <c r="T34" i="22"/>
  <c r="T20" i="23"/>
  <c r="T24" i="19"/>
  <c r="T36" i="15"/>
  <c r="T15" i="19"/>
  <c r="T24" i="17"/>
  <c r="T30" i="19"/>
  <c r="S40" i="19"/>
  <c r="I40" i="19" s="1"/>
  <c r="T16" i="21"/>
  <c r="T21" i="22"/>
  <c r="S43" i="20"/>
  <c r="I43" i="20" s="1"/>
  <c r="T29" i="21"/>
  <c r="T23" i="22"/>
  <c r="S32" i="23"/>
  <c r="I32" i="23" s="1"/>
  <c r="T23" i="24"/>
  <c r="T46" i="25"/>
  <c r="T49" i="25"/>
  <c r="S32" i="14"/>
  <c r="I32" i="14" s="1"/>
  <c r="S35" i="13"/>
  <c r="I35" i="13" s="1"/>
  <c r="T43" i="14"/>
  <c r="T35" i="14"/>
  <c r="S39" i="14"/>
  <c r="I39" i="14" s="1"/>
  <c r="T17" i="13"/>
  <c r="T47" i="14"/>
  <c r="T21" i="14"/>
  <c r="S37" i="14"/>
  <c r="I37" i="14" s="1"/>
  <c r="S33" i="16"/>
  <c r="I33" i="16" s="1"/>
  <c r="S34" i="25"/>
  <c r="I34" i="25" s="1"/>
  <c r="T48" i="19"/>
  <c r="S13" i="22"/>
  <c r="I13" i="22" s="1"/>
  <c r="T34" i="19"/>
  <c r="S24" i="17"/>
  <c r="I24" i="17" s="1"/>
  <c r="S34" i="22"/>
  <c r="I34" i="22" s="1"/>
  <c r="T41" i="21"/>
  <c r="T25" i="21"/>
  <c r="S41" i="19"/>
  <c r="I41" i="19" s="1"/>
  <c r="S22" i="24"/>
  <c r="I22" i="24" s="1"/>
  <c r="S42" i="21"/>
  <c r="I42" i="21" s="1"/>
  <c r="T39" i="25"/>
  <c r="T42" i="25"/>
  <c r="T26" i="16"/>
  <c r="T45" i="22"/>
  <c r="T16" i="19"/>
  <c r="T23" i="19"/>
  <c r="S41" i="23"/>
  <c r="I41" i="23" s="1"/>
  <c r="T29" i="16"/>
  <c r="S19" i="19"/>
  <c r="I19" i="19" s="1"/>
  <c r="S13" i="24"/>
  <c r="I13" i="24" s="1"/>
  <c r="T16" i="25"/>
  <c r="S26" i="21"/>
  <c r="I26" i="21" s="1"/>
  <c r="T47" i="23"/>
  <c r="T41" i="17"/>
  <c r="T25" i="19"/>
  <c r="T45" i="20"/>
  <c r="S24" i="20"/>
  <c r="I24" i="20" s="1"/>
  <c r="T49" i="20"/>
  <c r="T15" i="24"/>
  <c r="S27" i="25"/>
  <c r="I27" i="25" s="1"/>
  <c r="S26" i="24"/>
  <c r="I26" i="24" s="1"/>
  <c r="S49" i="21"/>
  <c r="I49" i="21" s="1"/>
  <c r="T45" i="15"/>
  <c r="T14" i="25"/>
  <c r="T32" i="15"/>
  <c r="T26" i="15"/>
  <c r="S30" i="16"/>
  <c r="I30" i="16" s="1"/>
  <c r="T47" i="19"/>
  <c r="T32" i="21"/>
  <c r="S48" i="23"/>
  <c r="I48" i="23" s="1"/>
  <c r="S35" i="23"/>
  <c r="I35" i="23" s="1"/>
  <c r="S29" i="20"/>
  <c r="I29" i="20" s="1"/>
  <c r="T26" i="23"/>
  <c r="S40" i="20"/>
  <c r="I40" i="20" s="1"/>
  <c r="T24" i="25"/>
  <c r="S29" i="25"/>
  <c r="I29" i="25" s="1"/>
  <c r="T22" i="23"/>
  <c r="S28" i="23"/>
  <c r="I28" i="23" s="1"/>
  <c r="T38" i="22"/>
  <c r="T43" i="21"/>
  <c r="T38" i="21"/>
  <c r="S14" i="20"/>
  <c r="I14" i="20" s="1"/>
  <c r="T38" i="20"/>
  <c r="T36" i="19"/>
  <c r="T47" i="16"/>
  <c r="S14" i="15"/>
  <c r="I14" i="15" s="1"/>
  <c r="S41" i="15"/>
  <c r="I41" i="15" s="1"/>
  <c r="T38" i="16"/>
  <c r="S47" i="17"/>
  <c r="I47" i="17" s="1"/>
  <c r="S46" i="15"/>
  <c r="I46" i="15" s="1"/>
  <c r="T48" i="21"/>
  <c r="S27" i="24"/>
  <c r="I27" i="24" s="1"/>
  <c r="T32" i="24"/>
  <c r="S15" i="25"/>
  <c r="I15" i="25" s="1"/>
  <c r="T28" i="24"/>
  <c r="S46" i="22"/>
  <c r="I46" i="22" s="1"/>
  <c r="S19" i="21"/>
  <c r="I19" i="21" s="1"/>
  <c r="S44" i="21"/>
  <c r="I44" i="21" s="1"/>
  <c r="S39" i="20"/>
  <c r="I39" i="20" s="1"/>
  <c r="S39" i="17"/>
  <c r="I39" i="17" s="1"/>
  <c r="S47" i="16"/>
  <c r="I47" i="16" s="1"/>
  <c r="T26" i="22"/>
  <c r="T43" i="24"/>
  <c r="S20" i="25"/>
  <c r="I20" i="25" s="1"/>
  <c r="T14" i="24"/>
  <c r="T46" i="24"/>
  <c r="S22" i="23"/>
  <c r="I22" i="23" s="1"/>
  <c r="S36" i="22"/>
  <c r="I36" i="22" s="1"/>
  <c r="S27" i="21"/>
  <c r="I27" i="21" s="1"/>
  <c r="S20" i="19"/>
  <c r="I20" i="19" s="1"/>
  <c r="S47" i="19"/>
  <c r="I47" i="19" s="1"/>
  <c r="T36" i="16"/>
  <c r="T14" i="15"/>
  <c r="S15" i="15"/>
  <c r="I15" i="15" s="1"/>
  <c r="S23" i="21"/>
  <c r="I23" i="21" s="1"/>
  <c r="T22" i="17"/>
  <c r="S15" i="17"/>
  <c r="I15" i="17" s="1"/>
  <c r="T37" i="24"/>
  <c r="S23" i="24"/>
  <c r="I23" i="24" s="1"/>
  <c r="S39" i="22"/>
  <c r="I39" i="22" s="1"/>
  <c r="T45" i="14"/>
  <c r="S19" i="13"/>
  <c r="I19" i="13" s="1"/>
  <c r="S27" i="14"/>
  <c r="I27" i="14" s="1"/>
  <c r="S35" i="14"/>
  <c r="I35" i="14" s="1"/>
  <c r="S40" i="14"/>
  <c r="I40" i="14" s="1"/>
  <c r="T48" i="13"/>
  <c r="T42" i="14"/>
  <c r="T37" i="13"/>
  <c r="T15" i="13"/>
  <c r="S38" i="24"/>
  <c r="I38" i="24" s="1"/>
  <c r="S19" i="15"/>
  <c r="I19" i="15" s="1"/>
  <c r="S41" i="22"/>
  <c r="I41" i="22" s="1"/>
  <c r="T17" i="24"/>
  <c r="T39" i="17"/>
  <c r="S28" i="15"/>
  <c r="I28" i="15" s="1"/>
  <c r="S49" i="19"/>
  <c r="I49" i="19" s="1"/>
  <c r="T31" i="23"/>
  <c r="T41" i="22"/>
  <c r="T44" i="17"/>
  <c r="S17" i="19"/>
  <c r="I17" i="19" s="1"/>
  <c r="T40" i="19"/>
  <c r="S37" i="15"/>
  <c r="I37" i="15" s="1"/>
  <c r="T29" i="19"/>
  <c r="S49" i="22"/>
  <c r="I49" i="22" s="1"/>
  <c r="S35" i="25"/>
  <c r="I35" i="25" s="1"/>
  <c r="T29" i="15"/>
  <c r="T48" i="20"/>
  <c r="S48" i="20"/>
  <c r="I48" i="20" s="1"/>
  <c r="T41" i="16"/>
  <c r="T49" i="17"/>
  <c r="S21" i="22"/>
  <c r="I21" i="22" s="1"/>
  <c r="S17" i="17"/>
  <c r="I17" i="17" s="1"/>
  <c r="T45" i="24"/>
  <c r="T18" i="17"/>
  <c r="S18" i="20"/>
  <c r="I18" i="20" s="1"/>
  <c r="T19" i="17"/>
  <c r="T31" i="21"/>
  <c r="S29" i="21"/>
  <c r="I29" i="21" s="1"/>
  <c r="T28" i="22"/>
  <c r="T41" i="24"/>
  <c r="T48" i="24"/>
  <c r="S25" i="24"/>
  <c r="I25" i="24" s="1"/>
  <c r="T32" i="19"/>
  <c r="T13" i="15"/>
  <c r="S27" i="17"/>
  <c r="I27" i="17" s="1"/>
  <c r="S24" i="16"/>
  <c r="I24" i="16" s="1"/>
  <c r="T47" i="15"/>
  <c r="T42" i="16"/>
  <c r="T16" i="20"/>
  <c r="S41" i="21"/>
  <c r="I41" i="21" s="1"/>
  <c r="S21" i="21"/>
  <c r="I21" i="21" s="1"/>
  <c r="T37" i="21"/>
  <c r="T44" i="21"/>
  <c r="T16" i="24"/>
  <c r="S37" i="23"/>
  <c r="I37" i="23" s="1"/>
  <c r="T41" i="23"/>
  <c r="S39" i="25"/>
  <c r="I39" i="25" s="1"/>
  <c r="T30" i="23"/>
  <c r="S36" i="23"/>
  <c r="I36" i="23" s="1"/>
  <c r="S14" i="22"/>
  <c r="I14" i="22" s="1"/>
  <c r="T14" i="21"/>
  <c r="T46" i="21"/>
  <c r="S22" i="20"/>
  <c r="I22" i="20" s="1"/>
  <c r="T46" i="20"/>
  <c r="S39" i="16"/>
  <c r="I39" i="16" s="1"/>
  <c r="S31" i="16"/>
  <c r="I31" i="16" s="1"/>
  <c r="S38" i="15"/>
  <c r="I38" i="15" s="1"/>
  <c r="T46" i="15"/>
  <c r="T20" i="15"/>
  <c r="S36" i="16"/>
  <c r="I36" i="16" s="1"/>
  <c r="S21" i="23"/>
  <c r="I21" i="23" s="1"/>
  <c r="T27" i="23"/>
  <c r="S14" i="25"/>
  <c r="I14" i="25" s="1"/>
  <c r="T40" i="24"/>
  <c r="T28" i="25"/>
  <c r="S14" i="23"/>
  <c r="I14" i="23" s="1"/>
  <c r="S15" i="22"/>
  <c r="I15" i="22" s="1"/>
  <c r="S30" i="21"/>
  <c r="I30" i="21" s="1"/>
  <c r="S39" i="21"/>
  <c r="I39" i="21" s="1"/>
  <c r="S44" i="19"/>
  <c r="I44" i="19" s="1"/>
  <c r="T20" i="16"/>
  <c r="T27" i="16"/>
  <c r="T42" i="22"/>
  <c r="T19" i="25"/>
  <c r="S28" i="25"/>
  <c r="I28" i="25" s="1"/>
  <c r="T22" i="24"/>
  <c r="S28" i="24"/>
  <c r="I28" i="24" s="1"/>
  <c r="S38" i="23"/>
  <c r="I38" i="23" s="1"/>
  <c r="S44" i="22"/>
  <c r="I44" i="22" s="1"/>
  <c r="S20" i="21"/>
  <c r="I20" i="21" s="1"/>
  <c r="S23" i="19"/>
  <c r="I23" i="19" s="1"/>
  <c r="S22" i="17"/>
  <c r="I22" i="17" s="1"/>
  <c r="T15" i="16"/>
  <c r="S26" i="15"/>
  <c r="I26" i="15" s="1"/>
  <c r="S31" i="15"/>
  <c r="I31" i="15" s="1"/>
  <c r="T14" i="20"/>
  <c r="S31" i="20"/>
  <c r="I31" i="20" s="1"/>
  <c r="T38" i="17"/>
  <c r="T39" i="16"/>
  <c r="T47" i="25"/>
  <c r="S37" i="25"/>
  <c r="I37" i="25" s="1"/>
  <c r="S31" i="25"/>
  <c r="I31" i="25" s="1"/>
  <c r="S31" i="24"/>
  <c r="I31" i="24" s="1"/>
  <c r="S31" i="23"/>
  <c r="I31" i="23" s="1"/>
  <c r="T30" i="22"/>
  <c r="S14" i="21"/>
  <c r="I14" i="21" s="1"/>
  <c r="S20" i="20"/>
  <c r="I20" i="20" s="1"/>
  <c r="S30" i="17"/>
  <c r="I30" i="17" s="1"/>
  <c r="S44" i="17"/>
  <c r="I44" i="17" s="1"/>
  <c r="S20" i="15"/>
  <c r="I20" i="15" s="1"/>
  <c r="S44" i="15"/>
  <c r="I44" i="15" s="1"/>
  <c r="T43" i="13"/>
  <c r="T49" i="13"/>
  <c r="S28" i="13"/>
  <c r="I28" i="13" s="1"/>
  <c r="S26" i="17"/>
  <c r="I26" i="17" s="1"/>
  <c r="T18" i="19"/>
  <c r="T27" i="15"/>
  <c r="T44" i="20"/>
  <c r="T40" i="20"/>
  <c r="S13" i="20"/>
  <c r="I13" i="20" s="1"/>
  <c r="S24" i="24"/>
  <c r="I24" i="24" s="1"/>
  <c r="S43" i="16"/>
  <c r="I43" i="16" s="1"/>
  <c r="T21" i="19"/>
  <c r="T36" i="22"/>
  <c r="T21" i="24"/>
  <c r="T39" i="19"/>
  <c r="T33" i="17"/>
  <c r="S32" i="22"/>
  <c r="I32" i="22" s="1"/>
  <c r="T24" i="23"/>
  <c r="S21" i="24"/>
  <c r="I21" i="24" s="1"/>
  <c r="T24" i="20"/>
  <c r="T34" i="15"/>
  <c r="S30" i="19"/>
  <c r="I30" i="19" s="1"/>
  <c r="T23" i="21"/>
  <c r="T16" i="22"/>
  <c r="T45" i="23"/>
  <c r="S33" i="24"/>
  <c r="I33" i="24" s="1"/>
  <c r="S47" i="24"/>
  <c r="I47" i="24" s="1"/>
  <c r="S38" i="22"/>
  <c r="I38" i="22" s="1"/>
  <c r="T30" i="21"/>
  <c r="S46" i="20"/>
  <c r="I46" i="20" s="1"/>
  <c r="S18" i="16"/>
  <c r="I18" i="16" s="1"/>
  <c r="S39" i="15"/>
  <c r="I39" i="15" s="1"/>
  <c r="T30" i="16"/>
  <c r="S43" i="25"/>
  <c r="I43" i="25" s="1"/>
  <c r="S32" i="25"/>
  <c r="I32" i="25" s="1"/>
  <c r="S39" i="23"/>
  <c r="I39" i="23" s="1"/>
  <c r="S35" i="21"/>
  <c r="I35" i="21" s="1"/>
  <c r="S23" i="17"/>
  <c r="I23" i="17" s="1"/>
  <c r="S49" i="24"/>
  <c r="I49" i="24" s="1"/>
  <c r="T36" i="25"/>
  <c r="T44" i="24"/>
  <c r="S46" i="21"/>
  <c r="I46" i="21" s="1"/>
  <c r="S44" i="16"/>
  <c r="I44" i="16" s="1"/>
  <c r="S49" i="15"/>
  <c r="I49" i="15" s="1"/>
  <c r="S28" i="20"/>
  <c r="I28" i="20" s="1"/>
  <c r="S28" i="17"/>
  <c r="I28" i="17" s="1"/>
  <c r="T27" i="25"/>
  <c r="S15" i="24"/>
  <c r="I15" i="24" s="1"/>
  <c r="T14" i="22"/>
  <c r="S28" i="21"/>
  <c r="I28" i="21" s="1"/>
  <c r="T30" i="17"/>
  <c r="S29" i="15"/>
  <c r="I29" i="15" s="1"/>
  <c r="S44" i="20"/>
  <c r="I44" i="20" s="1"/>
  <c r="T32" i="25"/>
  <c r="S44" i="25"/>
  <c r="I44" i="25" s="1"/>
  <c r="S15" i="23"/>
  <c r="I15" i="23" s="1"/>
  <c r="T22" i="20"/>
  <c r="S43" i="13"/>
  <c r="I43" i="13" s="1"/>
  <c r="T48" i="14"/>
  <c r="S46" i="13"/>
  <c r="I46" i="13" s="1"/>
  <c r="S21" i="14"/>
  <c r="I21" i="14" s="1"/>
  <c r="S29" i="14"/>
  <c r="I29" i="14" s="1"/>
  <c r="T32" i="14"/>
  <c r="S47" i="13"/>
  <c r="I47" i="13" s="1"/>
  <c r="S24" i="14"/>
  <c r="I24" i="14" s="1"/>
  <c r="S18" i="13"/>
  <c r="I18" i="13" s="1"/>
  <c r="S16" i="23"/>
  <c r="I16" i="23" s="1"/>
  <c r="S37" i="20"/>
  <c r="I37" i="20" s="1"/>
  <c r="T18" i="23"/>
  <c r="T37" i="25"/>
  <c r="S13" i="15"/>
  <c r="I13" i="15" s="1"/>
  <c r="S20" i="24"/>
  <c r="I20" i="24" s="1"/>
  <c r="S34" i="21"/>
  <c r="I34" i="21" s="1"/>
  <c r="S17" i="25"/>
  <c r="I17" i="25" s="1"/>
  <c r="T33" i="25"/>
  <c r="S25" i="17"/>
  <c r="I25" i="17" s="1"/>
  <c r="S48" i="22"/>
  <c r="I48" i="22" s="1"/>
  <c r="S17" i="21"/>
  <c r="I17" i="21" s="1"/>
  <c r="T13" i="22"/>
  <c r="T45" i="17"/>
  <c r="S34" i="20"/>
  <c r="I34" i="20" s="1"/>
  <c r="T37" i="16"/>
  <c r="T31" i="17"/>
  <c r="T15" i="23"/>
  <c r="T33" i="24"/>
  <c r="S40" i="17"/>
  <c r="I40" i="17" s="1"/>
  <c r="T24" i="21"/>
  <c r="T21" i="23"/>
  <c r="S17" i="24"/>
  <c r="I17" i="24" s="1"/>
  <c r="S17" i="23"/>
  <c r="I17" i="23" s="1"/>
  <c r="T31" i="15"/>
  <c r="S35" i="16"/>
  <c r="I35" i="16" s="1"/>
  <c r="T44" i="15"/>
  <c r="S16" i="22"/>
  <c r="I16" i="22" s="1"/>
  <c r="T48" i="22"/>
  <c r="T44" i="22"/>
  <c r="S38" i="25"/>
  <c r="I38" i="25" s="1"/>
  <c r="T25" i="23"/>
  <c r="S18" i="19"/>
  <c r="I18" i="19" s="1"/>
  <c r="S29" i="22"/>
  <c r="I29" i="22" s="1"/>
  <c r="T29" i="23"/>
  <c r="T25" i="16"/>
  <c r="T26" i="17"/>
  <c r="S41" i="17"/>
  <c r="I41" i="17" s="1"/>
  <c r="S33" i="19"/>
  <c r="I33" i="19" s="1"/>
  <c r="T29" i="20"/>
  <c r="T33" i="22"/>
  <c r="T34" i="21"/>
  <c r="T37" i="23"/>
  <c r="T40" i="22"/>
  <c r="T24" i="24"/>
  <c r="T39" i="23"/>
  <c r="T39" i="24"/>
  <c r="S39" i="24"/>
  <c r="I39" i="24" s="1"/>
  <c r="T38" i="23"/>
  <c r="S30" i="22"/>
  <c r="I30" i="22" s="1"/>
  <c r="S43" i="21"/>
  <c r="I43" i="21" s="1"/>
  <c r="T22" i="21"/>
  <c r="S36" i="21"/>
  <c r="I36" i="21" s="1"/>
  <c r="S30" i="20"/>
  <c r="I30" i="20" s="1"/>
  <c r="T20" i="19"/>
  <c r="T28" i="16"/>
  <c r="T19" i="16"/>
  <c r="S17" i="15"/>
  <c r="I17" i="15" s="1"/>
  <c r="S24" i="15"/>
  <c r="I24" i="15" s="1"/>
  <c r="S23" i="15"/>
  <c r="I23" i="15" s="1"/>
  <c r="S23" i="16"/>
  <c r="I23" i="16" s="1"/>
  <c r="T31" i="20"/>
  <c r="T44" i="23"/>
  <c r="T43" i="25"/>
  <c r="T18" i="25"/>
  <c r="S47" i="25"/>
  <c r="I47" i="25" s="1"/>
  <c r="S23" i="23"/>
  <c r="I23" i="23" s="1"/>
  <c r="S31" i="22"/>
  <c r="I31" i="22" s="1"/>
  <c r="S38" i="21"/>
  <c r="I38" i="21" s="1"/>
  <c r="S38" i="20"/>
  <c r="I38" i="20" s="1"/>
  <c r="S15" i="19"/>
  <c r="I15" i="19" s="1"/>
  <c r="T44" i="16"/>
  <c r="T22" i="16"/>
  <c r="S35" i="24"/>
  <c r="I35" i="24" s="1"/>
  <c r="T25" i="25"/>
  <c r="S23" i="25"/>
  <c r="I23" i="25" s="1"/>
  <c r="T30" i="24"/>
  <c r="T36" i="24"/>
  <c r="S20" i="22"/>
  <c r="I20" i="22" s="1"/>
  <c r="T19" i="21"/>
  <c r="S15" i="21"/>
  <c r="I15" i="21" s="1"/>
  <c r="T28" i="19"/>
  <c r="S20" i="16"/>
  <c r="I20" i="16" s="1"/>
  <c r="T23" i="16"/>
  <c r="T38" i="15"/>
  <c r="S47" i="15"/>
  <c r="I47" i="15" s="1"/>
  <c r="T30" i="20"/>
  <c r="S14" i="17"/>
  <c r="I14" i="17" s="1"/>
  <c r="S20" i="17"/>
  <c r="I20" i="17" s="1"/>
  <c r="T31" i="16"/>
  <c r="S22" i="25"/>
  <c r="I22" i="25" s="1"/>
  <c r="T13" i="16"/>
  <c r="T44" i="25"/>
  <c r="S30" i="23"/>
  <c r="I30" i="23" s="1"/>
  <c r="S47" i="23"/>
  <c r="I47" i="23" s="1"/>
  <c r="S22" i="22"/>
  <c r="I22" i="22" s="1"/>
  <c r="T27" i="21"/>
  <c r="S36" i="20"/>
  <c r="I36" i="20" s="1"/>
  <c r="T14" i="17"/>
  <c r="S31" i="17"/>
  <c r="I31" i="17" s="1"/>
  <c r="S21" i="15"/>
  <c r="I21" i="15" s="1"/>
  <c r="S33" i="15"/>
  <c r="I33" i="15" s="1"/>
  <c r="T25" i="14"/>
  <c r="T35" i="13"/>
  <c r="T34" i="13"/>
  <c r="S27" i="13"/>
  <c r="I27" i="13" s="1"/>
  <c r="T30" i="14"/>
  <c r="S45" i="25"/>
  <c r="I45" i="25" s="1"/>
  <c r="S40" i="22"/>
  <c r="I40" i="22" s="1"/>
  <c r="T38" i="25"/>
  <c r="S16" i="19"/>
  <c r="I16" i="19" s="1"/>
  <c r="T34" i="16"/>
  <c r="S34" i="15"/>
  <c r="I34" i="15" s="1"/>
  <c r="T35" i="23"/>
  <c r="S32" i="15"/>
  <c r="I32" i="15" s="1"/>
  <c r="S45" i="16"/>
  <c r="I45" i="16" s="1"/>
  <c r="T26" i="21"/>
  <c r="S32" i="16"/>
  <c r="I32" i="16" s="1"/>
  <c r="T43" i="19"/>
  <c r="S14" i="16"/>
  <c r="I14" i="16" s="1"/>
  <c r="S48" i="16"/>
  <c r="I48" i="16" s="1"/>
  <c r="S27" i="20"/>
  <c r="I27" i="20" s="1"/>
  <c r="T13" i="24"/>
  <c r="S19" i="24"/>
  <c r="I19" i="24" s="1"/>
  <c r="S13" i="23"/>
  <c r="I13" i="23" s="1"/>
  <c r="T25" i="24"/>
  <c r="T18" i="20"/>
  <c r="S42" i="19"/>
  <c r="I42" i="19" s="1"/>
  <c r="S33" i="23"/>
  <c r="I33" i="23" s="1"/>
  <c r="T19" i="20"/>
  <c r="S43" i="24"/>
  <c r="I43" i="24" s="1"/>
  <c r="T17" i="25"/>
  <c r="S20" i="23"/>
  <c r="I20" i="23" s="1"/>
  <c r="S22" i="21"/>
  <c r="I22" i="21" s="1"/>
  <c r="S31" i="21"/>
  <c r="I31" i="21" s="1"/>
  <c r="S31" i="19"/>
  <c r="I31" i="19" s="1"/>
  <c r="T14" i="16"/>
  <c r="T23" i="15"/>
  <c r="S36" i="17"/>
  <c r="I36" i="17" s="1"/>
  <c r="S45" i="20"/>
  <c r="I45" i="20" s="1"/>
  <c r="T19" i="24"/>
  <c r="T20" i="24"/>
  <c r="S47" i="22"/>
  <c r="I47" i="22" s="1"/>
  <c r="S23" i="20"/>
  <c r="I23" i="20" s="1"/>
  <c r="S28" i="16"/>
  <c r="I28" i="16" s="1"/>
  <c r="T20" i="20"/>
  <c r="S13" i="16"/>
  <c r="I13" i="16" s="1"/>
  <c r="T38" i="24"/>
  <c r="S28" i="22"/>
  <c r="I28" i="22" s="1"/>
  <c r="S47" i="21"/>
  <c r="I47" i="21" s="1"/>
  <c r="S39" i="19"/>
  <c r="I39" i="19" s="1"/>
  <c r="T35" i="16"/>
  <c r="T35" i="21"/>
  <c r="S46" i="17"/>
  <c r="I46" i="17" s="1"/>
  <c r="T46" i="16"/>
  <c r="S36" i="25"/>
  <c r="I36" i="25" s="1"/>
  <c r="S46" i="23"/>
  <c r="I46" i="23" s="1"/>
  <c r="S23" i="22"/>
  <c r="I23" i="22" s="1"/>
  <c r="S15" i="20"/>
  <c r="I15" i="20" s="1"/>
  <c r="S15" i="16"/>
  <c r="I15" i="16" s="1"/>
  <c r="T22" i="22"/>
  <c r="T46" i="17"/>
  <c r="S47" i="20"/>
  <c r="I47" i="20" s="1"/>
  <c r="S36" i="15"/>
  <c r="I36" i="15" s="1"/>
  <c r="T43" i="16"/>
  <c r="S13" i="13"/>
  <c r="I13" i="13" s="1"/>
  <c r="T13" i="14"/>
  <c r="T13" i="13"/>
  <c r="S13" i="14"/>
  <c r="I13" i="14" s="1"/>
  <c r="I50" i="23" l="1"/>
  <c r="X16" i="23" s="1"/>
  <c r="I50" i="15"/>
  <c r="X16" i="15" s="1"/>
  <c r="I50" i="24"/>
  <c r="X16" i="24" s="1"/>
  <c r="I50" i="21"/>
  <c r="X16" i="21" s="1"/>
  <c r="I50" i="17"/>
  <c r="X16" i="17" s="1"/>
  <c r="I50" i="25"/>
  <c r="X16" i="25" s="1"/>
  <c r="I50" i="16"/>
  <c r="X16" i="16" s="1"/>
  <c r="I50" i="20"/>
  <c r="X16" i="20" s="1"/>
  <c r="I50" i="22"/>
  <c r="X16" i="22" s="1"/>
  <c r="I50" i="19"/>
  <c r="X16" i="19" s="1"/>
  <c r="I50" i="13"/>
  <c r="X16" i="13" s="1"/>
  <c r="I50" i="14"/>
  <c r="X16" i="14" s="1"/>
  <c r="D9" i="26"/>
  <c r="D5" i="26"/>
  <c r="D13" i="26"/>
  <c r="D11" i="26"/>
  <c r="D12" i="26"/>
  <c r="F2" i="26"/>
  <c r="D7" i="26"/>
  <c r="D6" i="26"/>
  <c r="D4" i="26"/>
  <c r="D3" i="26"/>
  <c r="D8" i="26"/>
  <c r="D2" i="26"/>
  <c r="D10" i="26"/>
  <c r="Z16" i="13" l="1"/>
  <c r="W16" i="14" s="1"/>
  <c r="Z16" i="14" s="1"/>
  <c r="W16" i="15" s="1"/>
  <c r="Z16" i="15" s="1"/>
  <c r="W16" i="16" s="1"/>
  <c r="Z16" i="16" s="1"/>
  <c r="W16" i="17" s="1"/>
  <c r="Z16" i="17" s="1"/>
  <c r="W16" i="19" s="1"/>
  <c r="Z16" i="19" s="1"/>
  <c r="W16" i="20" s="1"/>
  <c r="Z16" i="20" s="1"/>
  <c r="W16" i="25" s="1"/>
  <c r="Z16" i="25" s="1"/>
  <c r="W16" i="24" s="1"/>
  <c r="Z16" i="24" s="1"/>
  <c r="W16" i="23" s="1"/>
  <c r="Z16" i="23" s="1"/>
  <c r="W16" i="22" s="1"/>
  <c r="Z16" i="22" s="1"/>
  <c r="W16" i="21" s="1"/>
  <c r="Z16" i="21" s="1"/>
  <c r="E2" i="26"/>
  <c r="E15" i="26" s="1"/>
  <c r="F15" i="26"/>
  <c r="C5" i="26"/>
  <c r="C12" i="26"/>
  <c r="C8" i="26"/>
  <c r="C13" i="26"/>
  <c r="C10" i="26"/>
  <c r="C7" i="26"/>
  <c r="C9" i="26"/>
  <c r="C4" i="26"/>
  <c r="C6" i="26"/>
  <c r="C11" i="26"/>
  <c r="C3" i="26"/>
  <c r="C2" i="26"/>
  <c r="D15" i="26"/>
  <c r="C15" i="2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</author>
  </authors>
  <commentList>
    <comment ref="J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décompte en début d'année</t>
        </r>
      </text>
    </comment>
    <comment ref="K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SOLDE DE VACANCES DE L'ANNEES APRES DEDUCTION DES JOURS PRIS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philippe CONTE</author>
  </authors>
  <commentList>
    <comment ref="W9" authorId="0" shapeId="0" xr:uid="{0381E739-6946-489F-AECC-7CE57EB7999F}">
      <text>
        <r>
          <rPr>
            <b/>
            <sz val="9"/>
            <color indexed="81"/>
            <rFont val="Tahoma"/>
            <family val="2"/>
          </rPr>
          <t xml:space="preserve">Contrat mensuel du collaborateur. 
Mettre ici votre contrat
</t>
        </r>
      </text>
    </comment>
    <comment ref="W10" authorId="0" shapeId="0" xr:uid="{4FA861AB-CF4D-4B2E-8072-C35ADAFE4318}">
      <text>
        <r>
          <rPr>
            <b/>
            <sz val="9"/>
            <color indexed="81"/>
            <rFont val="Tahoma"/>
            <family val="2"/>
          </rPr>
          <t>Les heures travaillées comprennent les heures  et les pauses payées</t>
        </r>
      </text>
    </comment>
    <comment ref="X16" authorId="0" shapeId="0" xr:uid="{41D152EF-C882-4AB5-A096-E36161E43584}">
      <text>
        <r>
          <rPr>
            <b/>
            <sz val="9"/>
            <color indexed="81"/>
            <rFont val="Tahoma"/>
            <family val="2"/>
          </rPr>
          <t>Les heures decomptées sont les majorations JF et nuits mise en credit sur votre compte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6" authorId="0" shapeId="0" xr:uid="{24E99280-82E4-4144-9360-0EE5E307990D}">
      <text>
        <r>
          <rPr>
            <b/>
            <sz val="9"/>
            <color indexed="81"/>
            <rFont val="Tahoma"/>
            <family val="2"/>
          </rPr>
          <t xml:space="preserve">Les heures deduites sont les heures qui sont enlevées de votre compte pour arriver jusqu’à votre contrat mensuel
</t>
        </r>
      </text>
    </comment>
    <comment ref="Z16" authorId="0" shapeId="0" xr:uid="{319C126E-27FC-4941-AB6D-7596E038B304}">
      <text>
        <r>
          <rPr>
            <b/>
            <sz val="9"/>
            <color indexed="81"/>
            <rFont val="Tahoma"/>
            <family val="2"/>
          </rPr>
          <t>Solde des heures majorées disponibles pour fevrier</t>
        </r>
        <r>
          <rPr>
            <sz val="9"/>
            <color indexed="81"/>
            <rFont val="Tahoma"/>
            <family val="2"/>
          </rPr>
          <t xml:space="preserve">
Elles seront reportées sur le mois de mars</t>
        </r>
      </text>
    </comment>
    <comment ref="W19" authorId="0" shapeId="0" xr:uid="{701B0A62-5F28-438D-861F-B119B5DBF583}">
      <text>
        <r>
          <rPr>
            <b/>
            <sz val="9"/>
            <color indexed="81"/>
            <rFont val="Tahoma"/>
            <family val="2"/>
          </rPr>
          <t>Jours de vacances pris en fevrier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<sst xmlns="http://schemas.openxmlformats.org/spreadsheetml/2006/main" count="851" uniqueCount="168">
  <si>
    <t>Date</t>
  </si>
  <si>
    <t>Service</t>
  </si>
  <si>
    <t>Horaire</t>
  </si>
  <si>
    <t>début</t>
  </si>
  <si>
    <t>Fin</t>
  </si>
  <si>
    <t>heures jour dimanche</t>
  </si>
  <si>
    <t>heures jour fériés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</si>
  <si>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</si>
  <si>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</si>
  <si>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</si>
  <si>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</si>
  <si>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</si>
  <si>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</si>
  <si>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</si>
  <si>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</si>
  <si>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</si>
  <si>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</si>
  <si>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</si>
  <si>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</si>
  <si>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</si>
  <si>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</si>
  <si>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Mois concerné</t>
  </si>
  <si>
    <t>Matricule:</t>
  </si>
  <si>
    <t>Département:</t>
  </si>
  <si>
    <t>Pause</t>
  </si>
  <si>
    <t>Payée</t>
  </si>
  <si>
    <t>Non payée</t>
  </si>
  <si>
    <t>Début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</si>
  <si>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</si>
  <si>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</si>
  <si>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</si>
  <si>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</si>
  <si>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</si>
  <si>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</si>
  <si>
    <t xml:space="preserve">                   DQ RH00008</t>
  </si>
  <si>
    <t xml:space="preserve">Prénom: </t>
  </si>
  <si>
    <t xml:space="preserve">      RELEVE MENSUEL DES HEURES EFFECTUEES</t>
  </si>
  <si>
    <t xml:space="preserve">Nom:   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</si>
  <si>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</si>
  <si>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</si>
  <si>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</si>
  <si>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</si>
  <si>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</si>
  <si>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</si>
  <si>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</si>
  <si>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</si>
  <si>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</si>
  <si>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</si>
  <si>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</si>
  <si>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</si>
  <si>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</si>
  <si>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</t>
  </si>
  <si>
    <t>Maladie</t>
  </si>
  <si>
    <t>Totaux
sans
majoration</t>
  </si>
  <si>
    <t>CCT</t>
  </si>
  <si>
    <t>17J</t>
  </si>
  <si>
    <t>17N</t>
  </si>
  <si>
    <t>18N</t>
  </si>
  <si>
    <t>19J</t>
  </si>
  <si>
    <t>19N</t>
  </si>
  <si>
    <t>20J</t>
  </si>
  <si>
    <t>20N</t>
  </si>
  <si>
    <t>21J</t>
  </si>
  <si>
    <t>21N</t>
  </si>
  <si>
    <t>22J</t>
  </si>
  <si>
    <t>22N</t>
  </si>
  <si>
    <t>23N</t>
  </si>
  <si>
    <t>24J</t>
  </si>
  <si>
    <t>24N</t>
  </si>
  <si>
    <t>25J</t>
  </si>
  <si>
    <t>25N</t>
  </si>
  <si>
    <t>26N</t>
  </si>
  <si>
    <t>27N</t>
  </si>
  <si>
    <t>28J</t>
  </si>
  <si>
    <t>28N</t>
  </si>
  <si>
    <t>29N</t>
  </si>
  <si>
    <t>31N</t>
  </si>
  <si>
    <t>32N</t>
  </si>
  <si>
    <t>36N</t>
  </si>
  <si>
    <t>37N</t>
  </si>
  <si>
    <t>38N</t>
  </si>
  <si>
    <t>39N</t>
  </si>
  <si>
    <t>40N</t>
  </si>
  <si>
    <t>42N</t>
  </si>
  <si>
    <t>43N</t>
  </si>
  <si>
    <t>44N</t>
  </si>
  <si>
    <t>46N</t>
  </si>
  <si>
    <t>47N</t>
  </si>
  <si>
    <t>48N</t>
  </si>
  <si>
    <t>49N</t>
  </si>
  <si>
    <t>51N</t>
  </si>
  <si>
    <t xml:space="preserve">           DQ RH00008</t>
  </si>
  <si>
    <t>Nom:</t>
  </si>
  <si>
    <t>debut</t>
  </si>
  <si>
    <t>fin</t>
  </si>
  <si>
    <t>Services</t>
  </si>
  <si>
    <t>16N</t>
  </si>
  <si>
    <t>27J.SD</t>
  </si>
  <si>
    <t>27J.LV</t>
  </si>
  <si>
    <t>40J.SD</t>
  </si>
  <si>
    <t>40J.LV</t>
  </si>
  <si>
    <t>45N.LV</t>
  </si>
  <si>
    <t>45N.SD</t>
  </si>
  <si>
    <t>maladie</t>
  </si>
  <si>
    <t>réunion</t>
  </si>
  <si>
    <t>form Quadri</t>
  </si>
  <si>
    <t>form annuel</t>
  </si>
  <si>
    <t>tir</t>
  </si>
  <si>
    <t>récuperations</t>
  </si>
  <si>
    <t>vacances 173</t>
  </si>
  <si>
    <t>vacances 150</t>
  </si>
  <si>
    <t>non</t>
  </si>
  <si>
    <t>majoration dim &amp; JF</t>
  </si>
  <si>
    <t>Horaire de travail</t>
  </si>
  <si>
    <t>Heures travaillées</t>
  </si>
  <si>
    <t>Décompte des heures</t>
  </si>
  <si>
    <t>heures de nuit fin de mois</t>
  </si>
  <si>
    <t>Reportées</t>
  </si>
  <si>
    <t>Résultat</t>
  </si>
  <si>
    <t>Déduites</t>
  </si>
  <si>
    <t>Décomptées</t>
  </si>
  <si>
    <t>JOURS DE VACANCES PRIS</t>
  </si>
  <si>
    <t>JOURS DE VACANCES RESTANTS</t>
  </si>
  <si>
    <t>JOURS DE VACANCES ACQUIS</t>
  </si>
  <si>
    <t>accident</t>
  </si>
  <si>
    <t>admin</t>
  </si>
  <si>
    <t>41N.Co</t>
  </si>
  <si>
    <t>41N.Ve</t>
  </si>
  <si>
    <t>JOURS DE VACANCES PRIS DANS L'ANNEE</t>
  </si>
  <si>
    <t xml:space="preserve">TOTAL DE JOURS MENSUELS TRAVAILLES </t>
  </si>
  <si>
    <t>MAJORATIONS EN CENTIEMES</t>
  </si>
  <si>
    <t>MAJORATIONS EN hh:mm:ss</t>
  </si>
  <si>
    <t>TOTAL HEURES SANS MAJORATION EN hh:mm:ss</t>
  </si>
  <si>
    <t>TOTAL HEURES SANS MAJORATION EN CENTIEMES</t>
  </si>
  <si>
    <t>Vendredi Saint 2018</t>
  </si>
  <si>
    <t>Nouvel an 2019</t>
  </si>
  <si>
    <t>Vendredi Saint 2019</t>
  </si>
  <si>
    <t>Lundi de paques 2019</t>
  </si>
  <si>
    <t>Nouvel An 2018</t>
  </si>
  <si>
    <t>Nouvel An 2019</t>
  </si>
  <si>
    <t>Lundi de Pâques 2019</t>
  </si>
  <si>
    <t>Jeudi ascension 2019</t>
  </si>
  <si>
    <t>Lundi de pentecote 2019</t>
  </si>
  <si>
    <t>Fete nationale 2019</t>
  </si>
  <si>
    <t>jeune Genevois 2019</t>
  </si>
  <si>
    <t>Noel 2019</t>
  </si>
  <si>
    <t>Restauration république 2019</t>
  </si>
  <si>
    <t>Nouvel An 2020</t>
  </si>
  <si>
    <t>Vendredi Saint 2020</t>
  </si>
  <si>
    <t>Lundi de Pâques 2020</t>
  </si>
  <si>
    <t>Jeudi ascension 2020</t>
  </si>
  <si>
    <t>Lundi de pentecote 2020</t>
  </si>
  <si>
    <t>Fete nationale 2020</t>
  </si>
  <si>
    <t>jeune Genevois 2020</t>
  </si>
  <si>
    <t>Noel 2020</t>
  </si>
  <si>
    <t>Restauration république 2020</t>
  </si>
  <si>
    <t>Lundi de Pâques 2018</t>
  </si>
  <si>
    <t>Jeudi ascension 2018</t>
  </si>
  <si>
    <t>Lundi de pentecote 2018</t>
  </si>
  <si>
    <t>Fete nationale 2018</t>
  </si>
  <si>
    <t>Noel 2018</t>
  </si>
  <si>
    <t>Restauration république 2018</t>
  </si>
  <si>
    <t>RECUPERATIONS PRISES DANS L'ANNEE</t>
  </si>
  <si>
    <t xml:space="preserve">Janvier </t>
  </si>
  <si>
    <t>JOURS DE RECUPERATIONS PRIS</t>
  </si>
  <si>
    <t>CCT PRIS DANS L'ANNEE</t>
  </si>
  <si>
    <t>JOURS CCT PRIS</t>
  </si>
  <si>
    <t>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</si>
</sst>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m\-yy;@"/>
    <numFmt numFmtId="169" formatCode="[h]:mm:ss;@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Impac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70C0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1"/>
      <name val="Arial"/>
      <family val="2"/>
    </font>
    <font>
      <sz val="18"/>
      <color rgb="FFFF0000"/>
      <name val="Calibri"/>
      <family val="2"/>
    </font>
    <font>
      <sz val="14"/>
      <color rgb="FFFF0000"/>
      <name val="Calibri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6"/>
      <color rgb="FFFFFF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9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5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5" fontId="12" fillId="2" borderId="1" xfId="0" applyNumberFormat="1" applyFont="1" applyFill="1" applyBorder="1" applyAlignment="1" applyProtection="1">
      <alignment horizontal="center" vertical="center"/>
      <protection locked="0"/>
    </xf>
    <xf numFmtId="165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/>
    <xf numFmtId="0" fontId="7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vertical="center"/>
    </xf>
    <xf numFmtId="0" fontId="15" fillId="0" borderId="13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15" fillId="0" borderId="14" xfId="0" applyFont="1" applyBorder="1" applyAlignment="1" applyProtection="1">
      <alignment horizontal="center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43" fontId="3" fillId="5" borderId="1" xfId="1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43" fontId="3" fillId="3" borderId="3" xfId="1" applyFont="1" applyFill="1" applyBorder="1" applyAlignment="1" applyProtection="1">
      <alignment horizontal="center" vertical="center"/>
    </xf>
    <xf numFmtId="43" fontId="3" fillId="0" borderId="7" xfId="1" applyFont="1" applyFill="1" applyBorder="1" applyAlignment="1" applyProtection="1">
      <alignment horizontal="center" vertical="center"/>
    </xf>
    <xf numFmtId="167" fontId="3" fillId="3" borderId="7" xfId="0" applyNumberFormat="1" applyFont="1" applyFill="1" applyBorder="1" applyAlignment="1" applyProtection="1">
      <alignment horizontal="center" vertical="center"/>
    </xf>
    <xf numFmtId="43" fontId="3" fillId="3" borderId="7" xfId="1" applyFont="1" applyFill="1" applyBorder="1" applyAlignment="1" applyProtection="1">
      <alignment horizontal="center" vertical="center"/>
    </xf>
    <xf numFmtId="43" fontId="3" fillId="3" borderId="8" xfId="1" applyFont="1" applyFill="1" applyBorder="1" applyAlignment="1" applyProtection="1">
      <alignment horizontal="center" vertical="center"/>
    </xf>
    <xf numFmtId="43" fontId="12" fillId="5" borderId="1" xfId="1" applyNumberFormat="1" applyFont="1" applyFill="1" applyBorder="1" applyAlignment="1" applyProtection="1">
      <alignment horizontal="center" vertical="center"/>
    </xf>
    <xf numFmtId="43" fontId="12" fillId="0" borderId="1" xfId="1" applyNumberFormat="1" applyFont="1" applyFill="1" applyBorder="1" applyAlignment="1" applyProtection="1">
      <alignment horizontal="center" vertical="center"/>
    </xf>
    <xf numFmtId="167" fontId="12" fillId="3" borderId="3" xfId="0" applyNumberFormat="1" applyFont="1" applyFill="1" applyBorder="1" applyAlignment="1" applyProtection="1">
      <alignment horizontal="center" vertical="center"/>
    </xf>
    <xf numFmtId="167" fontId="12" fillId="3" borderId="30" xfId="0" applyNumberFormat="1" applyFont="1" applyFill="1" applyBorder="1" applyAlignment="1" applyProtection="1">
      <alignment horizontal="center" vertical="center"/>
    </xf>
    <xf numFmtId="43" fontId="12" fillId="3" borderId="30" xfId="1" applyNumberFormat="1" applyFont="1" applyFill="1" applyBorder="1" applyAlignment="1" applyProtection="1">
      <alignment horizontal="center" vertical="center"/>
    </xf>
    <xf numFmtId="43" fontId="12" fillId="5" borderId="7" xfId="1" applyNumberFormat="1" applyFont="1" applyFill="1" applyBorder="1" applyAlignment="1" applyProtection="1">
      <alignment horizontal="center" vertical="center"/>
    </xf>
    <xf numFmtId="43" fontId="12" fillId="0" borderId="7" xfId="1" applyNumberFormat="1" applyFont="1" applyFill="1" applyBorder="1" applyAlignment="1" applyProtection="1">
      <alignment horizontal="center" vertical="center"/>
    </xf>
    <xf numFmtId="167" fontId="12" fillId="3" borderId="8" xfId="0" applyNumberFormat="1" applyFont="1" applyFill="1" applyBorder="1" applyAlignment="1" applyProtection="1">
      <alignment horizontal="center" vertical="center"/>
    </xf>
    <xf numFmtId="167" fontId="12" fillId="3" borderId="9" xfId="0" applyNumberFormat="1" applyFont="1" applyFill="1" applyBorder="1" applyAlignment="1" applyProtection="1">
      <alignment horizontal="center" vertical="center"/>
    </xf>
    <xf numFmtId="43" fontId="12" fillId="3" borderId="9" xfId="1" applyNumberFormat="1" applyFont="1" applyFill="1" applyBorder="1" applyAlignment="1" applyProtection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/>
    </xf>
    <xf numFmtId="43" fontId="3" fillId="0" borderId="1" xfId="1" applyNumberFormat="1" applyFont="1" applyFill="1" applyBorder="1" applyAlignment="1" applyProtection="1">
      <alignment horizontal="center" vertical="center"/>
    </xf>
    <xf numFmtId="167" fontId="3" fillId="3" borderId="3" xfId="0" applyNumberFormat="1" applyFont="1" applyFill="1" applyBorder="1" applyAlignment="1" applyProtection="1">
      <alignment horizontal="center" vertical="center"/>
    </xf>
    <xf numFmtId="167" fontId="3" fillId="3" borderId="30" xfId="0" applyNumberFormat="1" applyFont="1" applyFill="1" applyBorder="1" applyAlignment="1" applyProtection="1">
      <alignment horizontal="center" vertical="center"/>
    </xf>
    <xf numFmtId="43" fontId="3" fillId="3" borderId="30" xfId="1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2" fontId="9" fillId="5" borderId="21" xfId="0" applyNumberFormat="1" applyFont="1" applyFill="1" applyBorder="1" applyAlignment="1" applyProtection="1">
      <alignment horizontal="center" vertical="center"/>
    </xf>
    <xf numFmtId="2" fontId="10" fillId="0" borderId="21" xfId="0" applyNumberFormat="1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>
      <alignment horizontal="center" vertical="center"/>
    </xf>
    <xf numFmtId="168" fontId="14" fillId="0" borderId="11" xfId="0" applyNumberFormat="1" applyFont="1" applyBorder="1" applyAlignment="1" applyProtection="1"/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9" fontId="1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10" xfId="0" applyFont="1" applyBorder="1" applyAlignment="1" applyProtection="1">
      <alignment vertical="center"/>
    </xf>
    <xf numFmtId="0" fontId="13" fillId="0" borderId="11" xfId="0" applyFont="1" applyBorder="1" applyAlignment="1" applyProtection="1">
      <alignment horizontal="left" vertical="center"/>
    </xf>
    <xf numFmtId="168" fontId="14" fillId="0" borderId="12" xfId="0" applyNumberFormat="1" applyFont="1" applyBorder="1" applyAlignment="1" applyProtection="1"/>
    <xf numFmtId="0" fontId="13" fillId="0" borderId="16" xfId="0" applyFont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/>
      <protection locked="0"/>
    </xf>
    <xf numFmtId="166" fontId="3" fillId="0" borderId="1" xfId="0" applyNumberFormat="1" applyFont="1" applyFill="1" applyBorder="1" applyAlignment="1" applyProtection="1">
      <alignment horizontal="center"/>
    </xf>
    <xf numFmtId="166" fontId="3" fillId="3" borderId="1" xfId="0" applyNumberFormat="1" applyFont="1" applyFill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0" fillId="0" borderId="0" xfId="0" applyAlignment="1" applyProtection="1">
      <alignment horizontal="right" indent="1"/>
    </xf>
    <xf numFmtId="0" fontId="16" fillId="7" borderId="1" xfId="0" applyFont="1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20" fontId="0" fillId="9" borderId="1" xfId="0" applyNumberFormat="1" applyFill="1" applyBorder="1" applyAlignment="1" applyProtection="1">
      <alignment horizontal="center" vertical="center"/>
    </xf>
    <xf numFmtId="0" fontId="0" fillId="9" borderId="7" xfId="0" applyFill="1" applyBorder="1" applyAlignment="1" applyProtection="1">
      <alignment horizontal="center" vertical="center"/>
    </xf>
    <xf numFmtId="20" fontId="0" fillId="9" borderId="7" xfId="0" applyNumberForma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vertical="center"/>
      <protection locked="0"/>
    </xf>
    <xf numFmtId="0" fontId="13" fillId="0" borderId="16" xfId="0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/>
    </xf>
    <xf numFmtId="0" fontId="8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left" vertical="center"/>
    </xf>
    <xf numFmtId="0" fontId="16" fillId="7" borderId="0" xfId="0" applyFont="1" applyFill="1" applyAlignment="1" applyProtection="1">
      <alignment horizontal="center" vertical="center"/>
    </xf>
    <xf numFmtId="20" fontId="16" fillId="7" borderId="0" xfId="0" applyNumberFormat="1" applyFont="1" applyFill="1" applyAlignment="1" applyProtection="1">
      <alignment horizontal="center" vertical="center"/>
    </xf>
    <xf numFmtId="20" fontId="16" fillId="7" borderId="1" xfId="0" applyNumberFormat="1" applyFont="1" applyFill="1" applyBorder="1" applyAlignment="1" applyProtection="1">
      <alignment horizontal="center" vertical="center"/>
    </xf>
    <xf numFmtId="168" fontId="13" fillId="0" borderId="11" xfId="0" applyNumberFormat="1" applyFont="1" applyBorder="1" applyAlignment="1" applyProtection="1"/>
    <xf numFmtId="0" fontId="0" fillId="6" borderId="7" xfId="0" applyFill="1" applyBorder="1" applyAlignment="1" applyProtection="1">
      <alignment horizontal="center" vertical="center"/>
    </xf>
    <xf numFmtId="20" fontId="0" fillId="6" borderId="7" xfId="0" applyNumberFormat="1" applyFill="1" applyBorder="1" applyAlignment="1" applyProtection="1">
      <alignment horizontal="center" vertical="center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168" fontId="14" fillId="0" borderId="0" xfId="0" applyNumberFormat="1" applyFont="1" applyBorder="1" applyAlignment="1" applyProtection="1"/>
    <xf numFmtId="0" fontId="15" fillId="0" borderId="0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0" fillId="4" borderId="0" xfId="0" applyFont="1" applyFill="1" applyBorder="1" applyAlignment="1" applyProtection="1">
      <alignment horizontal="center" vertical="center" wrapText="1"/>
    </xf>
    <xf numFmtId="43" fontId="3" fillId="0" borderId="3" xfId="1" applyNumberFormat="1" applyFont="1" applyFill="1" applyBorder="1" applyAlignment="1" applyProtection="1">
      <alignment horizontal="center" vertical="center"/>
    </xf>
    <xf numFmtId="43" fontId="3" fillId="0" borderId="8" xfId="1" applyNumberFormat="1" applyFont="1" applyFill="1" applyBorder="1" applyAlignment="1" applyProtection="1">
      <alignment horizontal="center" vertical="center"/>
    </xf>
    <xf numFmtId="2" fontId="10" fillId="0" borderId="0" xfId="0" applyNumberFormat="1" applyFont="1" applyBorder="1" applyAlignment="1" applyProtection="1">
      <alignment horizontal="center" vertical="center"/>
    </xf>
    <xf numFmtId="43" fontId="12" fillId="0" borderId="3" xfId="1" applyNumberFormat="1" applyFont="1" applyFill="1" applyBorder="1" applyAlignment="1" applyProtection="1">
      <alignment horizontal="center" vertical="center"/>
    </xf>
    <xf numFmtId="43" fontId="12" fillId="0" borderId="8" xfId="1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0" fontId="0" fillId="0" borderId="0" xfId="0" applyNumberFormat="1" applyFill="1" applyAlignment="1">
      <alignment horizontal="center" vertical="center" wrapText="1"/>
    </xf>
    <xf numFmtId="2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0" xfId="0" applyFont="1" applyAlignment="1" applyProtection="1">
      <alignment horizontal="left"/>
    </xf>
    <xf numFmtId="0" fontId="26" fillId="0" borderId="0" xfId="0" applyFont="1" applyAlignment="1" applyProtection="1"/>
    <xf numFmtId="0" fontId="0" fillId="6" borderId="7" xfId="0" applyNumberForma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3" fillId="8" borderId="43" xfId="0" applyFont="1" applyFill="1" applyBorder="1" applyAlignment="1">
      <alignment horizontal="center" vertical="center"/>
    </xf>
    <xf numFmtId="0" fontId="36" fillId="0" borderId="0" xfId="0" applyFont="1"/>
    <xf numFmtId="0" fontId="11" fillId="0" borderId="10" xfId="0" applyFont="1" applyBorder="1" applyAlignment="1" applyProtection="1">
      <alignment horizontal="left" vertical="center"/>
    </xf>
    <xf numFmtId="0" fontId="11" fillId="0" borderId="15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1" fillId="0" borderId="4" xfId="0" applyFont="1" applyFill="1" applyBorder="1" applyAlignment="1" applyProtection="1">
      <alignment horizontal="left" vertical="center" wrapText="1"/>
    </xf>
    <xf numFmtId="164" fontId="2" fillId="0" borderId="2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/>
    </xf>
    <xf numFmtId="0" fontId="0" fillId="0" borderId="0" xfId="0" applyAlignment="1">
      <alignment horizontal="left"/>
    </xf>
    <xf numFmtId="164" fontId="2" fillId="0" borderId="2" xfId="0" applyNumberFormat="1" applyFont="1" applyBorder="1" applyAlignment="1" applyProtection="1">
      <alignment horizontal="center" vertical="center" shrinkToFi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28" fillId="8" borderId="45" xfId="0" applyFont="1" applyFill="1" applyBorder="1" applyAlignment="1">
      <alignment horizontal="center" vertical="center"/>
    </xf>
    <xf numFmtId="0" fontId="0" fillId="8" borderId="45" xfId="0" applyFill="1" applyBorder="1"/>
    <xf numFmtId="0" fontId="1" fillId="0" borderId="3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31" fillId="8" borderId="45" xfId="0" applyFont="1" applyFill="1" applyBorder="1"/>
    <xf numFmtId="0" fontId="32" fillId="0" borderId="32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32" fillId="0" borderId="40" xfId="0" applyFont="1" applyBorder="1" applyAlignment="1">
      <alignment horizontal="center" vertical="center"/>
    </xf>
    <xf numFmtId="0" fontId="38" fillId="0" borderId="41" xfId="0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169" fontId="39" fillId="0" borderId="41" xfId="0" applyNumberFormat="1" applyFont="1" applyFill="1" applyBorder="1" applyAlignment="1">
      <alignment horizontal="center" vertical="center"/>
    </xf>
    <xf numFmtId="169" fontId="39" fillId="0" borderId="33" xfId="0" applyNumberFormat="1" applyFont="1" applyFill="1" applyBorder="1" applyAlignment="1">
      <alignment horizontal="center" vertical="center"/>
    </xf>
    <xf numFmtId="169" fontId="21" fillId="0" borderId="40" xfId="0" applyNumberFormat="1" applyFont="1" applyFill="1" applyBorder="1" applyAlignment="1">
      <alignment horizontal="center" vertical="center"/>
    </xf>
    <xf numFmtId="2" fontId="35" fillId="0" borderId="41" xfId="0" applyNumberFormat="1" applyFont="1" applyFill="1" applyBorder="1" applyAlignment="1">
      <alignment horizontal="center" vertical="center"/>
    </xf>
    <xf numFmtId="2" fontId="35" fillId="0" borderId="33" xfId="0" applyNumberFormat="1" applyFont="1" applyFill="1" applyBorder="1" applyAlignment="1">
      <alignment horizontal="center" vertical="center"/>
    </xf>
    <xf numFmtId="2" fontId="18" fillId="0" borderId="40" xfId="0" applyNumberFormat="1" applyFont="1" applyFill="1" applyBorder="1" applyAlignment="1">
      <alignment horizontal="center" vertical="center"/>
    </xf>
    <xf numFmtId="0" fontId="35" fillId="0" borderId="41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18" fillId="0" borderId="40" xfId="0" applyNumberFormat="1" applyFont="1" applyFill="1" applyBorder="1" applyAlignment="1">
      <alignment horizontal="center" vertical="center"/>
    </xf>
    <xf numFmtId="0" fontId="37" fillId="0" borderId="1" xfId="0" applyFont="1" applyBorder="1" applyAlignment="1" applyProtection="1">
      <alignment horizontal="center" vertical="center"/>
    </xf>
    <xf numFmtId="0" fontId="37" fillId="0" borderId="5" xfId="0" applyFont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43" fontId="3" fillId="3" borderId="1" xfId="1" applyNumberFormat="1" applyFont="1" applyFill="1" applyBorder="1" applyAlignment="1" applyProtection="1">
      <alignment horizontal="center" vertical="center"/>
    </xf>
    <xf numFmtId="0" fontId="35" fillId="9" borderId="1" xfId="0" applyFont="1" applyFill="1" applyBorder="1" applyAlignment="1" applyProtection="1">
      <alignment horizontal="center" vertical="center"/>
    </xf>
    <xf numFmtId="0" fontId="35" fillId="9" borderId="7" xfId="0" applyFont="1" applyFill="1" applyBorder="1" applyAlignment="1" applyProtection="1">
      <alignment horizontal="center" vertical="center"/>
    </xf>
    <xf numFmtId="0" fontId="35" fillId="6" borderId="7" xfId="0" applyFont="1" applyFill="1" applyBorder="1" applyAlignment="1" applyProtection="1">
      <alignment horizontal="center" vertical="center"/>
    </xf>
    <xf numFmtId="0" fontId="35" fillId="6" borderId="7" xfId="0" applyNumberFormat="1" applyFont="1" applyFill="1" applyBorder="1" applyAlignment="1" applyProtection="1">
      <alignment horizontal="center" vertical="center"/>
    </xf>
    <xf numFmtId="0" fontId="35" fillId="6" borderId="1" xfId="0" applyFont="1" applyFill="1" applyBorder="1" applyAlignment="1" applyProtection="1">
      <alignment horizontal="center" vertical="center"/>
    </xf>
    <xf numFmtId="20" fontId="0" fillId="6" borderId="1" xfId="0" applyNumberFormat="1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</xf>
    <xf numFmtId="0" fontId="0" fillId="10" borderId="1" xfId="0" applyFill="1" applyBorder="1" applyProtection="1"/>
    <xf numFmtId="0" fontId="0" fillId="10" borderId="1" xfId="0" applyFill="1" applyBorder="1" applyAlignment="1" applyProtection="1">
      <alignment horizontal="right" indent="1"/>
    </xf>
    <xf numFmtId="0" fontId="35" fillId="0" borderId="0" xfId="0" applyFont="1" applyAlignment="1" applyProtection="1">
      <alignment horizontal="center" vertical="center"/>
    </xf>
    <xf numFmtId="43" fontId="12" fillId="3" borderId="1" xfId="1" applyNumberFormat="1" applyFont="1" applyFill="1" applyBorder="1" applyAlignment="1" applyProtection="1">
      <alignment horizontal="center" vertical="center"/>
    </xf>
    <xf numFmtId="167" fontId="12" fillId="3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1" fillId="0" borderId="33" xfId="0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0" fontId="42" fillId="8" borderId="45" xfId="0" applyFont="1" applyFill="1" applyBorder="1"/>
    <xf numFmtId="0" fontId="43" fillId="8" borderId="45" xfId="0" applyFont="1" applyFill="1" applyBorder="1" applyAlignment="1">
      <alignment horizontal="center" vertical="center"/>
    </xf>
    <xf numFmtId="0" fontId="40" fillId="2" borderId="21" xfId="0" applyFont="1" applyFill="1" applyBorder="1" applyAlignment="1">
      <alignment horizontal="center" vertical="center" wrapText="1"/>
    </xf>
    <xf numFmtId="0" fontId="44" fillId="2" borderId="21" xfId="0" applyFont="1" applyFill="1" applyBorder="1" applyAlignment="1">
      <alignment horizontal="center" vertical="center" wrapText="1"/>
    </xf>
    <xf numFmtId="0" fontId="45" fillId="6" borderId="20" xfId="0" applyFont="1" applyFill="1" applyBorder="1" applyAlignment="1" applyProtection="1">
      <alignment horizontal="center" vertical="center"/>
      <protection locked="0"/>
    </xf>
    <xf numFmtId="0" fontId="40" fillId="2" borderId="39" xfId="0" applyFont="1" applyFill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left"/>
    </xf>
    <xf numFmtId="0" fontId="22" fillId="0" borderId="0" xfId="0" applyFont="1" applyAlignment="1" applyProtection="1">
      <alignment horizontal="left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top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2" fontId="0" fillId="5" borderId="1" xfId="0" applyNumberFormat="1" applyFont="1" applyFill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/>
    </xf>
    <xf numFmtId="0" fontId="11" fillId="0" borderId="3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20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13" fillId="0" borderId="11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2" fontId="0" fillId="3" borderId="0" xfId="0" applyNumberFormat="1" applyFill="1"/>
    <xf numFmtId="2" fontId="0" fillId="0" borderId="1" xfId="0" applyNumberForma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0"/>
      </font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h:mm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bottom style="thin">
          <color indexed="64"/>
        </bottom>
      </border>
    </dxf>
    <dxf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1813560</xdr:colOff>
          <xdr:row>16</xdr:row>
          <xdr:rowOff>0</xdr:rowOff>
        </xdr:from>
        <xdr:to>
          <xdr:col>3</xdr:col>
          <xdr:colOff>1409700</xdr:colOff>
          <xdr:row>19</xdr:row>
          <xdr:rowOff>15240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Impression Totaux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25</xdr:row>
      <xdr:rowOff>101600</xdr:rowOff>
    </xdr:from>
    <xdr:to>
      <xdr:col>7</xdr:col>
      <xdr:colOff>707390</xdr:colOff>
      <xdr:row>31</xdr:row>
      <xdr:rowOff>82550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42810" y="4719320"/>
          <a:ext cx="4064000" cy="1169670"/>
        </a:xfrm>
        <a:prstGeom prst="wedgeRoundRectCallout">
          <a:avLst>
            <a:gd name="adj1" fmla="val -77835"/>
            <a:gd name="adj2" fmla="val -2054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la peine de mettre de</a:t>
          </a:r>
          <a:r>
            <a:rPr lang="fr-FR" sz="1100" baseline="0"/>
            <a:t> RESERVE </a:t>
          </a:r>
        </a:p>
        <a:p>
          <a:pPr algn="l"/>
          <a:r>
            <a:rPr lang="fr-FR" sz="1100" baseline="0"/>
            <a:t>j'ai mis en tableau, les nouveaux éléments seront pris en compte automatiquement jusqu'a la ligne A91</a:t>
          </a:r>
        </a:p>
        <a:p>
          <a:pPr algn="l"/>
          <a:r>
            <a:rPr lang="fr-FR" sz="1100" baseline="0"/>
            <a:t>Si NON mis dans la colonne les majorations Dim et JF ne seront pas prise en compte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7</xdr:row>
          <xdr:rowOff>7620</xdr:rowOff>
        </xdr:from>
        <xdr:to>
          <xdr:col>3</xdr:col>
          <xdr:colOff>746760</xdr:colOff>
          <xdr:row>10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REINITIALISATION DU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0</xdr:row>
          <xdr:rowOff>106680</xdr:rowOff>
        </xdr:from>
        <xdr:to>
          <xdr:col>21</xdr:col>
          <xdr:colOff>16086</xdr:colOff>
          <xdr:row>3</xdr:row>
          <xdr:rowOff>220980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24</xdr:col>
      <xdr:colOff>254000</xdr:colOff>
      <xdr:row>7</xdr:row>
      <xdr:rowOff>76200</xdr:rowOff>
    </xdr:from>
    <xdr:to>
      <xdr:col>26</xdr:col>
      <xdr:colOff>1041399</xdr:colOff>
      <xdr:row>9</xdr:row>
      <xdr:rowOff>177800</xdr:rowOff>
    </xdr:to>
    <xdr:sp macro="" textlink="">
      <xdr:nvSpPr>
        <xdr:cNvPr id="10" name="Bulle narrative : rectangle 9">
          <a:extLst>
            <a:ext uri="{FF2B5EF4-FFF2-40B4-BE49-F238E27FC236}">
              <a16:creationId xmlns:a16="http://schemas.microsoft.com/office/drawing/2014/main" id="{49BF9F22-177C-44D8-88C5-5195C97FC7F8}"/>
            </a:ext>
          </a:extLst>
        </xdr:cNvPr>
        <xdr:cNvSpPr/>
      </xdr:nvSpPr>
      <xdr:spPr>
        <a:xfrm>
          <a:off x="11218333" y="1456267"/>
          <a:ext cx="2954866" cy="431800"/>
        </a:xfrm>
        <a:prstGeom prst="wedgeRectCallout">
          <a:avLst>
            <a:gd name="adj1" fmla="val -98906"/>
            <a:gd name="adj2" fmla="val 3233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j'ai</a:t>
          </a:r>
          <a:r>
            <a:rPr lang="fr-FR" sz="1100" baseline="0"/>
            <a:t> fait plus d'heure que mon contrat</a:t>
          </a:r>
          <a:endParaRPr lang="fr-FR" sz="1100"/>
        </a:p>
      </xdr:txBody>
    </xdr:sp>
    <xdr:clientData/>
  </xdr:twoCellAnchor>
  <xdr:twoCellAnchor>
    <xdr:from>
      <xdr:col>25</xdr:col>
      <xdr:colOff>397934</xdr:colOff>
      <xdr:row>19</xdr:row>
      <xdr:rowOff>135464</xdr:rowOff>
    </xdr:from>
    <xdr:to>
      <xdr:col>28</xdr:col>
      <xdr:colOff>101600</xdr:colOff>
      <xdr:row>23</xdr:row>
      <xdr:rowOff>93132</xdr:rowOff>
    </xdr:to>
    <xdr:sp macro="" textlink="">
      <xdr:nvSpPr>
        <xdr:cNvPr id="12" name="Bulle narrative : rectangle 11">
          <a:extLst>
            <a:ext uri="{FF2B5EF4-FFF2-40B4-BE49-F238E27FC236}">
              <a16:creationId xmlns:a16="http://schemas.microsoft.com/office/drawing/2014/main" id="{4CA9F2A6-9224-4B91-BCAF-9A5F418E01FD}"/>
            </a:ext>
          </a:extLst>
        </xdr:cNvPr>
        <xdr:cNvSpPr/>
      </xdr:nvSpPr>
      <xdr:spPr>
        <a:xfrm>
          <a:off x="12446001" y="3547531"/>
          <a:ext cx="2954866" cy="736601"/>
        </a:xfrm>
        <a:prstGeom prst="wedgeRectCallout">
          <a:avLst>
            <a:gd name="adj1" fmla="val -73118"/>
            <a:gd name="adj2" fmla="val -1517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n'ai pas d'heure</a:t>
          </a:r>
          <a:r>
            <a:rPr lang="fr-FR" sz="1100" baseline="0"/>
            <a:t> a deduire de mon resultat seul les heures decomptées sont mises sur le resultat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297180</xdr:colOff>
          <xdr:row>0</xdr:row>
          <xdr:rowOff>83820</xdr:rowOff>
        </xdr:from>
        <xdr:to>
          <xdr:col>21</xdr:col>
          <xdr:colOff>312420</xdr:colOff>
          <xdr:row>3</xdr:row>
          <xdr:rowOff>213360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24</xdr:col>
      <xdr:colOff>556260</xdr:colOff>
      <xdr:row>7</xdr:row>
      <xdr:rowOff>91440</xdr:rowOff>
    </xdr:from>
    <xdr:to>
      <xdr:col>28</xdr:col>
      <xdr:colOff>341206</xdr:colOff>
      <xdr:row>10</xdr:row>
      <xdr:rowOff>5080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BC37C68C-9D85-424F-98BF-C6D5E87121CA}"/>
            </a:ext>
          </a:extLst>
        </xdr:cNvPr>
        <xdr:cNvSpPr/>
      </xdr:nvSpPr>
      <xdr:spPr>
        <a:xfrm>
          <a:off x="11071860" y="1463040"/>
          <a:ext cx="2954866" cy="431800"/>
        </a:xfrm>
        <a:prstGeom prst="wedgeRectCallout">
          <a:avLst>
            <a:gd name="adj1" fmla="val -98906"/>
            <a:gd name="adj2" fmla="val 3233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j'ai</a:t>
          </a:r>
          <a:r>
            <a:rPr lang="fr-FR" sz="1100" baseline="0"/>
            <a:t> fait moins 5 heures que mon contrat</a:t>
          </a:r>
          <a:endParaRPr lang="fr-FR" sz="1100"/>
        </a:p>
      </xdr:txBody>
    </xdr:sp>
    <xdr:clientData/>
  </xdr:twoCellAnchor>
  <xdr:twoCellAnchor>
    <xdr:from>
      <xdr:col>24</xdr:col>
      <xdr:colOff>274320</xdr:colOff>
      <xdr:row>19</xdr:row>
      <xdr:rowOff>83820</xdr:rowOff>
    </xdr:from>
    <xdr:to>
      <xdr:col>28</xdr:col>
      <xdr:colOff>59266</xdr:colOff>
      <xdr:row>24</xdr:row>
      <xdr:rowOff>0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71706A10-5D7B-4DC7-92EF-FED800D0DFE3}"/>
            </a:ext>
          </a:extLst>
        </xdr:cNvPr>
        <xdr:cNvSpPr/>
      </xdr:nvSpPr>
      <xdr:spPr>
        <a:xfrm>
          <a:off x="10789920" y="3436620"/>
          <a:ext cx="2954866" cy="830580"/>
        </a:xfrm>
        <a:prstGeom prst="wedgeRectCallout">
          <a:avLst>
            <a:gd name="adj1" fmla="val -53519"/>
            <a:gd name="adj2" fmla="val -1303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5 heures sont inscrites ici,</a:t>
          </a:r>
          <a:r>
            <a:rPr lang="fr-FR" sz="1100" baseline="0"/>
            <a:t> les heures decomptées sont rajoutées au credit et les 5 heurs sont aussi enlevées du credit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472440</xdr:colOff>
          <xdr:row>0</xdr:row>
          <xdr:rowOff>99060</xdr:rowOff>
        </xdr:from>
        <xdr:to>
          <xdr:col>9</xdr:col>
          <xdr:colOff>1264920</xdr:colOff>
          <xdr:row>3</xdr:row>
          <xdr:rowOff>213360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0</xdr:row>
          <xdr:rowOff>83820</xdr:rowOff>
        </xdr:from>
        <xdr:to>
          <xdr:col>9</xdr:col>
          <xdr:colOff>1264920</xdr:colOff>
          <xdr:row>3</xdr:row>
          <xdr:rowOff>198120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472440</xdr:colOff>
          <xdr:row>0</xdr:row>
          <xdr:rowOff>83820</xdr:rowOff>
        </xdr:from>
        <xdr:to>
          <xdr:col>9</xdr:col>
          <xdr:colOff>1264920</xdr:colOff>
          <xdr:row>3</xdr:row>
          <xdr:rowOff>198120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0</xdr:row>
          <xdr:rowOff>83820</xdr:rowOff>
        </xdr:from>
        <xdr:to>
          <xdr:col>9</xdr:col>
          <xdr:colOff>1272540</xdr:colOff>
          <xdr:row>3</xdr:row>
          <xdr:rowOff>198120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0</xdr:row>
          <xdr:rowOff>76200</xdr:rowOff>
        </xdr:from>
        <xdr:to>
          <xdr:col>9</xdr:col>
          <xdr:colOff>1264920</xdr:colOff>
          <xdr:row>3</xdr:row>
          <xdr:rowOff>198120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449580</xdr:colOff>
          <xdr:row>0</xdr:row>
          <xdr:rowOff>83820</xdr:rowOff>
        </xdr:from>
        <xdr:to>
          <xdr:col>9</xdr:col>
          <xdr:colOff>1234440</xdr:colOff>
          <xdr:row>3</xdr:row>
          <xdr:rowOff>198120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0</xdr:row>
          <xdr:rowOff>83820</xdr:rowOff>
        </xdr:from>
        <xdr:to>
          <xdr:col>9</xdr:col>
          <xdr:colOff>1264920</xdr:colOff>
          <xdr:row>3</xdr:row>
          <xdr:rowOff>198120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495300</xdr:colOff>
          <xdr:row>0</xdr:row>
          <xdr:rowOff>99060</xdr:rowOff>
        </xdr:from>
        <xdr:to>
          <xdr:col>9</xdr:col>
          <xdr:colOff>1280160</xdr:colOff>
          <xdr:row>3</xdr:row>
          <xdr:rowOff>213360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0</xdr:row>
          <xdr:rowOff>68580</xdr:rowOff>
        </xdr:from>
        <xdr:to>
          <xdr:col>9</xdr:col>
          <xdr:colOff>1272540</xdr:colOff>
          <xdr:row>3</xdr:row>
          <xdr:rowOff>190500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D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487680</xdr:colOff>
          <xdr:row>0</xdr:row>
          <xdr:rowOff>53340</xdr:rowOff>
        </xdr:from>
        <xdr:to>
          <xdr:col>9</xdr:col>
          <xdr:colOff>1272540</xdr:colOff>
          <xdr:row>3</xdr:row>
          <xdr:rowOff>175260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E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des" displayName="Codes" ref="A22:D78" totalsRowShown="0" headerRowDxfId="318" dataDxfId="317" tableBorderDxfId="316">
  <autoFilter ref="A22:D78" xr:uid="{00000000-0009-0000-0100-000001000000}"/>
  <sortState ref="A23:C71">
    <sortCondition ref="A22:A71"/>
  </sortState>
  <tableColumns count="4">
    <tableColumn id="1" xr3:uid="{00000000-0010-0000-0000-000001000000}" name="Services" dataDxfId="315"/>
    <tableColumn id="2" xr3:uid="{00000000-0010-0000-0000-000002000000}" name="debut" dataDxfId="314"/>
    <tableColumn id="3" xr3:uid="{00000000-0010-0000-0000-000003000000}" name="fin" dataDxfId="313"/>
    <tableColumn id="4" xr3:uid="{00000000-0010-0000-0000-000004000000}" name="majoration dim &amp; JF" dataDxfId="31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H_Janv" displayName="H_Janv" ref="A12:T49" totalsRowShown="0" headerRowDxfId="310" dataDxfId="308" headerRowBorderDxfId="309" tableBorderDxfId="307" totalsRowBorderDxfId="306">
  <autoFilter ref="A12:T49" xr:uid="{00000000-0009-0000-0100-000005000000}"/>
  <tableColumns count="20">
    <tableColumn id="1" xr3:uid="{00000000-0010-0000-0100-000001000000}" name="Date" dataDxfId="305"/>
    <tableColumn id="2" xr3:uid="{00000000-0010-0000-0100-000002000000}" name="Service" dataDxfId="304"/>
    <tableColumn id="3" xr3:uid="{00000000-0010-0000-0100-000003000000}" name="début" dataDxfId="303"/>
    <tableColumn id="4" xr3:uid="{00000000-0010-0000-0100-000004000000}" name="Fin" dataDxfId="302"/>
    <tableColumn id="5" xr3:uid="{00000000-0010-0000-0100-000005000000}" name="PP Début" dataDxfId="301"/>
    <tableColumn id="6" xr3:uid="{00000000-0010-0000-0100-000006000000}" name="PP Fin" dataDxfId="300"/>
    <tableColumn id="7" xr3:uid="{00000000-0010-0000-0100-000007000000}" name="PNP Début" dataDxfId="299"/>
    <tableColumn id="8" xr3:uid="{00000000-0010-0000-0100-000008000000}" name="PNP Fin" dataDxfId="298"/>
    <tableColumn id="10" xr3:uid="{00000000-0010-0000-0100-00000A000000}" name="Majoration" dataDxfId="297" dataCellStyle="Milliers">
      <calculatedColumnFormula>0.1*(H_Janv[[#This Row],[Heures de nuit]]+IF(H_Janv[[#This Row],[majoration dim &amp; JF]]="non",0,H_Janv[[#This Row],[heures jour dimanche]]+H_Janv[[#This Row],[heures jour fériés]]))</calculatedColumnFormula>
    </tableColumn>
    <tableColumn id="9" xr3:uid="{00000000-0010-0000-0100-000009000000}" name="Heures totales payées" dataDxfId="296" dataCellStyle="Milliers">
      <calculatedColumnFormula>(MOD(H_Janv[[#This Row],[Fin]]-H_Janv[[#This Row],[début]],1)-MOD(H_Janv[[#This Row],[PNP Fin]]-H_Janv[[#This Row],[PNP Début]],1))*24</calculatedColumnFormula>
    </tableColumn>
    <tableColumn id="21" xr3:uid="{00000000-0010-0000-0100-000015000000}" name="majoration dim &amp; JF" dataDxfId="295" dataCellStyle="Milliers">
      <calculatedColumnFormula>IFERROR(VLOOKUP(H_Janv[[#This Row],[Service]],Codes[],4,0),"")</calculatedColumnFormula>
    </tableColumn>
    <tableColumn id="15" xr3:uid="{00000000-0010-0000-0100-00000F000000}" name="PNP Début corrigé" dataDxfId="294">
      <calculatedColumnFormula>IF(H_Janv[[#This Row],[PNP Début]]=0,0,IF(H_Janv[[#This Row],[PNP Début]]&lt;H_Janv[[#This Row],[début]],1,0)+H_Janv[[#This Row],[PNP Début]])</calculatedColumnFormula>
    </tableColumn>
    <tableColumn id="16" xr3:uid="{00000000-0010-0000-0100-000010000000}" name="PNP Fin corrigée" dataDxfId="293">
      <calculatedColumnFormula>IF(H_Janv[[#This Row],[PNP Fin]]=0,0,IF(H_Janv[[#This Row],[PNP Fin]]&lt;H_Janv[[#This Row],[début]],1,0)+H_Janv[[#This Row],[PNP Fin]])</calculatedColumnFormula>
    </tableColumn>
    <tableColumn id="14" xr3:uid="{00000000-0010-0000-0100-00000E000000}" name="Fin corrigée si nuit" dataDxfId="292">
      <calculatedColumnFormula>IF(H_Janv[[#This Row],[Fin]]&lt;H_Janv[[#This Row],[début]],1,0)+H_Janv[[#This Row],[Fin]]</calculatedColumnFormula>
    </tableColumn>
    <tableColumn id="13" xr3:uid="{00000000-0010-0000-0100-00000D000000}" name="Heures de nuit" dataDxfId="291" dataCellStyle="Milliers">
      <calculatedColumnFormula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calculatedColumnFormula>
    </tableColumn>
    <tableColumn id="17" xr3:uid="{00000000-0010-0000-0100-000011000000}" name="Heures de nuit hors PNP" dataDxfId="290" dataCellStyle="Milliers">
      <calculatedColumnFormula>(MAX(0,MIN(H_Janv[[#This Row],[Fin corrigée si nuit]],fin_nuit)-MAX(H_Janv[[#This Row],[début]],deb_nuit))-IF(H_Janv[[#This Row],[PNP Début]]=0,0,MIN(H_Janv[[#This Row],[PNP Fin corrigée]],fin_nuit)-MAX(H_Janv[[#This Row],[PNP Début corrigé]],deb_nuit)))*24</calculatedColumnFormula>
    </tableColumn>
    <tableColumn id="18" xr3:uid="{00000000-0010-0000-0100-000012000000}" name="heures jour dimanche" dataDxfId="289" dataCellStyle="Milliers">
      <calculatedColumnFormula>(IF(WEEKDAY(H_Janv[[#This Row],[Date]],2)=7,MAX(0,MIN(fin_dimJF,H_Janv[[#This Row],[Fin corrigée si nuit]])-MAX(deb_dimJF,H_Janv[[#This Row],[début]])),0)+IF(WEEKDAY(H_Janv[[#This Row],[Date]],2)=6,MAX(0,H_Janv[[#This Row],[Fin corrigée si nuit]]-(1+deb_dimJF)),0))*24</calculatedColumnFormula>
    </tableColumn>
    <tableColumn id="11" xr3:uid="{00000000-0010-0000-0100-00000B000000}" name="heures jour dimanche hors PNP" dataDxfId="288" dataCellStyle="Milliers">
      <calculatedColumnFormula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calculatedColumnFormula>
    </tableColumn>
    <tableColumn id="19" xr3:uid="{00000000-0010-0000-0100-000013000000}" name="heures jour fériés" dataDxfId="287" dataCellStyle="Milliers">
      <calculatedColumnFormula>(IF(COUNTIF(JF,H_Janv[[#This Row],[Date]]),MAX(0,MIN(fin_dimJF,H_Janv[[#This Row],[Fin corrigée si nuit]])-MAX(deb_dimJF,H_Janv[[#This Row],[début]])),0)+IF(COUNTIF(JF,H_Janv[[#This Row],[Date]]+1),MAX(0,H_Janv[[#This Row],[Fin corrigée si nuit]]-(1+deb_dimJF)),0))*24</calculatedColumnFormula>
    </tableColumn>
    <tableColumn id="12" xr3:uid="{00000000-0010-0000-0100-00000C000000}" name="heures jour fériés hors PNP" dataDxfId="286" dataCellStyle="Milliers">
      <calculatedColumnFormula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H_Fev" displayName="H_Fev" ref="A12:T49" totalsRowShown="0" headerRowDxfId="284" dataDxfId="282" headerRowBorderDxfId="283" tableBorderDxfId="281" totalsRowBorderDxfId="280">
  <autoFilter ref="A12:T49" xr:uid="{00000000-0009-0000-0100-000006000000}"/>
  <tableColumns count="20">
    <tableColumn id="1" xr3:uid="{00000000-0010-0000-0200-000001000000}" name="Date" dataDxfId="279"/>
    <tableColumn id="2" xr3:uid="{00000000-0010-0000-0200-000002000000}" name="Service" dataDxfId="278"/>
    <tableColumn id="3" xr3:uid="{00000000-0010-0000-0200-000003000000}" name="début" dataDxfId="277"/>
    <tableColumn id="4" xr3:uid="{00000000-0010-0000-0200-000004000000}" name="Fin" dataDxfId="276"/>
    <tableColumn id="5" xr3:uid="{00000000-0010-0000-0200-000005000000}" name="PP Début" dataDxfId="275"/>
    <tableColumn id="6" xr3:uid="{00000000-0010-0000-0200-000006000000}" name="PP Fin" dataDxfId="274"/>
    <tableColumn id="7" xr3:uid="{00000000-0010-0000-0200-000007000000}" name="PNP Début" dataDxfId="273"/>
    <tableColumn id="8" xr3:uid="{00000000-0010-0000-0200-000008000000}" name="PNP Fin" dataDxfId="272"/>
    <tableColumn id="10" xr3:uid="{00000000-0010-0000-0200-00000A000000}" name="Majoration" dataDxfId="271" dataCellStyle="Milliers">
      <calculatedColumnFormula>0.1*(H_Fev[[#This Row],[Heures de nuit]]+IF(H_Fev[[#This Row],[majoration dim &amp; JF]]="non",0,H_Fev[[#This Row],[heures jour dimanche]]+H_Fev[[#This Row],[heures jour fériés]]))</calculatedColumnFormula>
    </tableColumn>
    <tableColumn id="9" xr3:uid="{00000000-0010-0000-0200-000009000000}" name="Heures totales payées" dataDxfId="270" dataCellStyle="Milliers">
      <calculatedColumnFormula>(MOD(H_Fev[[#This Row],[Fin]]-H_Fev[[#This Row],[début]],1)-MOD(H_Fev[[#This Row],[PNP Fin]]-H_Fev[[#This Row],[PNP Début]],1))*24</calculatedColumnFormula>
    </tableColumn>
    <tableColumn id="20" xr3:uid="{00000000-0010-0000-0200-000014000000}" name="majoration dim &amp; JF" dataDxfId="269" dataCellStyle="Milliers">
      <calculatedColumnFormula>IFERROR(VLOOKUP(H_Fev[[#This Row],[Service]],Codes[],4,0),"")</calculatedColumnFormula>
    </tableColumn>
    <tableColumn id="15" xr3:uid="{00000000-0010-0000-0200-00000F000000}" name="PNP Début corrigé" dataDxfId="268">
      <calculatedColumnFormula>IF(H_Fev[[#This Row],[PNP Début]]=0,0,IF(H_Fev[[#This Row],[PNP Début]]&lt;H_Fev[[#This Row],[début]],1,0)+H_Fev[[#This Row],[PNP Début]])</calculatedColumnFormula>
    </tableColumn>
    <tableColumn id="16" xr3:uid="{00000000-0010-0000-0200-000010000000}" name="PNP Fin corrigée" dataDxfId="267">
      <calculatedColumnFormula>IF(H_Fev[[#This Row],[PNP Fin]]=0,0,IF(H_Fev[[#This Row],[PNP Fin]]&lt;H_Fev[[#This Row],[début]],1,0)+H_Fev[[#This Row],[PNP Fin]])</calculatedColumnFormula>
    </tableColumn>
    <tableColumn id="14" xr3:uid="{00000000-0010-0000-0200-00000E000000}" name="Fin corrigée si nuit" dataDxfId="266">
      <calculatedColumnFormula>IF(H_Fev[[#This Row],[Fin]]&lt;H_Fev[[#This Row],[début]],1,0)+H_Fev[[#This Row],[Fin]]</calculatedColumnFormula>
    </tableColumn>
    <tableColumn id="13" xr3:uid="{00000000-0010-0000-0200-00000D000000}" name="Heures de nuit" dataDxfId="265" dataCellStyle="Milliers">
      <calculatedColumnFormula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calculatedColumnFormula>
    </tableColumn>
    <tableColumn id="17" xr3:uid="{00000000-0010-0000-0200-000011000000}" name="Heures de nuit hors PNP" dataDxfId="264" dataCellStyle="Milliers">
      <calculatedColumnFormula>(MAX(0,MIN(H_Fev[[#This Row],[Fin corrigée si nuit]],fin_nuit)-MAX(H_Fev[[#This Row],[début]],deb_nuit))-IF(H_Fev[[#This Row],[PNP Début]]=0,0,MIN(H_Fev[[#This Row],[PNP Fin corrigée]],fin_nuit)-MAX(H_Fev[[#This Row],[PNP Début corrigé]],deb_nuit)))*24</calculatedColumnFormula>
    </tableColumn>
    <tableColumn id="18" xr3:uid="{00000000-0010-0000-0200-000012000000}" name="heures jour dimanche" dataDxfId="263" dataCellStyle="Milliers">
      <calculatedColumnFormula>(IF(WEEKDAY(H_Fev[[#This Row],[Date]],2)=7,MAX(0,MIN(fin_dimJF,H_Fev[[#This Row],[Fin corrigée si nuit]])-MAX(deb_dimJF,H_Fev[[#This Row],[début]])),0)+IF(WEEKDAY(H_Fev[[#This Row],[Date]],2)=6,MAX(0,H_Fev[[#This Row],[Fin corrigée si nuit]]-(1+deb_dimJF)),0))*24</calculatedColumnFormula>
    </tableColumn>
    <tableColumn id="11" xr3:uid="{00000000-0010-0000-0200-00000B000000}" name="heures jour dimanche hors PNP" dataDxfId="262" dataCellStyle="Milliers">
      <calculatedColumnFormula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calculatedColumnFormula>
    </tableColumn>
    <tableColumn id="19" xr3:uid="{00000000-0010-0000-0200-000013000000}" name="heures jour fériés" dataDxfId="261" dataCellStyle="Milliers">
      <calculatedColumnFormula>(IF(COUNTIF(JF,H_Fev[[#This Row],[Date]]),MAX(0,MIN(fin_dimJF,H_Fev[[#This Row],[Fin corrigée si nuit]])-MAX(deb_dimJF,H_Fev[[#This Row],[début]])),0)+IF(COUNTIF(JF,H_Fev[[#This Row],[Date]]+1),MAX(0,H_Fev[[#This Row],[Fin corrigée si nuit]]-(1+deb_dimJF)),0))*24</calculatedColumnFormula>
    </tableColumn>
    <tableColumn id="12" xr3:uid="{00000000-0010-0000-0200-00000C000000}" name="heures jour fériés hors PNP" dataDxfId="260" dataCellStyle="Milliers">
      <calculatedColumnFormula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H_Mars" displayName="H_Mars" ref="A12:T49" totalsRowShown="0" headerRowDxfId="258" dataDxfId="256" headerRowBorderDxfId="257" tableBorderDxfId="255" totalsRowBorderDxfId="254">
  <autoFilter ref="A12:T49" xr:uid="{00000000-0009-0000-0100-000002000000}"/>
  <sortState ref="A13:S49">
    <sortCondition ref="A13"/>
  </sortState>
  <tableColumns count="20">
    <tableColumn id="1" xr3:uid="{00000000-0010-0000-0300-000001000000}" name="Date" dataDxfId="253"/>
    <tableColumn id="2" xr3:uid="{00000000-0010-0000-0300-000002000000}" name="Service" dataDxfId="252"/>
    <tableColumn id="3" xr3:uid="{00000000-0010-0000-0300-000003000000}" name="début" dataDxfId="251"/>
    <tableColumn id="4" xr3:uid="{00000000-0010-0000-0300-000004000000}" name="Fin" dataDxfId="250"/>
    <tableColumn id="5" xr3:uid="{00000000-0010-0000-0300-000005000000}" name="PP Début" dataDxfId="249"/>
    <tableColumn id="6" xr3:uid="{00000000-0010-0000-0300-000006000000}" name="PP Fin" dataDxfId="248"/>
    <tableColumn id="7" xr3:uid="{00000000-0010-0000-0300-000007000000}" name="PNP Début" dataDxfId="247"/>
    <tableColumn id="8" xr3:uid="{00000000-0010-0000-0300-000008000000}" name="PNP Fin" dataDxfId="246"/>
    <tableColumn id="10" xr3:uid="{00000000-0010-0000-0300-00000A000000}" name="Majoration" dataDxfId="245" dataCellStyle="Milliers">
      <calculatedColumnFormula>0.1*(H_Mars[[#This Row],[Heures de nuit]]+IF(H_Mars[[#This Row],[majoration dim &amp; JF]]="non",0,H_Mars[[#This Row],[heures jour dimanche]]+H_Mars[[#This Row],[heures jour fériés]]))</calculatedColumnFormula>
    </tableColumn>
    <tableColumn id="9" xr3:uid="{00000000-0010-0000-0300-000009000000}" name="Heures totales payées" dataDxfId="244" dataCellStyle="Milliers">
      <calculatedColumnFormula>(MOD(H_Mars[[#This Row],[Fin]]-H_Mars[[#This Row],[début]],1)-MOD(H_Mars[[#This Row],[PNP Fin]]-H_Mars[[#This Row],[PNP Début]],1))*24</calculatedColumnFormula>
    </tableColumn>
    <tableColumn id="20" xr3:uid="{00000000-0010-0000-0300-000014000000}" name="majoration dim &amp; JF" dataDxfId="243" dataCellStyle="Milliers">
      <calculatedColumnFormula>IFERROR(VLOOKUP(H_Mars[[#This Row],[Service]],Codes[],4,0),"")</calculatedColumnFormula>
    </tableColumn>
    <tableColumn id="15" xr3:uid="{00000000-0010-0000-0300-00000F000000}" name="PNP Début corrigé" dataDxfId="242">
      <calculatedColumnFormula>IF(H_Mars[[#This Row],[PNP Début]]=0,0,IF(H_Mars[[#This Row],[PNP Début]]&lt;H_Mars[[#This Row],[début]],1,0)+H_Mars[[#This Row],[PNP Début]])</calculatedColumnFormula>
    </tableColumn>
    <tableColumn id="16" xr3:uid="{00000000-0010-0000-0300-000010000000}" name="PNP Fin corrigée" dataDxfId="241">
      <calculatedColumnFormula>IF(H_Mars[[#This Row],[PNP Fin]]=0,0,IF(H_Mars[[#This Row],[PNP Fin]]&lt;H_Mars[[#This Row],[début]],1,0)+H_Mars[[#This Row],[PNP Fin]])</calculatedColumnFormula>
    </tableColumn>
    <tableColumn id="14" xr3:uid="{00000000-0010-0000-0300-00000E000000}" name="Fin corrigée si nuit" dataDxfId="240">
      <calculatedColumnFormula>IF(H_Mars[[#This Row],[Fin]]&lt;H_Mars[[#This Row],[début]],1,0)+H_Mars[[#This Row],[Fin]]</calculatedColumnFormula>
    </tableColumn>
    <tableColumn id="13" xr3:uid="{00000000-0010-0000-0300-00000D000000}" name="Heures de nuit" dataDxfId="239" dataCellStyle="Milliers">
      <calculatedColumnFormula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calculatedColumnFormula>
    </tableColumn>
    <tableColumn id="17" xr3:uid="{00000000-0010-0000-0300-000011000000}" name="Heures de nuit hors PNP" dataDxfId="238" dataCellStyle="Milliers">
      <calculatedColumnFormula>(MAX(0,MIN(H_Mars[[#This Row],[Fin corrigée si nuit]],fin_nuit)-MAX(H_Mars[[#This Row],[début]],deb_nuit))-IF(H_Mars[[#This Row],[PNP Début]]=0,0,MIN(H_Mars[[#This Row],[PNP Fin corrigée]],fin_nuit)-MAX(H_Mars[[#This Row],[PNP Début corrigé]],deb_nuit)))*24</calculatedColumnFormula>
    </tableColumn>
    <tableColumn id="18" xr3:uid="{00000000-0010-0000-0300-000012000000}" name="heures jour dimanche" dataDxfId="237" dataCellStyle="Milliers">
      <calculatedColumnFormula>(IF(WEEKDAY(H_Mars[[#This Row],[Date]],2)=7,MAX(0,MIN(fin_dimJF,H_Mars[[#This Row],[Fin corrigée si nuit]])-MAX(deb_dimJF,H_Mars[[#This Row],[début]])),0)+IF(WEEKDAY(H_Mars[[#This Row],[Date]],2)=6,MAX(0,H_Mars[[#This Row],[Fin corrigée si nuit]]-(1+deb_dimJF)),0))*24</calculatedColumnFormula>
    </tableColumn>
    <tableColumn id="11" xr3:uid="{00000000-0010-0000-0300-00000B000000}" name="heures jour dimanche hors PNP" dataDxfId="236" dataCellStyle="Milliers">
      <calculatedColumnFormula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calculatedColumnFormula>
    </tableColumn>
    <tableColumn id="19" xr3:uid="{00000000-0010-0000-0300-000013000000}" name="heures jour fériés" dataDxfId="235" dataCellStyle="Milliers">
      <calculatedColumnFormula>(IF(COUNTIF(JF,H_Mars[[#This Row],[Date]]),MAX(0,MIN(fin_dimJF,H_Mars[[#This Row],[Fin corrigée si nuit]])-MAX(deb_dimJF,H_Mars[[#This Row],[début]])),0)+IF(COUNTIF(JF,H_Mars[[#This Row],[Date]]+1),MAX(0,H_Mars[[#This Row],[Fin corrigée si nuit]]-(1+deb_dimJF)),0))*24</calculatedColumnFormula>
    </tableColumn>
    <tableColumn id="12" xr3:uid="{00000000-0010-0000-0300-00000C000000}" name="heures jour fériés hors PNP" dataDxfId="234" dataCellStyle="Milliers">
      <calculatedColumnFormula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H_Avr" displayName="H_Avr" ref="A12:T49" totalsRowShown="0" headerRowDxfId="232" dataDxfId="230" headerRowBorderDxfId="231" tableBorderDxfId="229" totalsRowBorderDxfId="228">
  <autoFilter ref="A12:T49" xr:uid="{00000000-0009-0000-0100-000003000000}"/>
  <tableColumns count="20">
    <tableColumn id="1" xr3:uid="{00000000-0010-0000-0400-000001000000}" name="Date" dataDxfId="227"/>
    <tableColumn id="2" xr3:uid="{00000000-0010-0000-0400-000002000000}" name="Service" dataDxfId="226"/>
    <tableColumn id="3" xr3:uid="{00000000-0010-0000-0400-000003000000}" name="début" dataDxfId="225"/>
    <tableColumn id="4" xr3:uid="{00000000-0010-0000-0400-000004000000}" name="Fin" dataDxfId="224"/>
    <tableColumn id="5" xr3:uid="{00000000-0010-0000-0400-000005000000}" name="PP Début" dataDxfId="223"/>
    <tableColumn id="6" xr3:uid="{00000000-0010-0000-0400-000006000000}" name="PP Fin" dataDxfId="222"/>
    <tableColumn id="7" xr3:uid="{00000000-0010-0000-0400-000007000000}" name="PNP Début" dataDxfId="221"/>
    <tableColumn id="8" xr3:uid="{00000000-0010-0000-0400-000008000000}" name="PNP Fin" dataDxfId="220"/>
    <tableColumn id="10" xr3:uid="{00000000-0010-0000-0400-00000A000000}" name="Majoration" dataDxfId="219" dataCellStyle="Milliers">
      <calculatedColumnFormula>0.1*(H_Avr[[#This Row],[Heures de nuit]]+IF(H_Avr[[#This Row],[majoration dim &amp; JF]]="non",0,H_Avr[[#This Row],[heures jour dimanche]]+H_Avr[[#This Row],[heures jour fériés]]))</calculatedColumnFormula>
    </tableColumn>
    <tableColumn id="9" xr3:uid="{00000000-0010-0000-0400-000009000000}" name="Heures totales payées" dataDxfId="218" dataCellStyle="Milliers">
      <calculatedColumnFormula>(MOD(H_Avr[[#This Row],[Fin]]-H_Avr[[#This Row],[début]],1)-MOD(H_Avr[[#This Row],[PNP Fin]]-H_Avr[[#This Row],[PNP Début]],1))*24</calculatedColumnFormula>
    </tableColumn>
    <tableColumn id="20" xr3:uid="{00000000-0010-0000-0400-000014000000}" name="majoration dim &amp; JF" dataDxfId="217" dataCellStyle="Milliers">
      <calculatedColumnFormula>IFERROR(VLOOKUP(H_Avr[[#This Row],[Service]],Codes[],4,0),"")</calculatedColumnFormula>
    </tableColumn>
    <tableColumn id="15" xr3:uid="{00000000-0010-0000-0400-00000F000000}" name="PNP Début corrigé" dataDxfId="216">
      <calculatedColumnFormula>IF(H_Avr[[#This Row],[PNP Début]]=0,0,IF(H_Avr[[#This Row],[PNP Début]]&lt;H_Avr[[#This Row],[début]],1,0)+H_Avr[[#This Row],[PNP Début]])</calculatedColumnFormula>
    </tableColumn>
    <tableColumn id="16" xr3:uid="{00000000-0010-0000-0400-000010000000}" name="PNP Fin corrigée" dataDxfId="215">
      <calculatedColumnFormula>IF(H_Avr[[#This Row],[PNP Fin]]=0,0,IF(H_Avr[[#This Row],[PNP Fin]]&lt;H_Avr[[#This Row],[début]],1,0)+H_Avr[[#This Row],[PNP Fin]])</calculatedColumnFormula>
    </tableColumn>
    <tableColumn id="14" xr3:uid="{00000000-0010-0000-0400-00000E000000}" name="Fin corrigée si nuit" dataDxfId="214">
      <calculatedColumnFormula>IF(H_Avr[[#This Row],[Fin]]&lt;H_Avr[[#This Row],[début]],1,0)+H_Avr[[#This Row],[Fin]]</calculatedColumnFormula>
    </tableColumn>
    <tableColumn id="13" xr3:uid="{00000000-0010-0000-0400-00000D000000}" name="Heures de nuit" dataDxfId="213" dataCellStyle="Milliers">
      <calculatedColumnFormula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calculatedColumnFormula>
    </tableColumn>
    <tableColumn id="17" xr3:uid="{00000000-0010-0000-0400-000011000000}" name="Heures de nuit hors PNP" dataDxfId="212" dataCellStyle="Milliers">
      <calculatedColumnFormula>(MAX(0,MIN(H_Avr[[#This Row],[Fin corrigée si nuit]],fin_nuit)-MAX(H_Avr[[#This Row],[début]],deb_nuit))-IF(H_Avr[[#This Row],[PNP Début]]=0,0,MIN(H_Avr[[#This Row],[PNP Fin corrigée]],fin_nuit)-MAX(H_Avr[[#This Row],[PNP Début corrigé]],deb_nuit)))*24</calculatedColumnFormula>
    </tableColumn>
    <tableColumn id="18" xr3:uid="{00000000-0010-0000-0400-000012000000}" name="heures jour dimanche" dataDxfId="211" dataCellStyle="Milliers">
      <calculatedColumnFormula>(IF(WEEKDAY(H_Avr[[#This Row],[Date]],2)=7,MAX(0,MIN(fin_dimJF,H_Avr[[#This Row],[Fin corrigée si nuit]])-MAX(deb_dimJF,H_Avr[[#This Row],[début]])),0)+IF(WEEKDAY(H_Avr[[#This Row],[Date]],2)=6,MAX(0,H_Avr[[#This Row],[Fin corrigée si nuit]]-(1+deb_dimJF)),0))*24</calculatedColumnFormula>
    </tableColumn>
    <tableColumn id="11" xr3:uid="{00000000-0010-0000-0400-00000B000000}" name="heures jour dimanche hors PNP" dataDxfId="210" dataCellStyle="Milliers">
      <calculatedColumnFormula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calculatedColumnFormula>
    </tableColumn>
    <tableColumn id="19" xr3:uid="{00000000-0010-0000-0400-000013000000}" name="heures jour fériés" dataDxfId="209" dataCellStyle="Milliers">
      <calculatedColumnFormula>(IF(COUNTIF(JF,H_Avr[[#This Row],[Date]]),MAX(0,MIN(fin_dimJF,H_Avr[[#This Row],[Fin corrigée si nuit]])-MAX(deb_dimJF,H_Avr[[#This Row],[début]])),0)+IF(COUNTIF(JF,H_Avr[[#This Row],[Date]]+1),MAX(0,H_Avr[[#This Row],[Fin corrigée si nuit]]-(1+deb_dimJF)),0))*24</calculatedColumnFormula>
    </tableColumn>
    <tableColumn id="12" xr3:uid="{00000000-0010-0000-0400-00000C000000}" name="heures jour fériés hors PNP" dataDxfId="208" dataCellStyle="Milliers">
      <calculatedColumnFormula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H_Mai" displayName="H_Mai" ref="A12:T49" totalsRowShown="0" headerRowDxfId="206" dataDxfId="204" headerRowBorderDxfId="205" tableBorderDxfId="203" totalsRowBorderDxfId="202">
  <autoFilter ref="A12:T49" xr:uid="{00000000-0009-0000-0100-000004000000}"/>
  <tableColumns count="20">
    <tableColumn id="1" xr3:uid="{00000000-0010-0000-0500-000001000000}" name="Date" dataDxfId="201"/>
    <tableColumn id="2" xr3:uid="{00000000-0010-0000-0500-000002000000}" name="Service" dataDxfId="200"/>
    <tableColumn id="3" xr3:uid="{00000000-0010-0000-0500-000003000000}" name="début" dataDxfId="199"/>
    <tableColumn id="4" xr3:uid="{00000000-0010-0000-0500-000004000000}" name="Fin" dataDxfId="198"/>
    <tableColumn id="5" xr3:uid="{00000000-0010-0000-0500-000005000000}" name="PP Début" dataDxfId="197"/>
    <tableColumn id="6" xr3:uid="{00000000-0010-0000-0500-000006000000}" name="PP Fin" dataDxfId="196"/>
    <tableColumn id="7" xr3:uid="{00000000-0010-0000-0500-000007000000}" name="PNP Début" dataDxfId="195"/>
    <tableColumn id="8" xr3:uid="{00000000-0010-0000-0500-000008000000}" name="PNP Fin" dataDxfId="194"/>
    <tableColumn id="10" xr3:uid="{00000000-0010-0000-0500-00000A000000}" name="Majoration" dataDxfId="193" dataCellStyle="Milliers">
      <calculatedColumnFormula>0.1*(H_Mai[[#This Row],[Heures de nuit]]+IF(H_Mai[[#This Row],[majoration dim &amp; JF]]="non",0,H_Mai[[#This Row],[heures jour dimanche]]+H_Mai[[#This Row],[heures jour fériés]]))</calculatedColumnFormula>
    </tableColumn>
    <tableColumn id="9" xr3:uid="{00000000-0010-0000-0500-000009000000}" name="Heures totales payées" dataDxfId="192" dataCellStyle="Milliers">
      <calculatedColumnFormula>(MOD(H_Mai[[#This Row],[Fin]]-H_Mai[[#This Row],[début]],1)-MOD(H_Mai[[#This Row],[PNP Fin]]-H_Mai[[#This Row],[PNP Début]],1))*24</calculatedColumnFormula>
    </tableColumn>
    <tableColumn id="20" xr3:uid="{00000000-0010-0000-0500-000014000000}" name="majoration dim &amp; JF" dataDxfId="191" dataCellStyle="Milliers">
      <calculatedColumnFormula>IFERROR(VLOOKUP(H_Mai[[#This Row],[Service]],Codes[],4,0),"")</calculatedColumnFormula>
    </tableColumn>
    <tableColumn id="15" xr3:uid="{00000000-0010-0000-0500-00000F000000}" name="PNP Début corrigé" dataDxfId="190">
      <calculatedColumnFormula>IF(H_Mai[[#This Row],[PNP Début]]=0,0,IF(H_Mai[[#This Row],[PNP Début]]&lt;H_Mai[[#This Row],[début]],1,0)+H_Mai[[#This Row],[PNP Début]])</calculatedColumnFormula>
    </tableColumn>
    <tableColumn id="16" xr3:uid="{00000000-0010-0000-0500-000010000000}" name="PNP Fin corrigée" dataDxfId="189">
      <calculatedColumnFormula>IF(H_Mai[[#This Row],[PNP Fin]]=0,0,IF(H_Mai[[#This Row],[PNP Fin]]&lt;H_Mai[[#This Row],[début]],1,0)+H_Mai[[#This Row],[PNP Fin]])</calculatedColumnFormula>
    </tableColumn>
    <tableColumn id="14" xr3:uid="{00000000-0010-0000-0500-00000E000000}" name="Fin corrigée si nuit" dataDxfId="188">
      <calculatedColumnFormula>IF(H_Mai[[#This Row],[Fin]]&lt;H_Mai[[#This Row],[début]],1,0)+H_Mai[[#This Row],[Fin]]</calculatedColumnFormula>
    </tableColumn>
    <tableColumn id="13" xr3:uid="{00000000-0010-0000-0500-00000D000000}" name="Heures de nuit" dataDxfId="187" dataCellStyle="Milliers">
      <calculatedColumnFormula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calculatedColumnFormula>
    </tableColumn>
    <tableColumn id="17" xr3:uid="{00000000-0010-0000-0500-000011000000}" name="Heures de nuit hors PNP" dataDxfId="186" dataCellStyle="Milliers">
      <calculatedColumnFormula>(MAX(0,MIN(H_Mai[[#This Row],[Fin corrigée si nuit]],fin_nuit)-MAX(H_Mai[[#This Row],[début]],deb_nuit))-IF(H_Mai[[#This Row],[PNP Début]]=0,0,MIN(H_Mai[[#This Row],[PNP Fin corrigée]],fin_nuit)-MAX(H_Mai[[#This Row],[PNP Début corrigé]],deb_nuit)))*24</calculatedColumnFormula>
    </tableColumn>
    <tableColumn id="18" xr3:uid="{00000000-0010-0000-0500-000012000000}" name="heures jour dimanche" dataDxfId="185" dataCellStyle="Milliers">
      <calculatedColumnFormula>(IF(WEEKDAY(H_Mai[[#This Row],[Date]],2)=7,MAX(0,MIN(fin_dimJF,H_Mai[[#This Row],[Fin corrigée si nuit]])-MAX(deb_dimJF,H_Mai[[#This Row],[début]])),0)+IF(WEEKDAY(H_Mai[[#This Row],[Date]],2)=6,MAX(0,H_Mai[[#This Row],[Fin corrigée si nuit]]-(1+deb_dimJF)),0))*24</calculatedColumnFormula>
    </tableColumn>
    <tableColumn id="11" xr3:uid="{00000000-0010-0000-0500-00000B000000}" name="heures jour dimanche hors PNP" dataDxfId="184" dataCellStyle="Milliers">
      <calculatedColumnFormula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calculatedColumnFormula>
    </tableColumn>
    <tableColumn id="19" xr3:uid="{00000000-0010-0000-0500-000013000000}" name="heures jour fériés" dataDxfId="183" dataCellStyle="Milliers">
      <calculatedColumnFormula>(IF(COUNTIF(JF,H_Mai[[#This Row],[Date]]),MAX(0,MIN(fin_dimJF,H_Mai[[#This Row],[Fin corrigée si nuit]])-MAX(deb_dimJF,H_Mai[[#This Row],[début]])),0)+IF(COUNTIF(JF,H_Mai[[#This Row],[Date]]+1),MAX(0,H_Mai[[#This Row],[Fin corrigée si nuit]]-(1+deb_dimJF)),0))*24</calculatedColumnFormula>
    </tableColumn>
    <tableColumn id="12" xr3:uid="{00000000-0010-0000-0500-00000C000000}" name="heures jour fériés hors PNP" dataDxfId="182" dataCellStyle="Milliers">
      <calculatedColumnFormula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H_Juin" displayName="H_Juin" ref="A12:T49" totalsRowShown="0" headerRowDxfId="180" dataDxfId="178" headerRowBorderDxfId="179" tableBorderDxfId="177" totalsRowBorderDxfId="176">
  <autoFilter ref="A12:T49" xr:uid="{00000000-0009-0000-0100-000008000000}"/>
  <tableColumns count="20">
    <tableColumn id="1" xr3:uid="{00000000-0010-0000-0600-000001000000}" name="Date" dataDxfId="175"/>
    <tableColumn id="2" xr3:uid="{00000000-0010-0000-0600-000002000000}" name="Service" dataDxfId="174"/>
    <tableColumn id="3" xr3:uid="{00000000-0010-0000-0600-000003000000}" name="début" dataDxfId="173"/>
    <tableColumn id="4" xr3:uid="{00000000-0010-0000-0600-000004000000}" name="Fin" dataDxfId="172"/>
    <tableColumn id="5" xr3:uid="{00000000-0010-0000-0600-000005000000}" name="PP Début" dataDxfId="171"/>
    <tableColumn id="6" xr3:uid="{00000000-0010-0000-0600-000006000000}" name="PP Fin" dataDxfId="170"/>
    <tableColumn id="7" xr3:uid="{00000000-0010-0000-0600-000007000000}" name="PNP Début" dataDxfId="169"/>
    <tableColumn id="8" xr3:uid="{00000000-0010-0000-0600-000008000000}" name="PNP Fin" dataDxfId="168"/>
    <tableColumn id="10" xr3:uid="{00000000-0010-0000-0600-00000A000000}" name="Majoration" dataDxfId="167" dataCellStyle="Milliers">
      <calculatedColumnFormula>0.1*(H_Juin[[#This Row],[Heures de nuit]]+IF(H_Juin[[#This Row],[majoration dim &amp; JF]]="non",0,H_Juin[[#This Row],[heures jour dimanche]]+H_Juin[[#This Row],[heures jour fériés]]))</calculatedColumnFormula>
    </tableColumn>
    <tableColumn id="9" xr3:uid="{00000000-0010-0000-0600-000009000000}" name="Heures totales payées" dataDxfId="166" dataCellStyle="Milliers">
      <calculatedColumnFormula>(MOD(H_Juin[[#This Row],[Fin]]-H_Juin[[#This Row],[début]],1)-MOD(H_Juin[[#This Row],[PNP Fin]]-H_Juin[[#This Row],[PNP Début]],1))*24</calculatedColumnFormula>
    </tableColumn>
    <tableColumn id="20" xr3:uid="{00000000-0010-0000-0600-000014000000}" name="majoration dim &amp; JF" dataDxfId="165" dataCellStyle="Milliers">
      <calculatedColumnFormula>IFERROR(VLOOKUP(H_Juin[[#This Row],[Service]],Codes[],4,0),"")</calculatedColumnFormula>
    </tableColumn>
    <tableColumn id="15" xr3:uid="{00000000-0010-0000-0600-00000F000000}" name="PNP Début corrigé" dataDxfId="164">
      <calculatedColumnFormula>IF(H_Juin[[#This Row],[PNP Début]]=0,0,IF(H_Juin[[#This Row],[PNP Début]]&lt;H_Juin[[#This Row],[début]],1,0)+H_Juin[[#This Row],[PNP Début]])</calculatedColumnFormula>
    </tableColumn>
    <tableColumn id="16" xr3:uid="{00000000-0010-0000-0600-000010000000}" name="PNP Fin corrigée" dataDxfId="163">
      <calculatedColumnFormula>IF(H_Juin[[#This Row],[PNP Fin]]=0,0,IF(H_Juin[[#This Row],[PNP Fin]]&lt;H_Juin[[#This Row],[début]],1,0)+H_Juin[[#This Row],[PNP Fin]])</calculatedColumnFormula>
    </tableColumn>
    <tableColumn id="14" xr3:uid="{00000000-0010-0000-0600-00000E000000}" name="Fin corrigée si nuit" dataDxfId="162">
      <calculatedColumnFormula>IF(H_Juin[[#This Row],[Fin]]&lt;H_Juin[[#This Row],[début]],1,0)+H_Juin[[#This Row],[Fin]]</calculatedColumnFormula>
    </tableColumn>
    <tableColumn id="13" xr3:uid="{00000000-0010-0000-0600-00000D000000}" name="Heures de nuit" dataDxfId="161" dataCellStyle="Milliers">
      <calculatedColumnFormula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calculatedColumnFormula>
    </tableColumn>
    <tableColumn id="17" xr3:uid="{00000000-0010-0000-0600-000011000000}" name="Heures de nuit hors PNP" dataDxfId="160" dataCellStyle="Milliers">
      <calculatedColumnFormula>(MAX(0,MIN(H_Juin[[#This Row],[Fin corrigée si nuit]],fin_nuit)-MAX(H_Juin[[#This Row],[début]],deb_nuit))-IF(H_Juin[[#This Row],[PNP Début]]=0,0,MIN(H_Juin[[#This Row],[PNP Fin corrigée]],fin_nuit)-MAX(H_Juin[[#This Row],[PNP Début corrigé]],deb_nuit)))*24</calculatedColumnFormula>
    </tableColumn>
    <tableColumn id="18" xr3:uid="{00000000-0010-0000-0600-000012000000}" name="heures jour dimanche" dataDxfId="159" dataCellStyle="Milliers">
      <calculatedColumnFormula>(IF(WEEKDAY(H_Juin[[#This Row],[Date]],2)=7,MAX(0,MIN(fin_dimJF,H_Juin[[#This Row],[Fin corrigée si nuit]])-MAX(deb_dimJF,H_Juin[[#This Row],[début]])),0)+IF(WEEKDAY(H_Juin[[#This Row],[Date]],2)=6,MAX(0,H_Juin[[#This Row],[Fin corrigée si nuit]]-(1+deb_dimJF)),0))*24</calculatedColumnFormula>
    </tableColumn>
    <tableColumn id="11" xr3:uid="{00000000-0010-0000-0600-00000B000000}" name="heures jour dimanche hors PNP" dataDxfId="158" dataCellStyle="Milliers">
      <calculatedColumnFormula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calculatedColumnFormula>
    </tableColumn>
    <tableColumn id="19" xr3:uid="{00000000-0010-0000-0600-000013000000}" name="heures jour fériés" dataDxfId="157" dataCellStyle="Milliers">
      <calculatedColumnFormula>(IF(COUNTIF(JF,H_Juin[[#This Row],[Date]]),MAX(0,MIN(fin_dimJF,H_Juin[[#This Row],[Fin corrigée si nuit]])-MAX(deb_dimJF,H_Juin[[#This Row],[début]])),0)+IF(COUNTIF(JF,H_Juin[[#This Row],[Date]]+1),MAX(0,H_Juin[[#This Row],[Fin corrigée si nuit]]-(1+deb_dimJF)),0))*24</calculatedColumnFormula>
    </tableColumn>
    <tableColumn id="12" xr3:uid="{00000000-0010-0000-0600-00000C000000}" name="heures jour fériés hors PNP" dataDxfId="156" dataCellStyle="Milliers">
      <calculatedColumnFormula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H_Juil" displayName="H_Juil" ref="A12:T49" totalsRowShown="0" headerRowDxfId="154" dataDxfId="152" headerRowBorderDxfId="153" tableBorderDxfId="151" totalsRowBorderDxfId="150">
  <autoFilter ref="A12:T49" xr:uid="{00000000-0009-0000-0100-000009000000}"/>
  <tableColumns count="20">
    <tableColumn id="1" xr3:uid="{00000000-0010-0000-0700-000001000000}" name="Date" dataDxfId="149"/>
    <tableColumn id="2" xr3:uid="{00000000-0010-0000-0700-000002000000}" name="Service" dataDxfId="148"/>
    <tableColumn id="3" xr3:uid="{00000000-0010-0000-0700-000003000000}" name="début" dataDxfId="147"/>
    <tableColumn id="4" xr3:uid="{00000000-0010-0000-0700-000004000000}" name="Fin" dataDxfId="146"/>
    <tableColumn id="5" xr3:uid="{00000000-0010-0000-0700-000005000000}" name="PP Début" dataDxfId="145"/>
    <tableColumn id="6" xr3:uid="{00000000-0010-0000-0700-000006000000}" name="PP Fin" dataDxfId="144"/>
    <tableColumn id="7" xr3:uid="{00000000-0010-0000-0700-000007000000}" name="PNP Début" dataDxfId="143"/>
    <tableColumn id="8" xr3:uid="{00000000-0010-0000-0700-000008000000}" name="PNP Fin" dataDxfId="142"/>
    <tableColumn id="10" xr3:uid="{00000000-0010-0000-0700-00000A000000}" name="Majoration" dataDxfId="141" dataCellStyle="Milliers">
      <calculatedColumnFormula>0.1*(H_Juil[[#This Row],[Heures de nuit]]+IF(H_Juil[[#This Row],[majoration dim &amp; JF]]="non",0,H_Juil[[#This Row],[heures jour dimanche]]+H_Juil[[#This Row],[heures jour fériés]]))</calculatedColumnFormula>
    </tableColumn>
    <tableColumn id="9" xr3:uid="{00000000-0010-0000-0700-000009000000}" name="Heures totales payées" dataDxfId="140" dataCellStyle="Milliers">
      <calculatedColumnFormula>(MOD(H_Juil[[#This Row],[Fin]]-H_Juil[[#This Row],[début]],1)-MOD(H_Juil[[#This Row],[PNP Fin]]-H_Juil[[#This Row],[PNP Début]],1))*24</calculatedColumnFormula>
    </tableColumn>
    <tableColumn id="20" xr3:uid="{00000000-0010-0000-0700-000014000000}" name="majoration dim &amp; JF" dataDxfId="139" dataCellStyle="Milliers">
      <calculatedColumnFormula>IFERROR(VLOOKUP(H_Juil[[#This Row],[Service]],Codes[],4,0),"")</calculatedColumnFormula>
    </tableColumn>
    <tableColumn id="15" xr3:uid="{00000000-0010-0000-0700-00000F000000}" name="PNP Début corrigé" dataDxfId="138">
      <calculatedColumnFormula>IF(H_Juil[[#This Row],[PNP Début]]=0,0,IF(H_Juil[[#This Row],[PNP Début]]&lt;H_Juil[[#This Row],[début]],1,0)+H_Juil[[#This Row],[PNP Début]])</calculatedColumnFormula>
    </tableColumn>
    <tableColumn id="16" xr3:uid="{00000000-0010-0000-0700-000010000000}" name="PNP Fin corrigée" dataDxfId="137">
      <calculatedColumnFormula>IF(H_Juil[[#This Row],[PNP Fin]]=0,0,IF(H_Juil[[#This Row],[PNP Fin]]&lt;H_Juil[[#This Row],[début]],1,0)+H_Juil[[#This Row],[PNP Fin]])</calculatedColumnFormula>
    </tableColumn>
    <tableColumn id="14" xr3:uid="{00000000-0010-0000-0700-00000E000000}" name="Fin corrigée si nuit" dataDxfId="136">
      <calculatedColumnFormula>IF(H_Juil[[#This Row],[Fin]]&lt;H_Juil[[#This Row],[début]],1,0)+H_Juil[[#This Row],[Fin]]</calculatedColumnFormula>
    </tableColumn>
    <tableColumn id="13" xr3:uid="{00000000-0010-0000-0700-00000D000000}" name="Heures de nuit" dataDxfId="135" dataCellStyle="Milliers">
      <calculatedColumnFormula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calculatedColumnFormula>
    </tableColumn>
    <tableColumn id="17" xr3:uid="{00000000-0010-0000-0700-000011000000}" name="Heures de nuit hors PNP" dataDxfId="134" dataCellStyle="Milliers">
      <calculatedColumnFormula>(MAX(0,MIN(H_Juil[[#This Row],[Fin corrigée si nuit]],fin_nuit)-MAX(H_Juil[[#This Row],[début]],deb_nuit))-IF(H_Juil[[#This Row],[PNP Début]]=0,0,MIN(H_Juil[[#This Row],[PNP Fin corrigée]],fin_nuit)-MAX(H_Juil[[#This Row],[PNP Début corrigé]],deb_nuit)))*24</calculatedColumnFormula>
    </tableColumn>
    <tableColumn id="18" xr3:uid="{00000000-0010-0000-0700-000012000000}" name="heures jour dimanche" dataDxfId="133" dataCellStyle="Milliers">
      <calculatedColumnFormula>(IF(WEEKDAY(H_Juil[[#This Row],[Date]],2)=7,MAX(0,MIN(fin_dimJF,H_Juil[[#This Row],[Fin corrigée si nuit]])-MAX(deb_dimJF,H_Juil[[#This Row],[début]])),0)+IF(WEEKDAY(H_Juil[[#This Row],[Date]],2)=6,MAX(0,H_Juil[[#This Row],[Fin corrigée si nuit]]-(1+deb_dimJF)),0))*24</calculatedColumnFormula>
    </tableColumn>
    <tableColumn id="11" xr3:uid="{00000000-0010-0000-0700-00000B000000}" name="heures jour dimanche hors PNP" dataDxfId="132" dataCellStyle="Milliers">
      <calculatedColumnFormula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calculatedColumnFormula>
    </tableColumn>
    <tableColumn id="19" xr3:uid="{00000000-0010-0000-0700-000013000000}" name="heures jour fériés" dataDxfId="131" dataCellStyle="Milliers">
      <calculatedColumnFormula>(IF(COUNTIF(JF,H_Juil[[#This Row],[Date]]),MAX(0,MIN(fin_dimJF,H_Juil[[#This Row],[Fin corrigée si nuit]])-MAX(deb_dimJF,H_Juil[[#This Row],[début]])),0)+IF(COUNTIF(JF,H_Juil[[#This Row],[Date]]+1),MAX(0,H_Juil[[#This Row],[Fin corrigée si nuit]]-(1+deb_dimJF)),0))*24</calculatedColumnFormula>
    </tableColumn>
    <tableColumn id="12" xr3:uid="{00000000-0010-0000-0700-00000C000000}" name="heures jour fériés hors PNP" dataDxfId="130" dataCellStyle="Milliers">
      <calculatedColumnFormula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8000000}" name="H_Aout" displayName="H_Aout" ref="A12:T49" totalsRowShown="0" headerRowDxfId="128" dataDxfId="126" headerRowBorderDxfId="127" tableBorderDxfId="125" totalsRowBorderDxfId="124">
  <autoFilter ref="A12:T49" xr:uid="{00000000-0009-0000-0100-00000E000000}"/>
  <tableColumns count="20">
    <tableColumn id="1" xr3:uid="{00000000-0010-0000-0800-000001000000}" name="Date" dataDxfId="123"/>
    <tableColumn id="2" xr3:uid="{00000000-0010-0000-0800-000002000000}" name="Service" dataDxfId="122"/>
    <tableColumn id="3" xr3:uid="{00000000-0010-0000-0800-000003000000}" name="début" dataDxfId="121"/>
    <tableColumn id="4" xr3:uid="{00000000-0010-0000-0800-000004000000}" name="Fin" dataDxfId="120"/>
    <tableColumn id="5" xr3:uid="{00000000-0010-0000-0800-000005000000}" name="PP Début" dataDxfId="119"/>
    <tableColumn id="6" xr3:uid="{00000000-0010-0000-0800-000006000000}" name="PP Fin" dataDxfId="118"/>
    <tableColumn id="7" xr3:uid="{00000000-0010-0000-0800-000007000000}" name="PNP Début" dataDxfId="117"/>
    <tableColumn id="8" xr3:uid="{00000000-0010-0000-0800-000008000000}" name="PNP Fin" dataDxfId="116"/>
    <tableColumn id="10" xr3:uid="{00000000-0010-0000-0800-00000A000000}" name="Majoration" dataDxfId="115" dataCellStyle="Milliers">
      <calculatedColumnFormula>0.1*(H_Aout[[#This Row],[Heures de nuit]]+IF(H_Aout[[#This Row],[majoration dim &amp; JF]]="non",0,H_Aout[[#This Row],[heures jour dimanche]]+H_Aout[[#This Row],[heures jour fériés]]))</calculatedColumnFormula>
    </tableColumn>
    <tableColumn id="9" xr3:uid="{00000000-0010-0000-0800-000009000000}" name="Heures totales payées" dataDxfId="114" dataCellStyle="Milliers">
      <calculatedColumnFormula>(MOD(H_Aout[[#This Row],[Fin]]-H_Aout[[#This Row],[début]],1)-MOD(H_Aout[[#This Row],[PNP Fin]]-H_Aout[[#This Row],[PNP Début]],1))*24</calculatedColumnFormula>
    </tableColumn>
    <tableColumn id="20" xr3:uid="{00000000-0010-0000-0800-000014000000}" name="majoration dim &amp; JF" dataDxfId="113" dataCellStyle="Milliers">
      <calculatedColumnFormula>IFERROR(VLOOKUP(H_Aout[[#This Row],[Service]],Codes[],4,0),"")</calculatedColumnFormula>
    </tableColumn>
    <tableColumn id="15" xr3:uid="{00000000-0010-0000-0800-00000F000000}" name="PNP Début corrigé" dataDxfId="112">
      <calculatedColumnFormula>IF(H_Aout[[#This Row],[PNP Début]]=0,0,IF(H_Aout[[#This Row],[PNP Début]]&lt;H_Aout[[#This Row],[début]],1,0)+H_Aout[[#This Row],[PNP Début]])</calculatedColumnFormula>
    </tableColumn>
    <tableColumn id="16" xr3:uid="{00000000-0010-0000-0800-000010000000}" name="PNP Fin corrigée" dataDxfId="111">
      <calculatedColumnFormula>IF(H_Aout[[#This Row],[PNP Fin]]=0,0,IF(H_Aout[[#This Row],[PNP Fin]]&lt;H_Aout[[#This Row],[début]],1,0)+H_Aout[[#This Row],[PNP Fin]])</calculatedColumnFormula>
    </tableColumn>
    <tableColumn id="14" xr3:uid="{00000000-0010-0000-0800-00000E000000}" name="Fin corrigée si nuit" dataDxfId="110">
      <calculatedColumnFormula>IF(H_Aout[[#This Row],[Fin]]&lt;H_Aout[[#This Row],[début]],1,0)+H_Aout[[#This Row],[Fin]]</calculatedColumnFormula>
    </tableColumn>
    <tableColumn id="13" xr3:uid="{00000000-0010-0000-0800-00000D000000}" name="Heures de nuit" dataDxfId="109" dataCellStyle="Milliers">
      <calculatedColumnFormula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calculatedColumnFormula>
    </tableColumn>
    <tableColumn id="17" xr3:uid="{00000000-0010-0000-0800-000011000000}" name="Heures de nuit hors PNP" dataDxfId="108" dataCellStyle="Milliers">
      <calculatedColumnFormula>(MAX(0,MIN(H_Aout[[#This Row],[Fin corrigée si nuit]],fin_nuit)-MAX(H_Aout[[#This Row],[début]],deb_nuit))-IF(H_Aout[[#This Row],[PNP Début]]=0,0,MIN(H_Aout[[#This Row],[PNP Fin corrigée]],fin_nuit)-MAX(H_Aout[[#This Row],[PNP Début corrigé]],deb_nuit)))*24</calculatedColumnFormula>
    </tableColumn>
    <tableColumn id="18" xr3:uid="{00000000-0010-0000-0800-000012000000}" name="heures jour dimanche" dataDxfId="107" dataCellStyle="Milliers">
      <calculatedColumnFormula>(IF(WEEKDAY(H_Aout[[#This Row],[Date]],2)=7,MAX(0,MIN(fin_dimJF,H_Aout[[#This Row],[Fin corrigée si nuit]])-MAX(deb_dimJF,H_Aout[[#This Row],[début]])),0)+IF(WEEKDAY(H_Aout[[#This Row],[Date]],2)=6,MAX(0,H_Aout[[#This Row],[Fin corrigée si nuit]]-(1+deb_dimJF)),0))*24</calculatedColumnFormula>
    </tableColumn>
    <tableColumn id="11" xr3:uid="{00000000-0010-0000-0800-00000B000000}" name="heures jour dimanche hors PNP" dataDxfId="106" dataCellStyle="Milliers">
      <calculatedColumnFormula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calculatedColumnFormula>
    </tableColumn>
    <tableColumn id="19" xr3:uid="{00000000-0010-0000-0800-000013000000}" name="heures jour fériés" dataDxfId="105" dataCellStyle="Milliers">
      <calculatedColumnFormula>(IF(COUNTIF(JF,H_Aout[[#This Row],[Date]]),MAX(0,MIN(fin_dimJF,H_Aout[[#This Row],[Fin corrigée si nuit]])-MAX(deb_dimJF,H_Aout[[#This Row],[début]])),0)+IF(COUNTIF(JF,H_Aout[[#This Row],[Date]]+1),MAX(0,H_Aout[[#This Row],[Fin corrigée si nuit]]-(1+deb_dimJF)),0))*24</calculatedColumnFormula>
    </tableColumn>
    <tableColumn id="12" xr3:uid="{00000000-0010-0000-0800-00000C000000}" name="heures jour fériés hors PNP" dataDxfId="104" dataCellStyle="Milliers">
      <calculatedColumnFormula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9000000}" name="H_Sept" displayName="H_Sept" ref="A12:T49" totalsRowShown="0" headerRowDxfId="102" dataDxfId="100" headerRowBorderDxfId="101" tableBorderDxfId="99" totalsRowBorderDxfId="98">
  <autoFilter ref="A12:T49" xr:uid="{00000000-0009-0000-0100-00000D000000}"/>
  <tableColumns count="20">
    <tableColumn id="1" xr3:uid="{00000000-0010-0000-0900-000001000000}" name="Date" dataDxfId="97"/>
    <tableColumn id="2" xr3:uid="{00000000-0010-0000-0900-000002000000}" name="Service" dataDxfId="96"/>
    <tableColumn id="3" xr3:uid="{00000000-0010-0000-0900-000003000000}" name="début" dataDxfId="95"/>
    <tableColumn id="4" xr3:uid="{00000000-0010-0000-0900-000004000000}" name="Fin" dataDxfId="94"/>
    <tableColumn id="5" xr3:uid="{00000000-0010-0000-0900-000005000000}" name="PP Début" dataDxfId="93"/>
    <tableColumn id="6" xr3:uid="{00000000-0010-0000-0900-000006000000}" name="PP Fin" dataDxfId="92"/>
    <tableColumn id="7" xr3:uid="{00000000-0010-0000-0900-000007000000}" name="PNP Début" dataDxfId="91"/>
    <tableColumn id="8" xr3:uid="{00000000-0010-0000-0900-000008000000}" name="PNP Fin" dataDxfId="90"/>
    <tableColumn id="10" xr3:uid="{00000000-0010-0000-0900-00000A000000}" name="Majoration" dataDxfId="89" dataCellStyle="Milliers">
      <calculatedColumnFormula>0.1*(H_Sept[[#This Row],[Heures de nuit]]+IF(H_Sept[[#This Row],[majoration dim &amp; JF]]="non",0,H_Sept[[#This Row],[heures jour dimanche]]+H_Sept[[#This Row],[heures jour fériés]]))</calculatedColumnFormula>
    </tableColumn>
    <tableColumn id="9" xr3:uid="{00000000-0010-0000-0900-000009000000}" name="Heures totales payées" dataDxfId="88" dataCellStyle="Milliers">
      <calculatedColumnFormula>(MOD(H_Sept[[#This Row],[Fin]]-H_Sept[[#This Row],[début]],1)-MOD(H_Sept[[#This Row],[PNP Fin]]-H_Sept[[#This Row],[PNP Début]],1))*24</calculatedColumnFormula>
    </tableColumn>
    <tableColumn id="20" xr3:uid="{00000000-0010-0000-0900-000014000000}" name="majoration dim &amp; JF" dataDxfId="87" dataCellStyle="Milliers">
      <calculatedColumnFormula>IFERROR(VLOOKUP(H_Sept[[#This Row],[Service]],Codes[],4,0),"")</calculatedColumnFormula>
    </tableColumn>
    <tableColumn id="15" xr3:uid="{00000000-0010-0000-0900-00000F000000}" name="PNP Début corrigé" dataDxfId="86">
      <calculatedColumnFormula>IF(H_Sept[[#This Row],[PNP Début]]=0,0,IF(H_Sept[[#This Row],[PNP Début]]&lt;H_Sept[[#This Row],[début]],1,0)+H_Sept[[#This Row],[PNP Début]])</calculatedColumnFormula>
    </tableColumn>
    <tableColumn id="16" xr3:uid="{00000000-0010-0000-0900-000010000000}" name="PNP Fin corrigée" dataDxfId="85">
      <calculatedColumnFormula>IF(H_Sept[[#This Row],[PNP Fin]]=0,0,IF(H_Sept[[#This Row],[PNP Fin]]&lt;H_Sept[[#This Row],[début]],1,0)+H_Sept[[#This Row],[PNP Fin]])</calculatedColumnFormula>
    </tableColumn>
    <tableColumn id="14" xr3:uid="{00000000-0010-0000-0900-00000E000000}" name="Fin corrigée si nuit" dataDxfId="84">
      <calculatedColumnFormula>IF(H_Sept[[#This Row],[Fin]]&lt;H_Sept[[#This Row],[début]],1,0)+H_Sept[[#This Row],[Fin]]</calculatedColumnFormula>
    </tableColumn>
    <tableColumn id="13" xr3:uid="{00000000-0010-0000-0900-00000D000000}" name="Heures de nuit" dataDxfId="83" dataCellStyle="Milliers">
      <calculatedColumnFormula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calculatedColumnFormula>
    </tableColumn>
    <tableColumn id="17" xr3:uid="{00000000-0010-0000-0900-000011000000}" name="Heures de nuit hors PNP" dataDxfId="82" dataCellStyle="Milliers">
      <calculatedColumnFormula>(MAX(0,MIN(H_Sept[[#This Row],[Fin corrigée si nuit]],fin_nuit)-MAX(H_Sept[[#This Row],[début]],deb_nuit))-IF(H_Sept[[#This Row],[PNP Début]]=0,0,MIN(H_Sept[[#This Row],[PNP Fin corrigée]],fin_nuit)-MAX(H_Sept[[#This Row],[PNP Début corrigé]],deb_nuit)))*24</calculatedColumnFormula>
    </tableColumn>
    <tableColumn id="18" xr3:uid="{00000000-0010-0000-0900-000012000000}" name="heures jour dimanche" dataDxfId="81" dataCellStyle="Milliers">
      <calculatedColumnFormula>(IF(WEEKDAY(H_Sept[[#This Row],[Date]],2)=7,MAX(0,MIN(fin_dimJF,H_Sept[[#This Row],[Fin corrigée si nuit]])-MAX(deb_dimJF,H_Sept[[#This Row],[début]])),0)+IF(WEEKDAY(H_Sept[[#This Row],[Date]],2)=6,MAX(0,H_Sept[[#This Row],[Fin corrigée si nuit]]-(1+deb_dimJF)),0))*24</calculatedColumnFormula>
    </tableColumn>
    <tableColumn id="11" xr3:uid="{00000000-0010-0000-0900-00000B000000}" name="heures jour dimanche hors PNP" dataDxfId="80" dataCellStyle="Milliers">
      <calculatedColumnFormula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calculatedColumnFormula>
    </tableColumn>
    <tableColumn id="19" xr3:uid="{00000000-0010-0000-0900-000013000000}" name="heures jour fériés" dataDxfId="79" dataCellStyle="Milliers">
      <calculatedColumnFormula>(IF(COUNTIF(JF,H_Sept[[#This Row],[Date]]),MAX(0,MIN(fin_dimJF,H_Sept[[#This Row],[Fin corrigée si nuit]])-MAX(deb_dimJF,H_Sept[[#This Row],[début]])),0)+IF(COUNTIF(JF,H_Sept[[#This Row],[Date]]+1),MAX(0,H_Sept[[#This Row],[Fin corrigée si nuit]]-(1+deb_dimJF)),0))*24</calculatedColumnFormula>
    </tableColumn>
    <tableColumn id="12" xr3:uid="{00000000-0010-0000-0900-00000C000000}" name="heures jour fériés hors PNP" dataDxfId="78" dataCellStyle="Milliers">
      <calculatedColumnFormula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H_Oct" displayName="H_Oct" ref="A12:T49" totalsRowShown="0" headerRowDxfId="76" dataDxfId="74" headerRowBorderDxfId="75" tableBorderDxfId="73" totalsRowBorderDxfId="72">
  <autoFilter ref="A12:T49" xr:uid="{00000000-0009-0000-0100-00000C000000}"/>
  <tableColumns count="20">
    <tableColumn id="1" xr3:uid="{00000000-0010-0000-0A00-000001000000}" name="Date" dataDxfId="71"/>
    <tableColumn id="2" xr3:uid="{00000000-0010-0000-0A00-000002000000}" name="Service" dataDxfId="70"/>
    <tableColumn id="3" xr3:uid="{00000000-0010-0000-0A00-000003000000}" name="début" dataDxfId="69"/>
    <tableColumn id="4" xr3:uid="{00000000-0010-0000-0A00-000004000000}" name="Fin" dataDxfId="68"/>
    <tableColumn id="5" xr3:uid="{00000000-0010-0000-0A00-000005000000}" name="PP Début" dataDxfId="67"/>
    <tableColumn id="6" xr3:uid="{00000000-0010-0000-0A00-000006000000}" name="PP Fin" dataDxfId="66"/>
    <tableColumn id="7" xr3:uid="{00000000-0010-0000-0A00-000007000000}" name="PNP Début" dataDxfId="65"/>
    <tableColumn id="8" xr3:uid="{00000000-0010-0000-0A00-000008000000}" name="PNP Fin" dataDxfId="64"/>
    <tableColumn id="10" xr3:uid="{00000000-0010-0000-0A00-00000A000000}" name="Majoration" dataDxfId="63" dataCellStyle="Milliers">
      <calculatedColumnFormula>0.1*(H_Oct[[#This Row],[Heures de nuit]]+IF(H_Oct[[#This Row],[majoration dim &amp; JF]]="non",0,H_Oct[[#This Row],[heures jour dimanche]]+H_Oct[[#This Row],[heures jour fériés]]))</calculatedColumnFormula>
    </tableColumn>
    <tableColumn id="9" xr3:uid="{00000000-0010-0000-0A00-000009000000}" name="Heures totales payées" dataDxfId="62" dataCellStyle="Milliers">
      <calculatedColumnFormula>(MOD(H_Oct[[#This Row],[Fin]]-H_Oct[[#This Row],[début]],1)-MOD(H_Oct[[#This Row],[PNP Fin]]-H_Oct[[#This Row],[PNP Début]],1))*24</calculatedColumnFormula>
    </tableColumn>
    <tableColumn id="20" xr3:uid="{00000000-0010-0000-0A00-000014000000}" name="majoration dim &amp; JF" dataDxfId="61" dataCellStyle="Milliers">
      <calculatedColumnFormula>IFERROR(VLOOKUP(H_Oct[[#This Row],[Service]],Codes[],4,0),"")</calculatedColumnFormula>
    </tableColumn>
    <tableColumn id="15" xr3:uid="{00000000-0010-0000-0A00-00000F000000}" name="PNP Début corrigé" dataDxfId="60">
      <calculatedColumnFormula>IF(H_Oct[[#This Row],[PNP Début]]=0,0,IF(H_Oct[[#This Row],[PNP Début]]&lt;H_Oct[[#This Row],[début]],1,0)+H_Oct[[#This Row],[PNP Début]])</calculatedColumnFormula>
    </tableColumn>
    <tableColumn id="16" xr3:uid="{00000000-0010-0000-0A00-000010000000}" name="PNP Fin corrigée" dataDxfId="59">
      <calculatedColumnFormula>IF(H_Oct[[#This Row],[PNP Fin]]=0,0,IF(H_Oct[[#This Row],[PNP Fin]]&lt;H_Oct[[#This Row],[début]],1,0)+H_Oct[[#This Row],[PNP Fin]])</calculatedColumnFormula>
    </tableColumn>
    <tableColumn id="14" xr3:uid="{00000000-0010-0000-0A00-00000E000000}" name="Fin corrigée si nuit" dataDxfId="58">
      <calculatedColumnFormula>IF(H_Oct[[#This Row],[Fin]]&lt;H_Oct[[#This Row],[début]],1,0)+H_Oct[[#This Row],[Fin]]</calculatedColumnFormula>
    </tableColumn>
    <tableColumn id="13" xr3:uid="{00000000-0010-0000-0A00-00000D000000}" name="Heures de nuit" dataDxfId="57" dataCellStyle="Milliers">
      <calculatedColumnFormula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calculatedColumnFormula>
    </tableColumn>
    <tableColumn id="17" xr3:uid="{00000000-0010-0000-0A00-000011000000}" name="Heures de nuit hors PNP" dataDxfId="56" dataCellStyle="Milliers">
      <calculatedColumnFormula>(MAX(0,MIN(H_Oct[[#This Row],[Fin corrigée si nuit]],fin_nuit)-MAX(H_Oct[[#This Row],[début]],deb_nuit))-IF(H_Oct[[#This Row],[PNP Début]]=0,0,MIN(H_Oct[[#This Row],[PNP Fin corrigée]],fin_nuit)-MAX(H_Oct[[#This Row],[PNP Début corrigé]],deb_nuit)))*24</calculatedColumnFormula>
    </tableColumn>
    <tableColumn id="18" xr3:uid="{00000000-0010-0000-0A00-000012000000}" name="heures jour dimanche" dataDxfId="55" dataCellStyle="Milliers">
      <calculatedColumnFormula>(IF(WEEKDAY(H_Oct[[#This Row],[Date]],2)=7,MAX(0,MIN(fin_dimJF,H_Oct[[#This Row],[Fin corrigée si nuit]])-MAX(deb_dimJF,H_Oct[[#This Row],[début]])),0)+IF(WEEKDAY(H_Oct[[#This Row],[Date]],2)=6,MAX(0,H_Oct[[#This Row],[Fin corrigée si nuit]]-(1+deb_dimJF)),0))*24</calculatedColumnFormula>
    </tableColumn>
    <tableColumn id="11" xr3:uid="{00000000-0010-0000-0A00-00000B000000}" name="heures jour dimanche hors PNP" dataDxfId="54" dataCellStyle="Milliers">
      <calculatedColumnFormula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calculatedColumnFormula>
    </tableColumn>
    <tableColumn id="19" xr3:uid="{00000000-0010-0000-0A00-000013000000}" name="heures jour fériés" dataDxfId="53" dataCellStyle="Milliers">
      <calculatedColumnFormula>(IF(COUNTIF(JF,H_Oct[[#This Row],[Date]]),MAX(0,MIN(fin_dimJF,H_Oct[[#This Row],[Fin corrigée si nuit]])-MAX(deb_dimJF,H_Oct[[#This Row],[début]])),0)+IF(COUNTIF(JF,H_Oct[[#This Row],[Date]]+1),MAX(0,H_Oct[[#This Row],[Fin corrigée si nuit]]-(1+deb_dimJF)),0))*24</calculatedColumnFormula>
    </tableColumn>
    <tableColumn id="12" xr3:uid="{00000000-0010-0000-0A00-00000C000000}" name="heures jour fériés hors PNP" dataDxfId="52" dataCellStyle="Milliers">
      <calculatedColumnFormula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H_Nov" displayName="H_Nov" ref="A12:T49" totalsRowShown="0" headerRowDxfId="50" dataDxfId="48" headerRowBorderDxfId="49" tableBorderDxfId="47" totalsRowBorderDxfId="46">
  <autoFilter ref="A12:T49" xr:uid="{00000000-0009-0000-0100-00000B000000}"/>
  <tableColumns count="20">
    <tableColumn id="1" xr3:uid="{00000000-0010-0000-0B00-000001000000}" name="Date" dataDxfId="45"/>
    <tableColumn id="2" xr3:uid="{00000000-0010-0000-0B00-000002000000}" name="Service" dataDxfId="44"/>
    <tableColumn id="3" xr3:uid="{00000000-0010-0000-0B00-000003000000}" name="début" dataDxfId="43"/>
    <tableColumn id="4" xr3:uid="{00000000-0010-0000-0B00-000004000000}" name="Fin" dataDxfId="42"/>
    <tableColumn id="5" xr3:uid="{00000000-0010-0000-0B00-000005000000}" name="PP Début" dataDxfId="41"/>
    <tableColumn id="6" xr3:uid="{00000000-0010-0000-0B00-000006000000}" name="PP Fin" dataDxfId="40"/>
    <tableColumn id="7" xr3:uid="{00000000-0010-0000-0B00-000007000000}" name="PNP Début" dataDxfId="39"/>
    <tableColumn id="8" xr3:uid="{00000000-0010-0000-0B00-000008000000}" name="PNP Fin" dataDxfId="38"/>
    <tableColumn id="10" xr3:uid="{00000000-0010-0000-0B00-00000A000000}" name="Majoration" dataDxfId="37" dataCellStyle="Milliers">
      <calculatedColumnFormula>0.1*(H_Nov[[#This Row],[Heures de nuit]]+IF(H_Nov[[#This Row],[majoration dim &amp; JF]]="non",0,H_Nov[[#This Row],[heures jour dimanche]]+H_Nov[[#This Row],[heures jour fériés]]))</calculatedColumnFormula>
    </tableColumn>
    <tableColumn id="9" xr3:uid="{00000000-0010-0000-0B00-000009000000}" name="Heures totales payées" dataDxfId="36" dataCellStyle="Milliers">
      <calculatedColumnFormula>(MOD(H_Nov[[#This Row],[Fin]]-H_Nov[[#This Row],[début]],1)-MOD(H_Nov[[#This Row],[PNP Fin]]-H_Nov[[#This Row],[PNP Début]],1))*24</calculatedColumnFormula>
    </tableColumn>
    <tableColumn id="20" xr3:uid="{00000000-0010-0000-0B00-000014000000}" name="majoration dim &amp; JF" dataDxfId="35" dataCellStyle="Milliers">
      <calculatedColumnFormula>IFERROR(VLOOKUP(H_Nov[[#This Row],[Service]],Codes[],4,0),"")</calculatedColumnFormula>
    </tableColumn>
    <tableColumn id="15" xr3:uid="{00000000-0010-0000-0B00-00000F000000}" name="PNP Début corrigé" dataDxfId="34">
      <calculatedColumnFormula>IF(H_Nov[[#This Row],[PNP Début]]=0,0,IF(H_Nov[[#This Row],[PNP Début]]&lt;H_Nov[[#This Row],[début]],1,0)+H_Nov[[#This Row],[PNP Début]])</calculatedColumnFormula>
    </tableColumn>
    <tableColumn id="16" xr3:uid="{00000000-0010-0000-0B00-000010000000}" name="PNP Fin corrigée" dataDxfId="33">
      <calculatedColumnFormula>IF(H_Nov[[#This Row],[PNP Fin]]=0,0,IF(H_Nov[[#This Row],[PNP Fin]]&lt;H_Nov[[#This Row],[début]],1,0)+H_Nov[[#This Row],[PNP Fin]])</calculatedColumnFormula>
    </tableColumn>
    <tableColumn id="14" xr3:uid="{00000000-0010-0000-0B00-00000E000000}" name="Fin corrigée si nuit" dataDxfId="32">
      <calculatedColumnFormula>IF(H_Nov[[#This Row],[Fin]]&lt;H_Nov[[#This Row],[début]],1,0)+H_Nov[[#This Row],[Fin]]</calculatedColumnFormula>
    </tableColumn>
    <tableColumn id="13" xr3:uid="{00000000-0010-0000-0B00-00000D000000}" name="Heures de nuit" dataDxfId="31" dataCellStyle="Milliers">
      <calculatedColumnFormula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calculatedColumnFormula>
    </tableColumn>
    <tableColumn id="17" xr3:uid="{00000000-0010-0000-0B00-000011000000}" name="Heures de nuit hors PNP" dataDxfId="30" dataCellStyle="Milliers">
      <calculatedColumnFormula>(MAX(0,MIN(H_Nov[[#This Row],[Fin corrigée si nuit]],fin_nuit)-MAX(H_Nov[[#This Row],[début]],deb_nuit))-IF(H_Nov[[#This Row],[PNP Début]]=0,0,MIN(H_Nov[[#This Row],[PNP Fin corrigée]],fin_nuit)-MAX(H_Nov[[#This Row],[PNP Début corrigé]],deb_nuit)))*24</calculatedColumnFormula>
    </tableColumn>
    <tableColumn id="18" xr3:uid="{00000000-0010-0000-0B00-000012000000}" name="heures jour dimanche" dataDxfId="29" dataCellStyle="Milliers">
      <calculatedColumnFormula>(IF(WEEKDAY(H_Nov[[#This Row],[Date]],2)=7,MAX(0,MIN(fin_dimJF,H_Nov[[#This Row],[Fin corrigée si nuit]])-MAX(deb_dimJF,H_Nov[[#This Row],[début]])),0)+IF(WEEKDAY(H_Nov[[#This Row],[Date]],2)=6,MAX(0,H_Nov[[#This Row],[Fin corrigée si nuit]]-(1+deb_dimJF)),0))*24</calculatedColumnFormula>
    </tableColumn>
    <tableColumn id="11" xr3:uid="{00000000-0010-0000-0B00-00000B000000}" name="heures jour dimanche hors PNP" dataDxfId="28" dataCellStyle="Milliers">
      <calculatedColumnFormula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calculatedColumnFormula>
    </tableColumn>
    <tableColumn id="19" xr3:uid="{00000000-0010-0000-0B00-000013000000}" name="heures jour fériés" dataDxfId="27" dataCellStyle="Milliers">
      <calculatedColumnFormula>(IF(COUNTIF(JF,H_Nov[[#This Row],[Date]]),MAX(0,MIN(fin_dimJF,H_Nov[[#This Row],[Fin corrigée si nuit]])-MAX(deb_dimJF,H_Nov[[#This Row],[début]])),0)+IF(COUNTIF(JF,H_Nov[[#This Row],[Date]]+1),MAX(0,H_Nov[[#This Row],[Fin corrigée si nuit]]-(1+deb_dimJF)),0))*24</calculatedColumnFormula>
    </tableColumn>
    <tableColumn id="12" xr3:uid="{00000000-0010-0000-0B00-00000C000000}" name="heures jour fériés hors PNP" dataDxfId="26" dataCellStyle="Milliers">
      <calculatedColumnFormula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H_Dec" displayName="H_Dec" ref="A12:T49" totalsRowShown="0" headerRowDxfId="24" dataDxfId="22" headerRowBorderDxfId="23" tableBorderDxfId="21" totalsRowBorderDxfId="20">
  <autoFilter ref="A12:T49" xr:uid="{00000000-0009-0000-0100-00000A000000}"/>
  <tableColumns count="20">
    <tableColumn id="1" xr3:uid="{00000000-0010-0000-0C00-000001000000}" name="Date" dataDxfId="19"/>
    <tableColumn id="2" xr3:uid="{00000000-0010-0000-0C00-000002000000}" name="Service" dataDxfId="18"/>
    <tableColumn id="3" xr3:uid="{00000000-0010-0000-0C00-000003000000}" name="début" dataDxfId="17"/>
    <tableColumn id="4" xr3:uid="{00000000-0010-0000-0C00-000004000000}" name="Fin" dataDxfId="16"/>
    <tableColumn id="5" xr3:uid="{00000000-0010-0000-0C00-000005000000}" name="PP Début" dataDxfId="15"/>
    <tableColumn id="6" xr3:uid="{00000000-0010-0000-0C00-000006000000}" name="PP Fin" dataDxfId="14"/>
    <tableColumn id="7" xr3:uid="{00000000-0010-0000-0C00-000007000000}" name="PNP Début" dataDxfId="13"/>
    <tableColumn id="8" xr3:uid="{00000000-0010-0000-0C00-000008000000}" name="PNP Fin" dataDxfId="12"/>
    <tableColumn id="10" xr3:uid="{00000000-0010-0000-0C00-00000A000000}" name="Majoration" dataDxfId="11" dataCellStyle="Milliers">
      <calculatedColumnFormula>0.1*(H_Dec[[#This Row],[Heures de nuit]]+IF(H_Dec[[#This Row],[majoration dim &amp; JF]]="non",0,H_Dec[[#This Row],[heures jour dimanche]]+H_Dec[[#This Row],[heures jour fériés]]))</calculatedColumnFormula>
    </tableColumn>
    <tableColumn id="9" xr3:uid="{00000000-0010-0000-0C00-000009000000}" name="Heures totales payées" dataDxfId="10" dataCellStyle="Milliers">
      <calculatedColumnFormula>(MOD(H_Dec[[#This Row],[Fin]]-H_Dec[[#This Row],[début]],1)-MOD(H_Dec[[#This Row],[PNP Fin]]-H_Dec[[#This Row],[PNP Début]],1))*24</calculatedColumnFormula>
    </tableColumn>
    <tableColumn id="20" xr3:uid="{00000000-0010-0000-0C00-000014000000}" name="majoration dim &amp; JF" dataDxfId="9" dataCellStyle="Milliers">
      <calculatedColumnFormula>IFERROR(VLOOKUP(H_Dec[[#This Row],[Service]],Codes[],4,0),"")</calculatedColumnFormula>
    </tableColumn>
    <tableColumn id="15" xr3:uid="{00000000-0010-0000-0C00-00000F000000}" name="PNP Début corrigé" dataDxfId="8">
      <calculatedColumnFormula>IF(H_Dec[[#This Row],[PNP Début]]=0,0,IF(H_Dec[[#This Row],[PNP Début]]&lt;H_Dec[[#This Row],[début]],1,0)+H_Dec[[#This Row],[PNP Début]])</calculatedColumnFormula>
    </tableColumn>
    <tableColumn id="16" xr3:uid="{00000000-0010-0000-0C00-000010000000}" name="PNP Fin corrigée" dataDxfId="7">
      <calculatedColumnFormula>IF(H_Dec[[#This Row],[PNP Fin]]=0,0,IF(H_Dec[[#This Row],[PNP Fin]]&lt;H_Dec[[#This Row],[début]],1,0)+H_Dec[[#This Row],[PNP Fin]])</calculatedColumnFormula>
    </tableColumn>
    <tableColumn id="14" xr3:uid="{00000000-0010-0000-0C00-00000E000000}" name="Fin corrigée si nuit" dataDxfId="6">
      <calculatedColumnFormula>IF(H_Dec[[#This Row],[Fin]]&lt;H_Dec[[#This Row],[début]],1,0)+H_Dec[[#This Row],[Fin]]</calculatedColumnFormula>
    </tableColumn>
    <tableColumn id="13" xr3:uid="{00000000-0010-0000-0C00-00000D000000}" name="Heures de nuit" dataDxfId="5" dataCellStyle="Milliers">
      <calculatedColumnFormula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calculatedColumnFormula>
    </tableColumn>
    <tableColumn id="17" xr3:uid="{00000000-0010-0000-0C00-000011000000}" name="Heures de nuit hors PNP" dataDxfId="4" dataCellStyle="Milliers">
      <calculatedColumnFormula>(MAX(0,MIN(H_Dec[[#This Row],[Fin corrigée si nuit]],fin_nuit)-MAX(H_Dec[[#This Row],[début]],deb_nuit))-IF(H_Dec[[#This Row],[PNP Début]]=0,0,MIN(H_Dec[[#This Row],[PNP Fin corrigée]],fin_nuit)-MAX(H_Dec[[#This Row],[PNP Début corrigé]],deb_nuit)))*24</calculatedColumnFormula>
    </tableColumn>
    <tableColumn id="18" xr3:uid="{00000000-0010-0000-0C00-000012000000}" name="heures jour dimanche" dataDxfId="3" dataCellStyle="Milliers">
      <calculatedColumnFormula>(IF(WEEKDAY(H_Dec[[#This Row],[Date]],2)=7,MAX(0,MIN(fin_dimJF,H_Dec[[#This Row],[Fin corrigée si nuit]])-MAX(deb_dimJF,H_Dec[[#This Row],[début]])),0)+IF(WEEKDAY(H_Dec[[#This Row],[Date]],2)=6,MAX(0,H_Dec[[#This Row],[Fin corrigée si nuit]]-(1+deb_dimJF)),0))*24</calculatedColumnFormula>
    </tableColumn>
    <tableColumn id="11" xr3:uid="{00000000-0010-0000-0C00-00000B000000}" name="heures jour dimanche hors PNP" dataDxfId="2" dataCellStyle="Milliers">
      <calculatedColumnFormula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calculatedColumnFormula>
    </tableColumn>
    <tableColumn id="19" xr3:uid="{00000000-0010-0000-0C00-000013000000}" name="heures jour fériés" dataDxfId="1" dataCellStyle="Milliers">
      <calculatedColumnFormula>(IF(COUNTIF(JF,H_Dec[[#This Row],[Date]]),MAX(0,MIN(fin_dimJF,H_Dec[[#This Row],[Fin corrigée si nuit]])-MAX(deb_dimJF,H_Dec[[#This Row],[début]])),0)+IF(COUNTIF(JF,H_Dec[[#This Row],[Date]]+1),MAX(0,H_Dec[[#This Row],[Fin corrigée si nuit]]-(1+deb_dimJF)),0))*24</calculatedColumnFormula>
    </tableColumn>
    <tableColumn id="12" xr3:uid="{00000000-0010-0000-0C00-00000C000000}" name="heures jour fériés hors PNP" dataDxfId="0" dataCellStyle="Milliers">
      <calculatedColumnFormula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FF0000"/>
  </sheetPr>
  <dimension ref="A1:K36"/>
  <sheetViews>
    <sheetView zoomScale="90" zoomScaleNormal="90" workbookViewId="0">
      <selection activeCell="F19" sqref="F19"/>
    </sheetView>
  </sheetViews>
  <sheetFormatPr baseColWidth="10" defaultRowHeight="14.4" x14ac:dyDescent="0.3"/>
  <cols>
    <col min="1" max="1" width="26" style="58" customWidth="1"/>
    <col min="2" max="2" width="21.77734375" style="58" customWidth="1"/>
    <col min="3" max="3" width="15" style="58" customWidth="1"/>
    <col min="4" max="4" width="21" style="58" customWidth="1"/>
    <col min="5" max="5" width="14" style="58" customWidth="1"/>
    <col min="6" max="6" width="19.21875" style="58" customWidth="1"/>
    <col min="9" max="9" width="10.33203125" customWidth="1"/>
    <col min="10" max="10" width="8.88671875" customWidth="1"/>
    <col min="11" max="11" width="12" customWidth="1"/>
  </cols>
  <sheetData>
    <row r="1" spans="1:11" ht="64.2" customHeight="1" thickBot="1" x14ac:dyDescent="0.35">
      <c r="A1" s="180" t="s">
        <v>38</v>
      </c>
      <c r="B1" s="180" t="s">
        <v>129</v>
      </c>
      <c r="C1" s="181" t="s">
        <v>131</v>
      </c>
      <c r="D1" s="180" t="s">
        <v>130</v>
      </c>
      <c r="E1" s="181" t="s">
        <v>132</v>
      </c>
      <c r="F1" s="180" t="s">
        <v>133</v>
      </c>
      <c r="G1" s="182">
        <v>2018</v>
      </c>
      <c r="H1" s="180" t="s">
        <v>128</v>
      </c>
      <c r="I1" s="186" t="s">
        <v>123</v>
      </c>
      <c r="J1" s="187"/>
      <c r="K1" s="183" t="s">
        <v>122</v>
      </c>
    </row>
    <row r="2" spans="1:11" ht="19.95" customHeight="1" x14ac:dyDescent="0.3">
      <c r="A2" s="141" t="s">
        <v>39</v>
      </c>
      <c r="B2" s="151">
        <f ca="1">COUNTA(INDIRECT("'"&amp;$A2&amp;" "&amp;RIGHT(G$1,2)&amp;"'!A13:A49"))</f>
        <v>21</v>
      </c>
      <c r="C2" s="145">
        <f ca="1">D2/24</f>
        <v>0.42083333333333334</v>
      </c>
      <c r="D2" s="148">
        <f ca="1">INDIRECT("'"&amp;$A2&amp;" "&amp;RIGHT(G$1,2)&amp;"'!I50")</f>
        <v>10.1</v>
      </c>
      <c r="E2" s="145">
        <f ca="1">F2/24</f>
        <v>8.8208333333333329</v>
      </c>
      <c r="F2" s="148">
        <f ca="1">INDIRECT("'"&amp;$A2&amp;" "&amp;RIGHT(G$1,2)&amp;"'!J50")</f>
        <v>211.7</v>
      </c>
      <c r="G2" s="113"/>
      <c r="H2" s="175">
        <f ca="1">INDIRECT("'"&amp;$A2&amp;" "&amp;RIGHT(G$1,2)&amp;"'!W19")</f>
        <v>6</v>
      </c>
      <c r="I2" s="134">
        <v>2016</v>
      </c>
      <c r="J2" s="115">
        <v>0</v>
      </c>
      <c r="K2" s="138">
        <f ca="1">MAX(0,J2-$H$15)</f>
        <v>0</v>
      </c>
    </row>
    <row r="3" spans="1:11" ht="19.95" customHeight="1" x14ac:dyDescent="0.3">
      <c r="A3" s="142" t="s">
        <v>40</v>
      </c>
      <c r="B3" s="152">
        <f t="shared" ref="B3:B13" ca="1" si="0">COUNTA(INDIRECT("'"&amp;$A3&amp;" "&amp;RIGHT(G$1,2)&amp;"'!A13:A49"))</f>
        <v>0</v>
      </c>
      <c r="C3" s="146">
        <f t="shared" ref="C3:C13" ca="1" si="1">D3/24</f>
        <v>0.40833333333333327</v>
      </c>
      <c r="D3" s="149">
        <f t="shared" ref="D3:D13" ca="1" si="2">INDIRECT("'"&amp;$A3&amp;" "&amp;RIGHT(G$1,2)&amp;"'!I50")</f>
        <v>9.7999999999999989</v>
      </c>
      <c r="E3" s="146">
        <f t="shared" ref="E3:E13" ca="1" si="3">F3/24</f>
        <v>7</v>
      </c>
      <c r="F3" s="149">
        <f t="shared" ref="F3:F13" ca="1" si="4">INDIRECT("'"&amp;$A3&amp;" "&amp;RIGHT(G$1,2)&amp;"'!J50")</f>
        <v>168</v>
      </c>
      <c r="G3" s="113"/>
      <c r="H3" s="176">
        <f t="shared" ref="H3:H13" ca="1" si="5">INDIRECT("'"&amp;$A3&amp;" "&amp;RIGHT(G$1,2)&amp;"'!W19")</f>
        <v>0</v>
      </c>
      <c r="I3" s="135">
        <v>2017</v>
      </c>
      <c r="J3" s="116">
        <v>14</v>
      </c>
      <c r="K3" s="139">
        <f ca="1">MAX(0,SUM(J$2:J3)-$H$15-SUM(K$2:K2))</f>
        <v>8</v>
      </c>
    </row>
    <row r="4" spans="1:11" ht="19.95" customHeight="1" x14ac:dyDescent="0.3">
      <c r="A4" s="142" t="s">
        <v>41</v>
      </c>
      <c r="B4" s="152">
        <f t="shared" ca="1" si="0"/>
        <v>0</v>
      </c>
      <c r="C4" s="146">
        <f t="shared" ca="1" si="1"/>
        <v>0</v>
      </c>
      <c r="D4" s="149">
        <f t="shared" ca="1" si="2"/>
        <v>0</v>
      </c>
      <c r="E4" s="146">
        <f t="shared" ca="1" si="3"/>
        <v>0</v>
      </c>
      <c r="F4" s="149">
        <f t="shared" ca="1" si="4"/>
        <v>0</v>
      </c>
      <c r="G4" s="113"/>
      <c r="H4" s="176">
        <f t="shared" ca="1" si="5"/>
        <v>0</v>
      </c>
      <c r="I4" s="135">
        <v>2018</v>
      </c>
      <c r="J4" s="116">
        <v>25</v>
      </c>
      <c r="K4" s="139">
        <f ca="1">MAX(0,SUM(J$2:J4)-$H$15-SUM(K$2:K3))</f>
        <v>25</v>
      </c>
    </row>
    <row r="5" spans="1:11" ht="19.95" customHeight="1" x14ac:dyDescent="0.3">
      <c r="A5" s="142" t="s">
        <v>42</v>
      </c>
      <c r="B5" s="152">
        <f t="shared" ca="1" si="0"/>
        <v>0</v>
      </c>
      <c r="C5" s="146">
        <f t="shared" ca="1" si="1"/>
        <v>0</v>
      </c>
      <c r="D5" s="149">
        <f t="shared" ca="1" si="2"/>
        <v>0</v>
      </c>
      <c r="E5" s="146">
        <f t="shared" ca="1" si="3"/>
        <v>0</v>
      </c>
      <c r="F5" s="149">
        <f t="shared" ca="1" si="4"/>
        <v>0</v>
      </c>
      <c r="G5" s="113"/>
      <c r="H5" s="176">
        <f t="shared" ca="1" si="5"/>
        <v>0</v>
      </c>
      <c r="I5" s="135">
        <v>2019</v>
      </c>
      <c r="J5" s="116">
        <v>0</v>
      </c>
      <c r="K5" s="139">
        <f ca="1">MAX(0,SUM(J$2:J5)-$H$15-SUM(K$2:K4))</f>
        <v>0</v>
      </c>
    </row>
    <row r="6" spans="1:11" ht="19.95" customHeight="1" x14ac:dyDescent="0.3">
      <c r="A6" s="142" t="s">
        <v>43</v>
      </c>
      <c r="B6" s="152">
        <f t="shared" ca="1" si="0"/>
        <v>0</v>
      </c>
      <c r="C6" s="146">
        <f t="shared" ca="1" si="1"/>
        <v>0</v>
      </c>
      <c r="D6" s="149">
        <f t="shared" ca="1" si="2"/>
        <v>0</v>
      </c>
      <c r="E6" s="146">
        <f t="shared" ca="1" si="3"/>
        <v>0</v>
      </c>
      <c r="F6" s="149">
        <f t="shared" ca="1" si="4"/>
        <v>0</v>
      </c>
      <c r="G6" s="113"/>
      <c r="H6" s="176">
        <f t="shared" ca="1" si="5"/>
        <v>0</v>
      </c>
      <c r="I6" s="135">
        <v>2020</v>
      </c>
      <c r="J6" s="116">
        <v>0</v>
      </c>
      <c r="K6" s="139">
        <f ca="1">MAX(0,SUM(J$2:J6)-$H$15-SUM(K$2:K5))</f>
        <v>0</v>
      </c>
    </row>
    <row r="7" spans="1:11" ht="19.95" customHeight="1" x14ac:dyDescent="0.3">
      <c r="A7" s="142" t="s">
        <v>44</v>
      </c>
      <c r="B7" s="152">
        <f t="shared" ca="1" si="0"/>
        <v>2</v>
      </c>
      <c r="C7" s="146">
        <f t="shared" ca="1" si="1"/>
        <v>0</v>
      </c>
      <c r="D7" s="149">
        <f t="shared" ca="1" si="2"/>
        <v>0</v>
      </c>
      <c r="E7" s="146">
        <f t="shared" ca="1" si="3"/>
        <v>0</v>
      </c>
      <c r="F7" s="149">
        <f t="shared" ca="1" si="4"/>
        <v>0</v>
      </c>
      <c r="G7" s="113"/>
      <c r="H7" s="176">
        <f t="shared" ca="1" si="5"/>
        <v>0</v>
      </c>
      <c r="I7" s="135">
        <v>2021</v>
      </c>
      <c r="J7" s="116">
        <v>0</v>
      </c>
      <c r="K7" s="139">
        <f ca="1">MAX(0,SUM(J$2:J7)-$H$15-SUM(K$2:K6))</f>
        <v>0</v>
      </c>
    </row>
    <row r="8" spans="1:11" ht="19.95" customHeight="1" x14ac:dyDescent="0.3">
      <c r="A8" s="142" t="s">
        <v>45</v>
      </c>
      <c r="B8" s="152">
        <f t="shared" ca="1" si="0"/>
        <v>0</v>
      </c>
      <c r="C8" s="146">
        <f t="shared" ca="1" si="1"/>
        <v>0</v>
      </c>
      <c r="D8" s="149">
        <f t="shared" ca="1" si="2"/>
        <v>0</v>
      </c>
      <c r="E8" s="146">
        <f t="shared" ca="1" si="3"/>
        <v>0</v>
      </c>
      <c r="F8" s="149">
        <f t="shared" ca="1" si="4"/>
        <v>0</v>
      </c>
      <c r="G8" s="113"/>
      <c r="H8" s="176">
        <f t="shared" ca="1" si="5"/>
        <v>0</v>
      </c>
      <c r="I8" s="135">
        <v>2022</v>
      </c>
      <c r="J8" s="116">
        <v>0</v>
      </c>
      <c r="K8" s="139">
        <f ca="1">MAX(0,SUM(J$2:J8)-$H$15-SUM(K$2:K7))</f>
        <v>0</v>
      </c>
    </row>
    <row r="9" spans="1:11" ht="19.95" customHeight="1" x14ac:dyDescent="0.3">
      <c r="A9" s="142" t="s">
        <v>46</v>
      </c>
      <c r="B9" s="152">
        <f t="shared" ca="1" si="0"/>
        <v>0</v>
      </c>
      <c r="C9" s="146">
        <f t="shared" ca="1" si="1"/>
        <v>0</v>
      </c>
      <c r="D9" s="149">
        <f t="shared" ca="1" si="2"/>
        <v>0</v>
      </c>
      <c r="E9" s="146">
        <f t="shared" ca="1" si="3"/>
        <v>0</v>
      </c>
      <c r="F9" s="149">
        <f t="shared" ca="1" si="4"/>
        <v>0</v>
      </c>
      <c r="G9" s="113"/>
      <c r="H9" s="176">
        <f t="shared" ca="1" si="5"/>
        <v>0</v>
      </c>
      <c r="I9" s="135">
        <v>2023</v>
      </c>
      <c r="J9" s="116">
        <v>0</v>
      </c>
      <c r="K9" s="139">
        <f ca="1">MAX(0,SUM(J$2:J9)-$H$15-SUM(K$2:K8))</f>
        <v>0</v>
      </c>
    </row>
    <row r="10" spans="1:11" ht="19.95" customHeight="1" x14ac:dyDescent="0.3">
      <c r="A10" s="142" t="s">
        <v>47</v>
      </c>
      <c r="B10" s="152">
        <f t="shared" ca="1" si="0"/>
        <v>0</v>
      </c>
      <c r="C10" s="146">
        <f t="shared" ca="1" si="1"/>
        <v>0</v>
      </c>
      <c r="D10" s="149">
        <f t="shared" ca="1" si="2"/>
        <v>0</v>
      </c>
      <c r="E10" s="146">
        <f t="shared" ca="1" si="3"/>
        <v>0</v>
      </c>
      <c r="F10" s="149">
        <f t="shared" ca="1" si="4"/>
        <v>0</v>
      </c>
      <c r="G10" s="113"/>
      <c r="H10" s="176">
        <f t="shared" ca="1" si="5"/>
        <v>0</v>
      </c>
      <c r="I10" s="135">
        <v>2024</v>
      </c>
      <c r="J10" s="116">
        <v>0</v>
      </c>
      <c r="K10" s="139">
        <f ca="1">MAX(0,SUM(J$2:J10)-$H$15-SUM(K$2:K9))</f>
        <v>0</v>
      </c>
    </row>
    <row r="11" spans="1:11" ht="19.95" customHeight="1" x14ac:dyDescent="0.3">
      <c r="A11" s="142" t="s">
        <v>48</v>
      </c>
      <c r="B11" s="152">
        <f t="shared" ca="1" si="0"/>
        <v>0</v>
      </c>
      <c r="C11" s="146">
        <f t="shared" ca="1" si="1"/>
        <v>0</v>
      </c>
      <c r="D11" s="149">
        <f t="shared" ca="1" si="2"/>
        <v>0</v>
      </c>
      <c r="E11" s="146">
        <f t="shared" ca="1" si="3"/>
        <v>0</v>
      </c>
      <c r="F11" s="149">
        <f t="shared" ca="1" si="4"/>
        <v>0</v>
      </c>
      <c r="G11" s="113"/>
      <c r="H11" s="176">
        <f t="shared" ca="1" si="5"/>
        <v>0</v>
      </c>
      <c r="I11" s="135">
        <v>2025</v>
      </c>
      <c r="J11" s="116">
        <v>0</v>
      </c>
      <c r="K11" s="139">
        <f ca="1">MAX(0,SUM(J$2:J11)-$H$15-SUM(K$2:K10))</f>
        <v>0</v>
      </c>
    </row>
    <row r="12" spans="1:11" ht="19.95" customHeight="1" x14ac:dyDescent="0.3">
      <c r="A12" s="142" t="s">
        <v>49</v>
      </c>
      <c r="B12" s="152">
        <f t="shared" ca="1" si="0"/>
        <v>0</v>
      </c>
      <c r="C12" s="146">
        <f t="shared" ca="1" si="1"/>
        <v>0</v>
      </c>
      <c r="D12" s="149">
        <f t="shared" ca="1" si="2"/>
        <v>0</v>
      </c>
      <c r="E12" s="146">
        <f t="shared" ca="1" si="3"/>
        <v>0</v>
      </c>
      <c r="F12" s="149">
        <f t="shared" ca="1" si="4"/>
        <v>0</v>
      </c>
      <c r="G12" s="113"/>
      <c r="H12" s="176">
        <f t="shared" ca="1" si="5"/>
        <v>0</v>
      </c>
      <c r="I12" s="135">
        <v>2026</v>
      </c>
      <c r="J12" s="116">
        <v>0</v>
      </c>
      <c r="K12" s="139">
        <f ca="1">MAX(0,SUM(J$2:J12)-$H$15-SUM(K$2:K11))</f>
        <v>0</v>
      </c>
    </row>
    <row r="13" spans="1:11" ht="19.95" customHeight="1" thickBot="1" x14ac:dyDescent="0.35">
      <c r="A13" s="142" t="s">
        <v>50</v>
      </c>
      <c r="B13" s="152">
        <f t="shared" ca="1" si="0"/>
        <v>0</v>
      </c>
      <c r="C13" s="146">
        <f t="shared" ca="1" si="1"/>
        <v>0</v>
      </c>
      <c r="D13" s="149">
        <f t="shared" ca="1" si="2"/>
        <v>0</v>
      </c>
      <c r="E13" s="146">
        <f t="shared" ca="1" si="3"/>
        <v>0</v>
      </c>
      <c r="F13" s="149">
        <f t="shared" ca="1" si="4"/>
        <v>0</v>
      </c>
      <c r="G13" s="113"/>
      <c r="H13" s="177">
        <f t="shared" ca="1" si="5"/>
        <v>0</v>
      </c>
      <c r="I13" s="136">
        <v>2027</v>
      </c>
      <c r="J13" s="117">
        <v>0</v>
      </c>
      <c r="K13" s="140">
        <f ca="1">MAX(0,SUM(J$2:J13)-$H$15-SUM(K$2:K12))</f>
        <v>0</v>
      </c>
    </row>
    <row r="14" spans="1:11" ht="3.6" customHeight="1" x14ac:dyDescent="0.3">
      <c r="A14" s="143"/>
      <c r="B14" s="143"/>
      <c r="C14" s="143"/>
      <c r="D14" s="143"/>
      <c r="E14" s="143"/>
      <c r="F14" s="143"/>
      <c r="G14" s="64"/>
      <c r="H14" s="178"/>
      <c r="I14" s="133"/>
      <c r="J14" s="133"/>
      <c r="K14" s="137"/>
    </row>
    <row r="15" spans="1:11" ht="28.05" customHeight="1" thickBot="1" x14ac:dyDescent="0.35">
      <c r="A15" s="144" t="s">
        <v>51</v>
      </c>
      <c r="B15" s="153">
        <f ca="1">SUM(B2:B14)</f>
        <v>23</v>
      </c>
      <c r="C15" s="147">
        <f ca="1">SUM(C2:C13)</f>
        <v>0.82916666666666661</v>
      </c>
      <c r="D15" s="150">
        <f ca="1">SUM(D2:D14)</f>
        <v>19.899999999999999</v>
      </c>
      <c r="E15" s="147">
        <f ca="1">SUM(E2:E13)</f>
        <v>15.820833333333333</v>
      </c>
      <c r="F15" s="150">
        <f ca="1">SUM(F2:F14)</f>
        <v>379.7</v>
      </c>
      <c r="G15" s="114"/>
      <c r="H15" s="179">
        <f ca="1">H2+H3+H4+H5+H6+H7+H8+H9+H10+H11+H12+H13</f>
        <v>6</v>
      </c>
      <c r="I15" s="112"/>
      <c r="J15" s="132">
        <f>J2+J3+J4+J5+J6+J7+J8+J9+J10+J11+J12+J13</f>
        <v>39</v>
      </c>
      <c r="K15" s="120">
        <f ca="1">K2+K3+K4+K5+K6+K7+K8+K9+K10+K11+K12+K13</f>
        <v>33</v>
      </c>
    </row>
    <row r="16" spans="1:11" ht="28.05" customHeight="1" x14ac:dyDescent="0.3">
      <c r="A16" s="61"/>
      <c r="B16" s="62"/>
      <c r="C16" s="62"/>
      <c r="D16" s="63"/>
      <c r="E16" s="63"/>
      <c r="F16" s="63"/>
      <c r="G16" s="64"/>
      <c r="H16" s="64"/>
      <c r="I16" s="112"/>
      <c r="J16" s="112"/>
    </row>
    <row r="21" spans="1:5" ht="32.4" customHeight="1" x14ac:dyDescent="0.3">
      <c r="A21" s="173" t="s">
        <v>162</v>
      </c>
      <c r="B21" s="174" t="s">
        <v>167</v>
      </c>
      <c r="D21" s="173" t="s">
        <v>165</v>
      </c>
      <c r="E21" s="174" t="s">
        <v>167</v>
      </c>
    </row>
    <row r="22" spans="1:5" ht="16.05" customHeight="1" x14ac:dyDescent="0.3">
      <c r="A22" s="172" t="s">
        <v>163</v>
      </c>
      <c r="B22" s="131">
        <f t="shared" ref="B22:B33" ca="1" si="6">INDIRECT("'"&amp;$A2&amp;" "&amp;RIGHT(G$1,2)&amp;"'!W21")</f>
        <v>0</v>
      </c>
      <c r="D22" s="172" t="s">
        <v>163</v>
      </c>
      <c r="E22" s="131">
        <f ca="1">INDIRECT("'"&amp;$A2&amp;" "&amp;RIGHT(G$1,2)&amp;"'!W23")</f>
        <v>0</v>
      </c>
    </row>
    <row r="23" spans="1:5" ht="16.05" customHeight="1" x14ac:dyDescent="0.3">
      <c r="A23" s="172" t="s">
        <v>40</v>
      </c>
      <c r="B23" s="131">
        <f t="shared" ca="1" si="6"/>
        <v>0</v>
      </c>
      <c r="D23" s="172" t="s">
        <v>40</v>
      </c>
      <c r="E23" s="131">
        <f t="shared" ref="E23:E33" ca="1" si="7">INDIRECT("'"&amp;$A3&amp;" "&amp;RIGHT(G$1,2)&amp;"'!W23")</f>
        <v>0</v>
      </c>
    </row>
    <row r="24" spans="1:5" ht="16.05" customHeight="1" x14ac:dyDescent="0.3">
      <c r="A24" s="172" t="s">
        <v>41</v>
      </c>
      <c r="B24" s="131">
        <f t="shared" ca="1" si="6"/>
        <v>0</v>
      </c>
      <c r="D24" s="172" t="s">
        <v>41</v>
      </c>
      <c r="E24" s="131">
        <f t="shared" ca="1" si="7"/>
        <v>0</v>
      </c>
    </row>
    <row r="25" spans="1:5" ht="16.05" customHeight="1" x14ac:dyDescent="0.3">
      <c r="A25" s="172" t="s">
        <v>42</v>
      </c>
      <c r="B25" s="131">
        <f t="shared" ca="1" si="6"/>
        <v>0</v>
      </c>
      <c r="D25" s="172" t="s">
        <v>42</v>
      </c>
      <c r="E25" s="131">
        <f t="shared" ca="1" si="7"/>
        <v>0</v>
      </c>
    </row>
    <row r="26" spans="1:5" ht="16.05" customHeight="1" x14ac:dyDescent="0.3">
      <c r="A26" s="172" t="s">
        <v>43</v>
      </c>
      <c r="B26" s="131">
        <f t="shared" ca="1" si="6"/>
        <v>0</v>
      </c>
      <c r="D26" s="172" t="s">
        <v>43</v>
      </c>
      <c r="E26" s="131">
        <f t="shared" ca="1" si="7"/>
        <v>0</v>
      </c>
    </row>
    <row r="27" spans="1:5" ht="16.05" customHeight="1" x14ac:dyDescent="0.3">
      <c r="A27" s="172" t="s">
        <v>44</v>
      </c>
      <c r="B27" s="131">
        <f t="shared" ca="1" si="6"/>
        <v>0</v>
      </c>
      <c r="D27" s="172" t="s">
        <v>44</v>
      </c>
      <c r="E27" s="131">
        <f t="shared" ca="1" si="7"/>
        <v>0</v>
      </c>
    </row>
    <row r="28" spans="1:5" ht="16.05" customHeight="1" x14ac:dyDescent="0.3">
      <c r="A28" s="172" t="s">
        <v>45</v>
      </c>
      <c r="B28" s="131">
        <f t="shared" ca="1" si="6"/>
        <v>0</v>
      </c>
      <c r="D28" s="172" t="s">
        <v>45</v>
      </c>
      <c r="E28" s="131">
        <f t="shared" ca="1" si="7"/>
        <v>0</v>
      </c>
    </row>
    <row r="29" spans="1:5" ht="16.05" customHeight="1" x14ac:dyDescent="0.3">
      <c r="A29" s="172" t="s">
        <v>46</v>
      </c>
      <c r="B29" s="131">
        <f t="shared" ca="1" si="6"/>
        <v>0</v>
      </c>
      <c r="D29" s="172" t="s">
        <v>46</v>
      </c>
      <c r="E29" s="131">
        <f t="shared" ca="1" si="7"/>
        <v>0</v>
      </c>
    </row>
    <row r="30" spans="1:5" ht="16.05" customHeight="1" x14ac:dyDescent="0.3">
      <c r="A30" s="172" t="s">
        <v>47</v>
      </c>
      <c r="B30" s="131">
        <f t="shared" ca="1" si="6"/>
        <v>0</v>
      </c>
      <c r="D30" s="172" t="s">
        <v>47</v>
      </c>
      <c r="E30" s="131">
        <f t="shared" ca="1" si="7"/>
        <v>0</v>
      </c>
    </row>
    <row r="31" spans="1:5" ht="16.05" customHeight="1" x14ac:dyDescent="0.3">
      <c r="A31" s="172" t="s">
        <v>48</v>
      </c>
      <c r="B31" s="131">
        <f t="shared" ca="1" si="6"/>
        <v>0</v>
      </c>
      <c r="D31" s="172" t="s">
        <v>48</v>
      </c>
      <c r="E31" s="131">
        <f t="shared" ca="1" si="7"/>
        <v>0</v>
      </c>
    </row>
    <row r="32" spans="1:5" ht="16.05" customHeight="1" x14ac:dyDescent="0.3">
      <c r="A32" s="172" t="s">
        <v>49</v>
      </c>
      <c r="B32" s="131">
        <f t="shared" ca="1" si="6"/>
        <v>0</v>
      </c>
      <c r="D32" s="172" t="s">
        <v>49</v>
      </c>
      <c r="E32" s="131">
        <f t="shared" ca="1" si="7"/>
        <v>0</v>
      </c>
    </row>
    <row r="33" spans="1:5" ht="16.05" customHeight="1" x14ac:dyDescent="0.3">
      <c r="A33" s="172" t="s">
        <v>50</v>
      </c>
      <c r="B33" s="131">
        <f t="shared" ca="1" si="6"/>
        <v>0</v>
      </c>
      <c r="D33" s="172" t="s">
        <v>50</v>
      </c>
      <c r="E33" s="131">
        <f t="shared" ca="1" si="7"/>
        <v>0</v>
      </c>
    </row>
    <row r="34" spans="1:5" ht="16.05" customHeight="1" x14ac:dyDescent="0.3"/>
    <row r="35" spans="1:5" ht="16.05" customHeight="1" x14ac:dyDescent="0.3"/>
    <row r="36" spans="1:5" ht="16.05" customHeight="1" x14ac:dyDescent="0.3"/>
  </sheetData>
  <sheetProtection selectLockedCells="1"/>
  <mergeCells count="1">
    <mergeCell ref="I1:J1"/>
  </mergeCells>
  <conditionalFormatting sqref="K2:K13">
    <cfRule type="cellIs" dxfId="324" priority="7" operator="greaterThan">
      <formula>0</formula>
    </cfRule>
    <cfRule type="cellIs" dxfId="323" priority="6" operator="equal">
      <formula>0</formula>
    </cfRule>
  </conditionalFormatting>
  <conditionalFormatting sqref="J2:J13">
    <cfRule type="cellIs" dxfId="322" priority="5" operator="equal">
      <formula>0</formula>
    </cfRule>
  </conditionalFormatting>
  <conditionalFormatting sqref="H2:H13">
    <cfRule type="cellIs" dxfId="321" priority="4" operator="equal">
      <formula>0</formula>
    </cfRule>
  </conditionalFormatting>
  <conditionalFormatting sqref="B22:B33">
    <cfRule type="cellIs" dxfId="320" priority="3" operator="equal">
      <formula>0</formula>
    </cfRule>
  </conditionalFormatting>
  <conditionalFormatting sqref="E22:E33">
    <cfRule type="cellIs" dxfId="319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15 C1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impression">
                <anchor moveWithCells="1" sizeWithCells="1">
                  <from>
                    <xdr:col>1</xdr:col>
                    <xdr:colOff>1813560</xdr:colOff>
                    <xdr:row>16</xdr:row>
                    <xdr:rowOff>0</xdr:rowOff>
                  </from>
                  <to>
                    <xdr:col>3</xdr:col>
                    <xdr:colOff>1409700</xdr:colOff>
                    <xdr:row>19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FFFF00"/>
  </sheetPr>
  <dimension ref="A1:G91"/>
  <sheetViews>
    <sheetView showZeros="0" topLeftCell="A52" workbookViewId="0">
      <selection activeCell="F35" sqref="F35"/>
    </sheetView>
  </sheetViews>
  <sheetFormatPr baseColWidth="10" defaultColWidth="11.5546875" defaultRowHeight="14.4" x14ac:dyDescent="0.3"/>
  <cols>
    <col min="1" max="1" width="21.33203125" style="15" customWidth="1"/>
    <col min="2" max="2" width="28.33203125" style="73" customWidth="1"/>
    <col min="3" max="3" width="17.109375" style="15" customWidth="1"/>
    <col min="4" max="4" width="24.77734375" style="15" customWidth="1"/>
    <col min="5" max="5" width="11.5546875" style="15"/>
    <col min="6" max="6" width="27" style="15" customWidth="1"/>
    <col min="7" max="7" width="24.44140625" style="158" customWidth="1"/>
    <col min="8" max="16384" width="11.5546875" style="15"/>
  </cols>
  <sheetData>
    <row r="1" spans="1:7" x14ac:dyDescent="0.3">
      <c r="A1" s="69">
        <v>2018</v>
      </c>
      <c r="B1" s="154" t="s">
        <v>138</v>
      </c>
      <c r="C1" s="70">
        <v>43101</v>
      </c>
      <c r="D1" s="71">
        <f>IF(WEEKDAY(C1,2)=7,0,C1)</f>
        <v>43101</v>
      </c>
      <c r="F1" s="154" t="s">
        <v>139</v>
      </c>
      <c r="G1" s="156">
        <v>43466</v>
      </c>
    </row>
    <row r="2" spans="1:7" x14ac:dyDescent="0.3">
      <c r="A2" s="72"/>
      <c r="B2" s="154" t="s">
        <v>134</v>
      </c>
      <c r="C2" s="70">
        <v>43189</v>
      </c>
      <c r="D2" s="71">
        <f t="shared" ref="D2:D12" si="0">IF(WEEKDAY(C2,2)=7,0,C2)</f>
        <v>43189</v>
      </c>
      <c r="F2" s="154" t="s">
        <v>136</v>
      </c>
      <c r="G2" s="156">
        <v>43574</v>
      </c>
    </row>
    <row r="3" spans="1:7" x14ac:dyDescent="0.3">
      <c r="A3" s="72"/>
      <c r="B3" s="154" t="s">
        <v>156</v>
      </c>
      <c r="C3" s="70">
        <v>43192</v>
      </c>
      <c r="D3" s="71">
        <f t="shared" si="0"/>
        <v>43192</v>
      </c>
      <c r="F3" s="154" t="s">
        <v>140</v>
      </c>
      <c r="G3" s="156">
        <v>43577</v>
      </c>
    </row>
    <row r="4" spans="1:7" x14ac:dyDescent="0.3">
      <c r="A4" s="72"/>
      <c r="B4" s="154" t="s">
        <v>157</v>
      </c>
      <c r="C4" s="70">
        <v>43230</v>
      </c>
      <c r="D4" s="71">
        <f t="shared" si="0"/>
        <v>43230</v>
      </c>
      <c r="F4" s="154" t="s">
        <v>141</v>
      </c>
      <c r="G4" s="156">
        <v>43615</v>
      </c>
    </row>
    <row r="5" spans="1:7" x14ac:dyDescent="0.3">
      <c r="A5" s="72"/>
      <c r="B5" s="154" t="s">
        <v>158</v>
      </c>
      <c r="C5" s="70">
        <v>43241</v>
      </c>
      <c r="D5" s="71">
        <f t="shared" si="0"/>
        <v>43241</v>
      </c>
      <c r="F5" s="154" t="s">
        <v>142</v>
      </c>
      <c r="G5" s="156">
        <v>43626</v>
      </c>
    </row>
    <row r="6" spans="1:7" x14ac:dyDescent="0.3">
      <c r="A6" s="72"/>
      <c r="B6" s="154" t="s">
        <v>159</v>
      </c>
      <c r="C6" s="70">
        <v>43313</v>
      </c>
      <c r="D6" s="71">
        <f t="shared" si="0"/>
        <v>43313</v>
      </c>
      <c r="F6" s="154" t="s">
        <v>143</v>
      </c>
      <c r="G6" s="156">
        <v>43678</v>
      </c>
    </row>
    <row r="7" spans="1:7" x14ac:dyDescent="0.3">
      <c r="A7" s="72"/>
      <c r="B7" s="154" t="s">
        <v>144</v>
      </c>
      <c r="C7" s="70">
        <v>43349</v>
      </c>
      <c r="D7" s="71">
        <f t="shared" si="0"/>
        <v>43349</v>
      </c>
      <c r="F7" s="154" t="s">
        <v>144</v>
      </c>
      <c r="G7" s="156">
        <v>43713</v>
      </c>
    </row>
    <row r="8" spans="1:7" x14ac:dyDescent="0.3">
      <c r="A8" s="72"/>
      <c r="B8" s="154" t="s">
        <v>160</v>
      </c>
      <c r="C8" s="70">
        <v>43459</v>
      </c>
      <c r="D8" s="71">
        <f t="shared" si="0"/>
        <v>43459</v>
      </c>
      <c r="F8" s="154" t="s">
        <v>145</v>
      </c>
      <c r="G8" s="156">
        <v>43824</v>
      </c>
    </row>
    <row r="9" spans="1:7" x14ac:dyDescent="0.3">
      <c r="A9" s="72"/>
      <c r="B9" s="154" t="s">
        <v>161</v>
      </c>
      <c r="C9" s="70">
        <v>43465</v>
      </c>
      <c r="D9" s="71">
        <f t="shared" si="0"/>
        <v>43465</v>
      </c>
      <c r="F9" s="155" t="s">
        <v>146</v>
      </c>
      <c r="G9" s="157">
        <v>43830</v>
      </c>
    </row>
    <row r="10" spans="1:7" x14ac:dyDescent="0.3">
      <c r="A10" s="72"/>
      <c r="B10" s="154" t="s">
        <v>135</v>
      </c>
      <c r="C10" s="70">
        <v>43466</v>
      </c>
      <c r="D10" s="71">
        <f t="shared" si="0"/>
        <v>43466</v>
      </c>
      <c r="G10" s="157"/>
    </row>
    <row r="11" spans="1:7" x14ac:dyDescent="0.3">
      <c r="A11" s="72"/>
      <c r="B11" s="154" t="s">
        <v>136</v>
      </c>
      <c r="C11" s="70">
        <v>43574</v>
      </c>
      <c r="D11" s="71">
        <f t="shared" si="0"/>
        <v>43574</v>
      </c>
      <c r="G11" s="157"/>
    </row>
    <row r="12" spans="1:7" x14ac:dyDescent="0.3">
      <c r="A12" s="72"/>
      <c r="B12" s="154" t="s">
        <v>137</v>
      </c>
      <c r="C12" s="70">
        <v>43577</v>
      </c>
      <c r="D12" s="71">
        <f t="shared" si="0"/>
        <v>43577</v>
      </c>
      <c r="F12" s="154" t="s">
        <v>147</v>
      </c>
      <c r="G12" s="156">
        <v>43831</v>
      </c>
    </row>
    <row r="13" spans="1:7" x14ac:dyDescent="0.3">
      <c r="F13" s="154" t="s">
        <v>148</v>
      </c>
      <c r="G13" s="156">
        <v>43931</v>
      </c>
    </row>
    <row r="14" spans="1:7" x14ac:dyDescent="0.3">
      <c r="F14" s="154" t="s">
        <v>149</v>
      </c>
      <c r="G14" s="156">
        <v>43934</v>
      </c>
    </row>
    <row r="15" spans="1:7" x14ac:dyDescent="0.3">
      <c r="F15" s="154" t="s">
        <v>150</v>
      </c>
      <c r="G15" s="156">
        <v>43972</v>
      </c>
    </row>
    <row r="16" spans="1:7" x14ac:dyDescent="0.3">
      <c r="F16" s="154" t="s">
        <v>151</v>
      </c>
      <c r="G16" s="156">
        <v>43983</v>
      </c>
    </row>
    <row r="17" spans="1:7" x14ac:dyDescent="0.3">
      <c r="F17" s="154" t="s">
        <v>152</v>
      </c>
      <c r="G17" s="156">
        <v>44044</v>
      </c>
    </row>
    <row r="18" spans="1:7" x14ac:dyDescent="0.3">
      <c r="A18" s="84" t="s">
        <v>110</v>
      </c>
      <c r="B18" s="85">
        <v>0.375</v>
      </c>
      <c r="C18" s="85">
        <v>0.66319444444444442</v>
      </c>
      <c r="F18" s="154" t="s">
        <v>153</v>
      </c>
      <c r="G18" s="156">
        <v>44084</v>
      </c>
    </row>
    <row r="19" spans="1:7" x14ac:dyDescent="0.3">
      <c r="A19" s="74" t="s">
        <v>109</v>
      </c>
      <c r="B19" s="86">
        <v>0.41666666666666669</v>
      </c>
      <c r="C19" s="86">
        <v>0.74930555555555556</v>
      </c>
      <c r="F19" s="154" t="s">
        <v>154</v>
      </c>
      <c r="G19" s="156">
        <v>44190</v>
      </c>
    </row>
    <row r="20" spans="1:7" x14ac:dyDescent="0.3">
      <c r="A20" s="74" t="s">
        <v>52</v>
      </c>
      <c r="B20" s="86">
        <v>0.41666666666666669</v>
      </c>
      <c r="C20" s="86">
        <v>0.65694444444444444</v>
      </c>
      <c r="F20" s="155" t="s">
        <v>155</v>
      </c>
      <c r="G20" s="156">
        <v>44196</v>
      </c>
    </row>
    <row r="22" spans="1:7" ht="22.2" customHeight="1" x14ac:dyDescent="0.3">
      <c r="A22" s="169" t="s">
        <v>95</v>
      </c>
      <c r="B22" s="169" t="s">
        <v>93</v>
      </c>
      <c r="C22" s="169" t="s">
        <v>94</v>
      </c>
      <c r="D22" s="169" t="s">
        <v>112</v>
      </c>
    </row>
    <row r="23" spans="1:7" ht="15.6" x14ac:dyDescent="0.3">
      <c r="A23" s="160" t="s">
        <v>96</v>
      </c>
      <c r="B23" s="76">
        <v>0.75</v>
      </c>
      <c r="C23" s="76">
        <v>0.125</v>
      </c>
      <c r="D23" s="75"/>
    </row>
    <row r="24" spans="1:7" ht="15.6" x14ac:dyDescent="0.3">
      <c r="A24" s="160" t="s">
        <v>55</v>
      </c>
      <c r="B24" s="76">
        <v>0.27083333333333331</v>
      </c>
      <c r="C24" s="76">
        <v>0.77083333333333337</v>
      </c>
      <c r="D24" s="75"/>
    </row>
    <row r="25" spans="1:7" ht="15.6" x14ac:dyDescent="0.3">
      <c r="A25" s="160" t="s">
        <v>56</v>
      </c>
      <c r="B25" s="76">
        <v>0.77083333333333337</v>
      </c>
      <c r="C25" s="76">
        <v>0.27083333333333331</v>
      </c>
      <c r="D25" s="75"/>
    </row>
    <row r="26" spans="1:7" ht="15.6" x14ac:dyDescent="0.3">
      <c r="A26" s="160" t="s">
        <v>57</v>
      </c>
      <c r="B26" s="76">
        <v>0.82291666666666663</v>
      </c>
      <c r="C26" s="76">
        <v>0.28125</v>
      </c>
      <c r="D26" s="75"/>
    </row>
    <row r="27" spans="1:7" ht="15.6" x14ac:dyDescent="0.3">
      <c r="A27" s="160" t="s">
        <v>58</v>
      </c>
      <c r="B27" s="76">
        <v>0.29166666666666669</v>
      </c>
      <c r="C27" s="76">
        <v>0.79166666666666663</v>
      </c>
      <c r="D27" s="75"/>
    </row>
    <row r="28" spans="1:7" ht="15.6" x14ac:dyDescent="0.3">
      <c r="A28" s="160" t="s">
        <v>59</v>
      </c>
      <c r="B28" s="76">
        <v>0.79166666666666663</v>
      </c>
      <c r="C28" s="76">
        <v>0.29166666666666669</v>
      </c>
      <c r="D28" s="75"/>
    </row>
    <row r="29" spans="1:7" ht="15.6" x14ac:dyDescent="0.3">
      <c r="A29" s="160" t="s">
        <v>60</v>
      </c>
      <c r="B29" s="76">
        <v>0.25</v>
      </c>
      <c r="C29" s="76">
        <v>0.75</v>
      </c>
      <c r="D29" s="75"/>
    </row>
    <row r="30" spans="1:7" ht="15.6" x14ac:dyDescent="0.3">
      <c r="A30" s="160" t="s">
        <v>61</v>
      </c>
      <c r="B30" s="76">
        <v>0.75</v>
      </c>
      <c r="C30" s="76">
        <v>0.25</v>
      </c>
      <c r="D30" s="75"/>
    </row>
    <row r="31" spans="1:7" ht="15.6" x14ac:dyDescent="0.3">
      <c r="A31" s="160" t="s">
        <v>62</v>
      </c>
      <c r="B31" s="76">
        <v>0.25</v>
      </c>
      <c r="C31" s="76">
        <v>0.75</v>
      </c>
      <c r="D31" s="75"/>
    </row>
    <row r="32" spans="1:7" ht="15.6" x14ac:dyDescent="0.3">
      <c r="A32" s="160" t="s">
        <v>63</v>
      </c>
      <c r="B32" s="76">
        <v>0.75</v>
      </c>
      <c r="C32" s="76">
        <v>0.25</v>
      </c>
      <c r="D32" s="75"/>
    </row>
    <row r="33" spans="1:4" ht="15.6" x14ac:dyDescent="0.3">
      <c r="A33" s="160" t="s">
        <v>64</v>
      </c>
      <c r="B33" s="76">
        <v>0.22916666666666666</v>
      </c>
      <c r="C33" s="76">
        <v>0.72916666666666663</v>
      </c>
      <c r="D33" s="75"/>
    </row>
    <row r="34" spans="1:4" ht="15.6" x14ac:dyDescent="0.3">
      <c r="A34" s="160" t="s">
        <v>65</v>
      </c>
      <c r="B34" s="76">
        <v>0.72916666666666663</v>
      </c>
      <c r="C34" s="76">
        <v>0.22916666666666666</v>
      </c>
      <c r="D34" s="75"/>
    </row>
    <row r="35" spans="1:4" ht="15.6" x14ac:dyDescent="0.3">
      <c r="A35" s="160" t="s">
        <v>66</v>
      </c>
      <c r="B35" s="76">
        <v>0.83333333333333337</v>
      </c>
      <c r="C35" s="76">
        <v>0.29166666666666669</v>
      </c>
      <c r="D35" s="75"/>
    </row>
    <row r="36" spans="1:4" ht="15.6" x14ac:dyDescent="0.3">
      <c r="A36" s="160" t="s">
        <v>67</v>
      </c>
      <c r="B36" s="76">
        <v>0.25</v>
      </c>
      <c r="C36" s="76">
        <v>0.75</v>
      </c>
      <c r="D36" s="75"/>
    </row>
    <row r="37" spans="1:4" ht="15.6" x14ac:dyDescent="0.3">
      <c r="A37" s="160" t="s">
        <v>68</v>
      </c>
      <c r="B37" s="76">
        <v>0.75</v>
      </c>
      <c r="C37" s="76">
        <v>0.25</v>
      </c>
      <c r="D37" s="75"/>
    </row>
    <row r="38" spans="1:4" ht="15.6" x14ac:dyDescent="0.3">
      <c r="A38" s="160" t="s">
        <v>69</v>
      </c>
      <c r="B38" s="76">
        <v>0.25</v>
      </c>
      <c r="C38" s="76">
        <v>0.75</v>
      </c>
      <c r="D38" s="75"/>
    </row>
    <row r="39" spans="1:4" ht="15.6" x14ac:dyDescent="0.3">
      <c r="A39" s="160" t="s">
        <v>70</v>
      </c>
      <c r="B39" s="76">
        <v>0.75</v>
      </c>
      <c r="C39" s="76">
        <v>0.25</v>
      </c>
      <c r="D39" s="75"/>
    </row>
    <row r="40" spans="1:4" ht="15.6" x14ac:dyDescent="0.3">
      <c r="A40" s="160" t="s">
        <v>71</v>
      </c>
      <c r="B40" s="76">
        <v>0.85416666666666663</v>
      </c>
      <c r="C40" s="76">
        <v>0.3125</v>
      </c>
      <c r="D40" s="75"/>
    </row>
    <row r="41" spans="1:4" ht="15.6" x14ac:dyDescent="0.3">
      <c r="A41" s="160" t="s">
        <v>98</v>
      </c>
      <c r="B41" s="76">
        <v>0.25</v>
      </c>
      <c r="C41" s="76">
        <v>0.75</v>
      </c>
      <c r="D41" s="75"/>
    </row>
    <row r="42" spans="1:4" ht="15.6" x14ac:dyDescent="0.3">
      <c r="A42" s="160" t="s">
        <v>97</v>
      </c>
      <c r="B42" s="76">
        <v>0.27083333333333331</v>
      </c>
      <c r="C42" s="76">
        <v>0.77083333333333337</v>
      </c>
      <c r="D42" s="75"/>
    </row>
    <row r="43" spans="1:4" ht="15.6" x14ac:dyDescent="0.3">
      <c r="A43" s="160" t="s">
        <v>72</v>
      </c>
      <c r="B43" s="76">
        <v>0.8125</v>
      </c>
      <c r="C43" s="76">
        <v>0.27083333333333331</v>
      </c>
      <c r="D43" s="75"/>
    </row>
    <row r="44" spans="1:4" ht="15.6" x14ac:dyDescent="0.3">
      <c r="A44" s="160" t="s">
        <v>73</v>
      </c>
      <c r="B44" s="76">
        <v>0.29166666666666669</v>
      </c>
      <c r="C44" s="76">
        <v>0.79166666666666663</v>
      </c>
      <c r="D44" s="75"/>
    </row>
    <row r="45" spans="1:4" ht="15.6" x14ac:dyDescent="0.3">
      <c r="A45" s="160" t="s">
        <v>74</v>
      </c>
      <c r="B45" s="76">
        <v>0.79166666666666663</v>
      </c>
      <c r="C45" s="76">
        <v>0.29166666666666669</v>
      </c>
      <c r="D45" s="75"/>
    </row>
    <row r="46" spans="1:4" ht="15.6" x14ac:dyDescent="0.3">
      <c r="A46" s="160" t="s">
        <v>75</v>
      </c>
      <c r="B46" s="76">
        <v>0.72916666666666663</v>
      </c>
      <c r="C46" s="76">
        <v>0.1875</v>
      </c>
      <c r="D46" s="75"/>
    </row>
    <row r="47" spans="1:4" ht="15.6" x14ac:dyDescent="0.3">
      <c r="A47" s="160" t="s">
        <v>76</v>
      </c>
      <c r="B47" s="76">
        <v>0.8125</v>
      </c>
      <c r="C47" s="76">
        <v>0.27083333333333331</v>
      </c>
      <c r="D47" s="75"/>
    </row>
    <row r="48" spans="1:4" ht="15.6" x14ac:dyDescent="0.3">
      <c r="A48" s="160" t="s">
        <v>77</v>
      </c>
      <c r="B48" s="76">
        <v>0.72916666666666663</v>
      </c>
      <c r="C48" s="76">
        <v>0.1875</v>
      </c>
      <c r="D48" s="75"/>
    </row>
    <row r="49" spans="1:4" ht="15.6" x14ac:dyDescent="0.3">
      <c r="A49" s="160" t="s">
        <v>78</v>
      </c>
      <c r="B49" s="76">
        <v>0.77083333333333337</v>
      </c>
      <c r="C49" s="76">
        <v>0.22916666666666666</v>
      </c>
      <c r="D49" s="75"/>
    </row>
    <row r="50" spans="1:4" ht="15.6" x14ac:dyDescent="0.3">
      <c r="A50" s="160" t="s">
        <v>79</v>
      </c>
      <c r="B50" s="76">
        <v>0.75</v>
      </c>
      <c r="C50" s="76">
        <v>0.20833333333333334</v>
      </c>
      <c r="D50" s="75"/>
    </row>
    <row r="51" spans="1:4" ht="15.6" x14ac:dyDescent="0.3">
      <c r="A51" s="160" t="s">
        <v>80</v>
      </c>
      <c r="B51" s="76">
        <v>0.80208333333333337</v>
      </c>
      <c r="C51" s="76">
        <v>0.26041666666666669</v>
      </c>
      <c r="D51" s="75"/>
    </row>
    <row r="52" spans="1:4" ht="15.6" x14ac:dyDescent="0.3">
      <c r="A52" s="160" t="s">
        <v>81</v>
      </c>
      <c r="B52" s="76">
        <v>0.86458333333333337</v>
      </c>
      <c r="C52" s="76">
        <v>0.32291666666666669</v>
      </c>
      <c r="D52" s="75"/>
    </row>
    <row r="53" spans="1:4" ht="15.6" x14ac:dyDescent="0.3">
      <c r="A53" s="160" t="s">
        <v>100</v>
      </c>
      <c r="B53" s="76">
        <v>0.25</v>
      </c>
      <c r="C53" s="76">
        <v>0.75</v>
      </c>
      <c r="D53" s="75"/>
    </row>
    <row r="54" spans="1:4" ht="15.6" x14ac:dyDescent="0.3">
      <c r="A54" s="160" t="s">
        <v>99</v>
      </c>
      <c r="B54" s="76">
        <v>0.27083333333333331</v>
      </c>
      <c r="C54" s="76">
        <v>0.77083333333333337</v>
      </c>
      <c r="D54" s="75"/>
    </row>
    <row r="55" spans="1:4" ht="15.6" x14ac:dyDescent="0.3">
      <c r="A55" s="160" t="s">
        <v>82</v>
      </c>
      <c r="B55" s="76">
        <v>0.75</v>
      </c>
      <c r="C55" s="76">
        <v>0.20833333333333334</v>
      </c>
      <c r="D55" s="75"/>
    </row>
    <row r="56" spans="1:4" ht="15.6" x14ac:dyDescent="0.3">
      <c r="A56" s="160" t="s">
        <v>126</v>
      </c>
      <c r="B56" s="76">
        <v>0.71875</v>
      </c>
      <c r="C56" s="76">
        <v>9.375E-2</v>
      </c>
      <c r="D56" s="75"/>
    </row>
    <row r="57" spans="1:4" ht="15.6" x14ac:dyDescent="0.3">
      <c r="A57" s="160" t="s">
        <v>127</v>
      </c>
      <c r="B57" s="76">
        <v>0.80208333333333337</v>
      </c>
      <c r="C57" s="76">
        <v>0.26041666666666669</v>
      </c>
      <c r="D57" s="75"/>
    </row>
    <row r="58" spans="1:4" ht="15.6" x14ac:dyDescent="0.3">
      <c r="A58" s="160" t="s">
        <v>83</v>
      </c>
      <c r="B58" s="76">
        <v>0.67708333333333337</v>
      </c>
      <c r="C58" s="76">
        <v>5.2083333333333336E-2</v>
      </c>
      <c r="D58" s="75"/>
    </row>
    <row r="59" spans="1:4" ht="15.6" x14ac:dyDescent="0.3">
      <c r="A59" s="160" t="s">
        <v>84</v>
      </c>
      <c r="B59" s="76">
        <v>0.83333333333333337</v>
      </c>
      <c r="C59" s="76">
        <v>0.29166666666666669</v>
      </c>
      <c r="D59" s="75"/>
    </row>
    <row r="60" spans="1:4" ht="15.6" x14ac:dyDescent="0.3">
      <c r="A60" s="160" t="s">
        <v>85</v>
      </c>
      <c r="B60" s="76">
        <v>0.72916666666666663</v>
      </c>
      <c r="C60" s="76">
        <v>0.1875</v>
      </c>
      <c r="D60" s="75"/>
    </row>
    <row r="61" spans="1:4" ht="15.6" x14ac:dyDescent="0.3">
      <c r="A61" s="160" t="s">
        <v>101</v>
      </c>
      <c r="B61" s="76">
        <v>0.70833333333333337</v>
      </c>
      <c r="C61" s="76">
        <v>0.16666666666666666</v>
      </c>
      <c r="D61" s="75"/>
    </row>
    <row r="62" spans="1:4" ht="15.6" x14ac:dyDescent="0.3">
      <c r="A62" s="160" t="s">
        <v>102</v>
      </c>
      <c r="B62" s="76">
        <v>0.6875</v>
      </c>
      <c r="C62" s="76">
        <v>0.14583333333333334</v>
      </c>
      <c r="D62" s="75"/>
    </row>
    <row r="63" spans="1:4" ht="15.6" x14ac:dyDescent="0.3">
      <c r="A63" s="160" t="s">
        <v>86</v>
      </c>
      <c r="B63" s="76">
        <v>0.75</v>
      </c>
      <c r="C63" s="76">
        <v>8.3333333333333329E-2</v>
      </c>
      <c r="D63" s="75"/>
    </row>
    <row r="64" spans="1:4" ht="15.6" x14ac:dyDescent="0.3">
      <c r="A64" s="160" t="s">
        <v>87</v>
      </c>
      <c r="B64" s="76">
        <v>0.73958333333333337</v>
      </c>
      <c r="C64" s="76">
        <v>0.10416666666666667</v>
      </c>
      <c r="D64" s="75"/>
    </row>
    <row r="65" spans="1:4" ht="15.6" x14ac:dyDescent="0.3">
      <c r="A65" s="160" t="s">
        <v>88</v>
      </c>
      <c r="B65" s="76">
        <v>0.70833333333333337</v>
      </c>
      <c r="C65" s="76">
        <v>0.16666666666666666</v>
      </c>
      <c r="D65" s="75"/>
    </row>
    <row r="66" spans="1:4" ht="15.6" x14ac:dyDescent="0.3">
      <c r="A66" s="161" t="s">
        <v>89</v>
      </c>
      <c r="B66" s="78">
        <v>0.82291666666666663</v>
      </c>
      <c r="C66" s="78">
        <v>0.28125</v>
      </c>
      <c r="D66" s="77"/>
    </row>
    <row r="67" spans="1:4" ht="15.6" x14ac:dyDescent="0.3">
      <c r="A67" s="161" t="s">
        <v>90</v>
      </c>
      <c r="B67" s="78">
        <v>0.70833333333333337</v>
      </c>
      <c r="C67" s="78">
        <v>4.1666666666666664E-2</v>
      </c>
      <c r="D67" s="77"/>
    </row>
    <row r="68" spans="1:4" ht="15.6" x14ac:dyDescent="0.3">
      <c r="A68" s="161" t="s">
        <v>125</v>
      </c>
      <c r="B68" s="78">
        <v>0.33333333333333331</v>
      </c>
      <c r="C68" s="78">
        <v>0.75</v>
      </c>
      <c r="D68" s="77"/>
    </row>
    <row r="69" spans="1:4" ht="15.6" x14ac:dyDescent="0.3">
      <c r="A69" s="162" t="s">
        <v>54</v>
      </c>
      <c r="B69" s="89">
        <v>0.41666666666666669</v>
      </c>
      <c r="C69" s="89">
        <v>0.74930555555555556</v>
      </c>
      <c r="D69" s="88" t="s">
        <v>111</v>
      </c>
    </row>
    <row r="70" spans="1:4" ht="15.6" x14ac:dyDescent="0.3">
      <c r="A70" s="162" t="s">
        <v>103</v>
      </c>
      <c r="B70" s="89">
        <v>0.375</v>
      </c>
      <c r="C70" s="89">
        <v>0.61527777777777781</v>
      </c>
      <c r="D70" s="88" t="s">
        <v>111</v>
      </c>
    </row>
    <row r="71" spans="1:4" ht="15.6" x14ac:dyDescent="0.3">
      <c r="A71" s="162" t="s">
        <v>110</v>
      </c>
      <c r="B71" s="89">
        <v>0.375</v>
      </c>
      <c r="C71" s="89">
        <v>0.66319444444444442</v>
      </c>
      <c r="D71" s="88" t="s">
        <v>111</v>
      </c>
    </row>
    <row r="72" spans="1:4" ht="15.6" x14ac:dyDescent="0.3">
      <c r="A72" s="162" t="s">
        <v>109</v>
      </c>
      <c r="B72" s="89">
        <v>0.375</v>
      </c>
      <c r="C72" s="89">
        <v>0.70763888888888893</v>
      </c>
      <c r="D72" s="88" t="s">
        <v>111</v>
      </c>
    </row>
    <row r="73" spans="1:4" ht="15.6" x14ac:dyDescent="0.3">
      <c r="A73" s="163" t="s">
        <v>104</v>
      </c>
      <c r="B73" s="89"/>
      <c r="C73" s="89"/>
      <c r="D73" s="109" t="s">
        <v>111</v>
      </c>
    </row>
    <row r="74" spans="1:4" ht="15.6" x14ac:dyDescent="0.3">
      <c r="A74" s="162" t="s">
        <v>105</v>
      </c>
      <c r="B74" s="89"/>
      <c r="C74" s="89"/>
      <c r="D74" s="109" t="s">
        <v>111</v>
      </c>
    </row>
    <row r="75" spans="1:4" ht="15.6" x14ac:dyDescent="0.3">
      <c r="A75" s="162" t="s">
        <v>106</v>
      </c>
      <c r="B75" s="89"/>
      <c r="C75" s="89"/>
      <c r="D75" s="109" t="s">
        <v>111</v>
      </c>
    </row>
    <row r="76" spans="1:4" ht="15.6" x14ac:dyDescent="0.3">
      <c r="A76" s="164" t="s">
        <v>107</v>
      </c>
      <c r="B76" s="165">
        <v>0.33333333333333331</v>
      </c>
      <c r="C76" s="165">
        <v>0.375</v>
      </c>
      <c r="D76" s="166" t="s">
        <v>111</v>
      </c>
    </row>
    <row r="77" spans="1:4" ht="15.6" x14ac:dyDescent="0.3">
      <c r="A77" s="164" t="s">
        <v>108</v>
      </c>
      <c r="B77" s="165"/>
      <c r="C77" s="165"/>
      <c r="D77" s="166" t="s">
        <v>111</v>
      </c>
    </row>
    <row r="78" spans="1:4" ht="15.6" x14ac:dyDescent="0.3">
      <c r="A78" s="164" t="s">
        <v>124</v>
      </c>
      <c r="B78" s="165">
        <v>0.375</v>
      </c>
      <c r="C78" s="165">
        <v>0.61527777777777781</v>
      </c>
      <c r="D78" s="166" t="s">
        <v>111</v>
      </c>
    </row>
    <row r="79" spans="1:4" x14ac:dyDescent="0.3">
      <c r="A79" s="167"/>
      <c r="B79" s="168"/>
      <c r="C79" s="167"/>
      <c r="D79" s="167"/>
    </row>
    <row r="80" spans="1:4" x14ac:dyDescent="0.3">
      <c r="A80" s="167"/>
      <c r="B80" s="168"/>
      <c r="C80" s="167"/>
      <c r="D80" s="167"/>
    </row>
    <row r="81" spans="1:4" x14ac:dyDescent="0.3">
      <c r="A81" s="167"/>
      <c r="B81" s="168"/>
      <c r="C81" s="167"/>
      <c r="D81" s="167"/>
    </row>
    <row r="82" spans="1:4" x14ac:dyDescent="0.3">
      <c r="A82" s="167"/>
      <c r="B82" s="168"/>
      <c r="C82" s="167"/>
      <c r="D82" s="167"/>
    </row>
    <row r="83" spans="1:4" x14ac:dyDescent="0.3">
      <c r="A83" s="167"/>
      <c r="B83" s="168"/>
      <c r="C83" s="167"/>
      <c r="D83" s="167"/>
    </row>
    <row r="84" spans="1:4" x14ac:dyDescent="0.3">
      <c r="A84" s="167"/>
      <c r="B84" s="168"/>
      <c r="C84" s="167"/>
      <c r="D84" s="167"/>
    </row>
    <row r="85" spans="1:4" x14ac:dyDescent="0.3">
      <c r="A85" s="167"/>
      <c r="B85" s="168"/>
      <c r="C85" s="167"/>
      <c r="D85" s="167"/>
    </row>
    <row r="86" spans="1:4" x14ac:dyDescent="0.3">
      <c r="A86" s="167"/>
      <c r="B86" s="168"/>
      <c r="C86" s="167"/>
      <c r="D86" s="167"/>
    </row>
    <row r="87" spans="1:4" x14ac:dyDescent="0.3">
      <c r="A87" s="167"/>
      <c r="B87" s="168"/>
      <c r="C87" s="167"/>
      <c r="D87" s="167"/>
    </row>
    <row r="88" spans="1:4" x14ac:dyDescent="0.3">
      <c r="A88" s="167"/>
      <c r="B88" s="168"/>
      <c r="C88" s="167"/>
      <c r="D88" s="167"/>
    </row>
    <row r="89" spans="1:4" x14ac:dyDescent="0.3">
      <c r="A89" s="167"/>
      <c r="B89" s="168"/>
      <c r="C89" s="167"/>
      <c r="D89" s="167"/>
    </row>
    <row r="90" spans="1:4" x14ac:dyDescent="0.3">
      <c r="A90" s="167"/>
      <c r="B90" s="168"/>
      <c r="C90" s="167"/>
      <c r="D90" s="167"/>
    </row>
    <row r="91" spans="1:4" x14ac:dyDescent="0.3">
      <c r="A91" s="167"/>
      <c r="B91" s="168"/>
      <c r="C91" s="167"/>
      <c r="D91" s="167"/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00B050"/>
  </sheetPr>
  <dimension ref="A1:B4"/>
  <sheetViews>
    <sheetView workbookViewId="0">
      <selection activeCell="F10" sqref="F10"/>
    </sheetView>
  </sheetViews>
  <sheetFormatPr baseColWidth="10" defaultRowHeight="14.4" x14ac:dyDescent="0.3"/>
  <cols>
    <col min="1" max="1" width="21.77734375" customWidth="1"/>
  </cols>
  <sheetData>
    <row r="1" spans="1:2" x14ac:dyDescent="0.3">
      <c r="A1" t="s">
        <v>12</v>
      </c>
      <c r="B1" s="7">
        <v>0.95833333333333337</v>
      </c>
    </row>
    <row r="2" spans="1:2" x14ac:dyDescent="0.3">
      <c r="A2" t="s">
        <v>13</v>
      </c>
      <c r="B2" s="8">
        <v>1.25</v>
      </c>
    </row>
    <row r="3" spans="1:2" x14ac:dyDescent="0.3">
      <c r="A3" t="s">
        <v>14</v>
      </c>
      <c r="B3" s="7">
        <v>0.25</v>
      </c>
    </row>
    <row r="4" spans="1:2" x14ac:dyDescent="0.3">
      <c r="A4" t="s">
        <v>15</v>
      </c>
      <c r="B4" s="7">
        <v>0.95833333333333337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init">
                <anchor moveWithCells="1" sizeWithCells="1">
                  <from>
                    <xdr:col>0</xdr:col>
                    <xdr:colOff>342900</xdr:colOff>
                    <xdr:row>7</xdr:row>
                    <xdr:rowOff>7620</xdr:rowOff>
                  </from>
                  <to>
                    <xdr:col>3</xdr:col>
                    <xdr:colOff>746760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C60"/>
  <sheetViews>
    <sheetView topLeftCell="I1" zoomScale="90" zoomScaleNormal="90" zoomScalePageLayoutView="55" workbookViewId="0">
      <selection activeCell="Z27" sqref="Z27"/>
    </sheetView>
  </sheetViews>
  <sheetFormatPr baseColWidth="10" defaultRowHeight="14.4" x14ac:dyDescent="0.3"/>
  <cols>
    <col min="1" max="1" width="19.109375" style="128" customWidth="1"/>
    <col min="2" max="2" width="13.777343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109375" style="11" customWidth="1"/>
    <col min="11" max="11" width="11.21875" style="11" hidden="1" customWidth="1"/>
    <col min="12" max="12" width="14.44140625" hidden="1" customWidth="1"/>
    <col min="13" max="13" width="12.109375" hidden="1" customWidth="1"/>
    <col min="14" max="14" width="20.6640625" hidden="1" customWidth="1"/>
    <col min="15" max="15" width="17.6640625" hidden="1" customWidth="1"/>
    <col min="16" max="16" width="21.88671875" hidden="1" customWidth="1"/>
    <col min="17" max="17" width="15" hidden="1" customWidth="1"/>
    <col min="18" max="18" width="21.77734375" hidden="1" customWidth="1"/>
    <col min="19" max="19" width="15" hidden="1" customWidth="1"/>
    <col min="20" max="20" width="20.109375" hidden="1" customWidth="1"/>
    <col min="21" max="21" width="11.5546875" hidden="1" customWidth="1"/>
    <col min="22" max="22" width="28.5546875" customWidth="1"/>
    <col min="23" max="63" width="15.77734375" customWidth="1"/>
  </cols>
  <sheetData>
    <row r="1" spans="1:29" ht="15.6" customHeight="1" x14ac:dyDescent="0.3">
      <c r="A1" s="188"/>
      <c r="B1" s="188"/>
      <c r="C1" s="12"/>
      <c r="D1" s="12"/>
      <c r="E1" s="13"/>
      <c r="F1" s="13"/>
      <c r="G1" s="13"/>
      <c r="H1" s="194" t="s">
        <v>91</v>
      </c>
      <c r="I1" s="194"/>
      <c r="J1" s="194"/>
      <c r="K1" s="83"/>
      <c r="L1" s="12"/>
      <c r="M1" s="12"/>
      <c r="N1" s="12"/>
      <c r="O1" s="12"/>
      <c r="P1" s="15"/>
      <c r="Q1" s="15"/>
      <c r="R1" s="15"/>
      <c r="S1" s="15"/>
      <c r="T1" s="15"/>
    </row>
    <row r="2" spans="1:29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9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  <c r="V3" s="101"/>
      <c r="W3" s="101"/>
      <c r="X3" s="101"/>
      <c r="Y3" s="101"/>
      <c r="Z3" s="101"/>
      <c r="AA3" s="101"/>
      <c r="AB3" s="101"/>
      <c r="AC3" s="101"/>
    </row>
    <row r="4" spans="1:29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  <c r="V4" s="101"/>
      <c r="W4" s="101"/>
      <c r="X4" s="101"/>
      <c r="Y4" s="101"/>
      <c r="Z4" s="101"/>
      <c r="AA4" s="101"/>
      <c r="AB4" s="101"/>
      <c r="AC4" s="101"/>
    </row>
    <row r="5" spans="1:29" ht="19.8" customHeight="1" x14ac:dyDescent="0.3">
      <c r="A5" s="122" t="s">
        <v>37</v>
      </c>
      <c r="B5" s="79"/>
      <c r="C5" s="17" t="s">
        <v>35</v>
      </c>
      <c r="D5" s="191"/>
      <c r="E5" s="192"/>
      <c r="F5" s="192"/>
      <c r="G5" s="193" t="s">
        <v>21</v>
      </c>
      <c r="H5" s="193"/>
      <c r="I5" s="87" t="str">
        <f ca="1">MID(CELL("filename",A1),FIND("]",CELL("filename",A1))+1,99)</f>
        <v>Janvier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  <c r="V5" s="101"/>
      <c r="W5" s="101"/>
      <c r="X5" s="101"/>
      <c r="Y5" s="101"/>
      <c r="Z5" s="101"/>
      <c r="AA5" s="101"/>
      <c r="AB5" s="101"/>
      <c r="AC5" s="101"/>
    </row>
    <row r="6" spans="1:29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  <c r="V6" s="101"/>
      <c r="W6" s="101"/>
      <c r="X6" s="101"/>
      <c r="Y6" s="101"/>
      <c r="Z6" s="101"/>
      <c r="AA6" s="101"/>
      <c r="AB6" s="101"/>
      <c r="AC6" s="101"/>
    </row>
    <row r="7" spans="1:29" ht="15" thickBot="1" x14ac:dyDescent="0.35">
      <c r="A7" s="123" t="s">
        <v>22</v>
      </c>
      <c r="B7" s="80"/>
      <c r="C7" s="21" t="s">
        <v>23</v>
      </c>
      <c r="D7" s="21"/>
      <c r="E7" s="80"/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  <c r="V7" s="101"/>
      <c r="W7" s="101"/>
      <c r="X7" s="101"/>
      <c r="Y7" s="101"/>
      <c r="Z7" s="101"/>
      <c r="AA7" s="101"/>
      <c r="AB7" s="101"/>
      <c r="AC7" s="101"/>
    </row>
    <row r="8" spans="1:29" ht="9.6" customHeight="1" x14ac:dyDescent="0.3">
      <c r="A8" s="124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  <c r="V8" s="101"/>
      <c r="W8" s="101"/>
      <c r="X8" s="101"/>
      <c r="Y8" s="101"/>
      <c r="Z8" s="101"/>
      <c r="AA8" s="101"/>
      <c r="AB8" s="101"/>
      <c r="AC8" s="101"/>
    </row>
    <row r="9" spans="1:29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-38.699999999999989</v>
      </c>
      <c r="V9" s="104" t="s">
        <v>113</v>
      </c>
      <c r="W9" s="105">
        <v>173</v>
      </c>
      <c r="X9" s="101"/>
      <c r="Y9" s="103"/>
      <c r="Z9" s="101"/>
      <c r="AB9" s="101"/>
      <c r="AC9" s="101"/>
    </row>
    <row r="10" spans="1:29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-38.699999999999989</v>
      </c>
      <c r="V10" s="104" t="s">
        <v>114</v>
      </c>
      <c r="W10" s="105">
        <f>J50</f>
        <v>211.7</v>
      </c>
      <c r="X10" s="101"/>
      <c r="Y10" s="101"/>
      <c r="Z10" s="101"/>
      <c r="AB10" s="101"/>
      <c r="AC10" s="101"/>
    </row>
    <row r="11" spans="1:29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9" s="6" customFormat="1" ht="43.2" hidden="1" x14ac:dyDescent="0.3">
      <c r="A12" s="125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5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9" ht="15.6" x14ac:dyDescent="0.3">
      <c r="A13" s="126">
        <v>43132</v>
      </c>
      <c r="B13" s="130" t="s">
        <v>61</v>
      </c>
      <c r="C13" s="90">
        <v>0.75</v>
      </c>
      <c r="D13" s="90">
        <v>0.25</v>
      </c>
      <c r="E13" s="3">
        <v>4.1666666666666664E-2</v>
      </c>
      <c r="F13" s="3">
        <v>8.3333333333333329E-2</v>
      </c>
      <c r="G13" s="3">
        <v>8.3333333333333329E-2</v>
      </c>
      <c r="H13" s="3">
        <v>0.125</v>
      </c>
      <c r="I13" s="47">
        <f>0.1*(H_Janv[[#This Row],[Heures de nuit]]+IF(H_Janv[[#This Row],[majoration dim &amp; JF]]="non",0,H_Janv[[#This Row],[heures jour dimanche]]+H_Janv[[#This Row],[heures jour fériés]]))</f>
        <v>0.7</v>
      </c>
      <c r="J13" s="48">
        <f>(MOD(H_Janv[[#This Row],[Fin]]-H_Janv[[#This Row],[début]],1)-MOD(H_Janv[[#This Row],[PNP Fin]]-H_Janv[[#This Row],[PNP Début]],1))*24</f>
        <v>11</v>
      </c>
      <c r="K13" s="48">
        <f>IFERROR(VLOOKUP(H_Janv[[#This Row],[Service]],Codes[],4,0),"")</f>
        <v>0</v>
      </c>
      <c r="L13" s="30">
        <f>IF(H_Janv[[#This Row],[PNP Début]]=0,0,IF(H_Janv[[#This Row],[PNP Début]]&lt;H_Janv[[#This Row],[début]],1,0)+H_Janv[[#This Row],[PNP Début]])</f>
        <v>1.0833333333333333</v>
      </c>
      <c r="M13" s="30">
        <f>IF(H_Janv[[#This Row],[PNP Fin]]=0,0,IF(H_Janv[[#This Row],[PNP Fin]]&lt;H_Janv[[#This Row],[début]],1,0)+H_Janv[[#This Row],[PNP Fin]])</f>
        <v>1.125</v>
      </c>
      <c r="N13" s="30">
        <f>IF(H_Janv[[#This Row],[Fin]]&lt;H_Janv[[#This Row],[début]],1,0)+H_Janv[[#This Row],[Fin]]</f>
        <v>1.25</v>
      </c>
      <c r="O13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3" s="3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3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3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3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3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3" s="101"/>
      <c r="W13" s="101"/>
      <c r="X13" s="101"/>
      <c r="Y13" s="101"/>
      <c r="Z13" s="101"/>
    </row>
    <row r="14" spans="1:29" x14ac:dyDescent="0.3">
      <c r="A14" s="126">
        <v>43133</v>
      </c>
      <c r="B14" s="1" t="s">
        <v>61</v>
      </c>
      <c r="C14" s="90">
        <v>0.75</v>
      </c>
      <c r="D14" s="90">
        <v>0.25</v>
      </c>
      <c r="E14" s="3">
        <v>4.1666666666666664E-2</v>
      </c>
      <c r="F14" s="3">
        <v>8.3333333333333329E-2</v>
      </c>
      <c r="G14" s="3">
        <v>8.3333333333333329E-2</v>
      </c>
      <c r="H14" s="3">
        <v>0.125</v>
      </c>
      <c r="I14" s="47">
        <f>0.1*(H_Janv[[#This Row],[Heures de nuit]]+IF(H_Janv[[#This Row],[majoration dim &amp; JF]]="non",0,H_Janv[[#This Row],[heures jour dimanche]]+H_Janv[[#This Row],[heures jour fériés]]))</f>
        <v>0.7</v>
      </c>
      <c r="J14" s="48">
        <f>(MOD(H_Janv[[#This Row],[Fin]]-H_Janv[[#This Row],[début]],1)-MOD(H_Janv[[#This Row],[PNP Fin]]-H_Janv[[#This Row],[PNP Début]],1))*24</f>
        <v>11</v>
      </c>
      <c r="K14" s="48">
        <f>IFERROR(VLOOKUP(H_Janv[[#This Row],[Service]],Codes[],4,0),"")</f>
        <v>0</v>
      </c>
      <c r="L14" s="30">
        <f>IF(H_Janv[[#This Row],[PNP Début]]=0,0,IF(H_Janv[[#This Row],[PNP Début]]&lt;H_Janv[[#This Row],[début]],1,0)+H_Janv[[#This Row],[PNP Début]])</f>
        <v>1.0833333333333333</v>
      </c>
      <c r="M14" s="30">
        <f>IF(H_Janv[[#This Row],[PNP Fin]]=0,0,IF(H_Janv[[#This Row],[PNP Fin]]&lt;H_Janv[[#This Row],[début]],1,0)+H_Janv[[#This Row],[PNP Fin]])</f>
        <v>1.125</v>
      </c>
      <c r="N14" s="30">
        <f>IF(H_Janv[[#This Row],[Fin]]&lt;H_Janv[[#This Row],[début]],1,0)+H_Janv[[#This Row],[Fin]]</f>
        <v>1.25</v>
      </c>
      <c r="O14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4" s="3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4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4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4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4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4" s="101"/>
      <c r="W14" s="101"/>
      <c r="X14" s="101"/>
      <c r="Y14" s="101"/>
      <c r="Z14" s="101"/>
    </row>
    <row r="15" spans="1:29" x14ac:dyDescent="0.3">
      <c r="A15" s="126">
        <v>43134</v>
      </c>
      <c r="B15" s="1" t="s">
        <v>61</v>
      </c>
      <c r="C15" s="2">
        <v>0.75</v>
      </c>
      <c r="D15" s="2">
        <v>0.25</v>
      </c>
      <c r="E15" s="3">
        <v>4.1666666666666664E-2</v>
      </c>
      <c r="F15" s="3">
        <v>8.3333333333333329E-2</v>
      </c>
      <c r="G15" s="3">
        <v>8.3333333333333329E-2</v>
      </c>
      <c r="H15" s="3">
        <v>0.125</v>
      </c>
      <c r="I15" s="47">
        <f>0.1*(H_Janv[[#This Row],[Heures de nuit]]+IF(H_Janv[[#This Row],[majoration dim &amp; JF]]="non",0,H_Janv[[#This Row],[heures jour dimanche]]+H_Janv[[#This Row],[heures jour fériés]]))</f>
        <v>0.7</v>
      </c>
      <c r="J15" s="48">
        <f>(MOD(H_Janv[[#This Row],[Fin]]-H_Janv[[#This Row],[début]],1)-MOD(H_Janv[[#This Row],[PNP Fin]]-H_Janv[[#This Row],[PNP Début]],1))*24</f>
        <v>11</v>
      </c>
      <c r="K15" s="48">
        <f>IFERROR(VLOOKUP(H_Janv[[#This Row],[Service]],Codes[],4,0),"")</f>
        <v>0</v>
      </c>
      <c r="L15" s="30">
        <f>IF(H_Janv[[#This Row],[PNP Début]]=0,0,IF(H_Janv[[#This Row],[PNP Début]]&lt;H_Janv[[#This Row],[début]],1,0)+H_Janv[[#This Row],[PNP Début]])</f>
        <v>1.0833333333333333</v>
      </c>
      <c r="M15" s="30">
        <f>IF(H_Janv[[#This Row],[PNP Fin]]=0,0,IF(H_Janv[[#This Row],[PNP Fin]]&lt;H_Janv[[#This Row],[début]],1,0)+H_Janv[[#This Row],[PNP Fin]])</f>
        <v>1.125</v>
      </c>
      <c r="N15" s="30">
        <f>IF(H_Janv[[#This Row],[Fin]]&lt;H_Janv[[#This Row],[début]],1,0)+H_Janv[[#This Row],[Fin]]</f>
        <v>1.25</v>
      </c>
      <c r="O15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5" s="3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5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5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5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5" s="32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9" x14ac:dyDescent="0.3">
      <c r="A16" s="126">
        <v>43135</v>
      </c>
      <c r="B16" s="1" t="s">
        <v>61</v>
      </c>
      <c r="C16" s="2">
        <v>0.75</v>
      </c>
      <c r="D16" s="2">
        <v>0.25</v>
      </c>
      <c r="E16" s="3">
        <v>4.1666666666666664E-2</v>
      </c>
      <c r="F16" s="3">
        <v>8.3333333333333329E-2</v>
      </c>
      <c r="G16" s="3">
        <v>8.3333333333333329E-2</v>
      </c>
      <c r="H16" s="3">
        <v>0.125</v>
      </c>
      <c r="I16" s="47">
        <f>0.1*(H_Janv[[#This Row],[Heures de nuit]]+IF(H_Janv[[#This Row],[majoration dim &amp; JF]]="non",0,H_Janv[[#This Row],[heures jour dimanche]]+H_Janv[[#This Row],[heures jour fériés]]))</f>
        <v>1.2000000000000002</v>
      </c>
      <c r="J16" s="48">
        <f>(MOD(H_Janv[[#This Row],[Fin]]-H_Janv[[#This Row],[début]],1)-MOD(H_Janv[[#This Row],[PNP Fin]]-H_Janv[[#This Row],[PNP Début]],1))*24</f>
        <v>11</v>
      </c>
      <c r="K16" s="48">
        <f>IFERROR(VLOOKUP(H_Janv[[#This Row],[Service]],Codes[],4,0),"")</f>
        <v>0</v>
      </c>
      <c r="L16" s="30">
        <f>IF(H_Janv[[#This Row],[PNP Début]]=0,0,IF(H_Janv[[#This Row],[PNP Début]]&lt;H_Janv[[#This Row],[début]],1,0)+H_Janv[[#This Row],[PNP Début]])</f>
        <v>1.0833333333333333</v>
      </c>
      <c r="M16" s="30">
        <f>IF(H_Janv[[#This Row],[PNP Fin]]=0,0,IF(H_Janv[[#This Row],[PNP Fin]]&lt;H_Janv[[#This Row],[début]],1,0)+H_Janv[[#This Row],[PNP Fin]])</f>
        <v>1.125</v>
      </c>
      <c r="N16" s="34">
        <f>IF(H_Janv[[#This Row],[Fin]]&lt;H_Janv[[#This Row],[début]],1,0)+H_Janv[[#This Row],[Fin]]</f>
        <v>1.25</v>
      </c>
      <c r="O16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6" s="35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6" s="35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5.0000000000000009</v>
      </c>
      <c r="R16" s="3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5.0000000000000009</v>
      </c>
      <c r="S16" s="36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6" s="36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6" s="104" t="s">
        <v>116</v>
      </c>
      <c r="W16" s="106">
        <v>10</v>
      </c>
      <c r="X16" s="105">
        <f>I50</f>
        <v>10.1</v>
      </c>
      <c r="Y16" s="228">
        <f>IF(U9&lt;0,0,IF(U9&lt;&gt;"",U10,""))</f>
        <v>0</v>
      </c>
      <c r="Z16" s="105">
        <f>W16+X16-Y16</f>
        <v>20.100000000000001</v>
      </c>
    </row>
    <row r="17" spans="1:26" x14ac:dyDescent="0.3">
      <c r="A17" s="126">
        <v>43136</v>
      </c>
      <c r="B17" s="1" t="s">
        <v>61</v>
      </c>
      <c r="C17" s="2">
        <v>0.75</v>
      </c>
      <c r="D17" s="2">
        <v>0.25</v>
      </c>
      <c r="E17" s="3">
        <v>4.1666666666666664E-2</v>
      </c>
      <c r="F17" s="3">
        <v>8.3333333333333329E-2</v>
      </c>
      <c r="G17" s="3">
        <v>8.3333333333333329E-2</v>
      </c>
      <c r="H17" s="3">
        <v>0.125</v>
      </c>
      <c r="I17" s="47">
        <f>0.1*(H_Janv[[#This Row],[Heures de nuit]]+IF(H_Janv[[#This Row],[majoration dim &amp; JF]]="non",0,H_Janv[[#This Row],[heures jour dimanche]]+H_Janv[[#This Row],[heures jour fériés]]))</f>
        <v>0.7</v>
      </c>
      <c r="J17" s="48">
        <f>(MOD(H_Janv[[#This Row],[Fin]]-H_Janv[[#This Row],[début]],1)-MOD(H_Janv[[#This Row],[PNP Fin]]-H_Janv[[#This Row],[PNP Début]],1))*24</f>
        <v>11</v>
      </c>
      <c r="K17" s="96">
        <f>IFERROR(VLOOKUP(H_Janv[[#This Row],[Service]],Codes[],4,0),"")</f>
        <v>0</v>
      </c>
      <c r="L17" s="39">
        <f>IF(H_Janv[[#This Row],[PNP Début]]=0,0,IF(H_Janv[[#This Row],[PNP Début]]&lt;H_Janv[[#This Row],[début]],1,0)+H_Janv[[#This Row],[PNP Début]])</f>
        <v>1.0833333333333333</v>
      </c>
      <c r="M17" s="40">
        <f>IF(H_Janv[[#This Row],[PNP Fin]]=0,0,IF(H_Janv[[#This Row],[PNP Fin]]&lt;H_Janv[[#This Row],[début]],1,0)+H_Janv[[#This Row],[PNP Fin]])</f>
        <v>1.125</v>
      </c>
      <c r="N17" s="40">
        <f>IF(H_Janv[[#This Row],[Fin]]&lt;H_Janv[[#This Row],[début]],1,0)+H_Janv[[#This Row],[Fin]]</f>
        <v>1.25</v>
      </c>
      <c r="O17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7" s="4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7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7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7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7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7" s="101"/>
      <c r="W17" s="101"/>
      <c r="X17" s="101"/>
      <c r="Y17" s="101"/>
      <c r="Z17" s="101"/>
    </row>
    <row r="18" spans="1:26" ht="15" thickBot="1" x14ac:dyDescent="0.35">
      <c r="A18" s="126">
        <v>43137</v>
      </c>
      <c r="B18" s="1" t="s">
        <v>61</v>
      </c>
      <c r="C18" s="2">
        <v>0.75</v>
      </c>
      <c r="D18" s="2">
        <v>0.25</v>
      </c>
      <c r="E18" s="3">
        <v>4.1666666666666664E-2</v>
      </c>
      <c r="F18" s="3">
        <v>8.3333333333333329E-2</v>
      </c>
      <c r="G18" s="3">
        <v>8.3333333333333329E-2</v>
      </c>
      <c r="H18" s="3">
        <v>0.125</v>
      </c>
      <c r="I18" s="47">
        <f>0.1*(H_Janv[[#This Row],[Heures de nuit]]+IF(H_Janv[[#This Row],[majoration dim &amp; JF]]="non",0,H_Janv[[#This Row],[heures jour dimanche]]+H_Janv[[#This Row],[heures jour fériés]]))</f>
        <v>0.7</v>
      </c>
      <c r="J18" s="48">
        <f>(MOD(H_Janv[[#This Row],[Fin]]-H_Janv[[#This Row],[début]],1)-MOD(H_Janv[[#This Row],[PNP Fin]]-H_Janv[[#This Row],[PNP Début]],1))*24</f>
        <v>11</v>
      </c>
      <c r="K18" s="96">
        <f>IFERROR(VLOOKUP(H_Janv[[#This Row],[Service]],Codes[],4,0),"")</f>
        <v>0</v>
      </c>
      <c r="L18" s="39">
        <f>IF(H_Janv[[#This Row],[PNP Début]]=0,0,IF(H_Janv[[#This Row],[PNP Début]]&lt;H_Janv[[#This Row],[début]],1,0)+H_Janv[[#This Row],[PNP Début]])</f>
        <v>1.0833333333333333</v>
      </c>
      <c r="M18" s="40">
        <f>IF(H_Janv[[#This Row],[PNP Fin]]=0,0,IF(H_Janv[[#This Row],[PNP Fin]]&lt;H_Janv[[#This Row],[début]],1,0)+H_Janv[[#This Row],[PNP Fin]])</f>
        <v>1.125</v>
      </c>
      <c r="N18" s="40">
        <f>IF(H_Janv[[#This Row],[Fin]]&lt;H_Janv[[#This Row],[début]],1,0)+H_Janv[[#This Row],[Fin]]</f>
        <v>1.25</v>
      </c>
      <c r="O18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8" s="4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8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8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8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8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8" s="101"/>
      <c r="W18" s="101"/>
      <c r="X18" s="101"/>
      <c r="Y18" s="101"/>
      <c r="Z18" s="101"/>
    </row>
    <row r="19" spans="1:26" ht="15" thickBot="1" x14ac:dyDescent="0.35">
      <c r="A19" s="126">
        <v>43138</v>
      </c>
      <c r="B19" s="1" t="s">
        <v>61</v>
      </c>
      <c r="C19" s="2">
        <v>0.75</v>
      </c>
      <c r="D19" s="2">
        <v>0.25</v>
      </c>
      <c r="E19" s="3">
        <v>4.1666666666666664E-2</v>
      </c>
      <c r="F19" s="3">
        <v>8.3333333333333329E-2</v>
      </c>
      <c r="G19" s="3">
        <v>8.3333333333333329E-2</v>
      </c>
      <c r="H19" s="3">
        <v>0.125</v>
      </c>
      <c r="I19" s="47">
        <f>0.1*(H_Janv[[#This Row],[Heures de nuit]]+IF(H_Janv[[#This Row],[majoration dim &amp; JF]]="non",0,H_Janv[[#This Row],[heures jour dimanche]]+H_Janv[[#This Row],[heures jour fériés]]))</f>
        <v>0.7</v>
      </c>
      <c r="J19" s="48">
        <f>(MOD(H_Janv[[#This Row],[Fin]]-H_Janv[[#This Row],[début]],1)-MOD(H_Janv[[#This Row],[PNP Fin]]-H_Janv[[#This Row],[PNP Début]],1))*24</f>
        <v>11</v>
      </c>
      <c r="K19" s="96">
        <f>IFERROR(VLOOKUP(H_Janv[[#This Row],[Service]],Codes[],4,0),"")</f>
        <v>0</v>
      </c>
      <c r="L19" s="39">
        <f>IF(H_Janv[[#This Row],[PNP Début]]=0,0,IF(H_Janv[[#This Row],[PNP Début]]&lt;H_Janv[[#This Row],[début]],1,0)+H_Janv[[#This Row],[PNP Début]])</f>
        <v>1.0833333333333333</v>
      </c>
      <c r="M19" s="40">
        <f>IF(H_Janv[[#This Row],[PNP Fin]]=0,0,IF(H_Janv[[#This Row],[PNP Fin]]&lt;H_Janv[[#This Row],[début]],1,0)+H_Janv[[#This Row],[PNP Fin]])</f>
        <v>1.125</v>
      </c>
      <c r="N19" s="40">
        <f>IF(H_Janv[[#This Row],[Fin]]&lt;H_Janv[[#This Row],[début]],1,0)+H_Janv[[#This Row],[Fin]]</f>
        <v>1.25</v>
      </c>
      <c r="O19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19" s="4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19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19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19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19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19" s="118" t="s">
        <v>121</v>
      </c>
      <c r="W19" s="119">
        <f>COUNTIF(B13:B49,"*Vacances*")</f>
        <v>6</v>
      </c>
      <c r="X19" s="101"/>
      <c r="Y19" s="101"/>
      <c r="Z19" s="101"/>
    </row>
    <row r="20" spans="1:26" ht="15" thickBot="1" x14ac:dyDescent="0.35">
      <c r="A20" s="126">
        <v>43139</v>
      </c>
      <c r="B20" s="1" t="s">
        <v>61</v>
      </c>
      <c r="C20" s="2">
        <v>0.75</v>
      </c>
      <c r="D20" s="2">
        <v>0.25</v>
      </c>
      <c r="E20" s="3">
        <v>4.1666666666666664E-2</v>
      </c>
      <c r="F20" s="3">
        <v>8.3333333333333329E-2</v>
      </c>
      <c r="G20" s="3">
        <v>8.3333333333333329E-2</v>
      </c>
      <c r="H20" s="3">
        <v>0.125</v>
      </c>
      <c r="I20" s="47">
        <f>0.1*(H_Janv[[#This Row],[Heures de nuit]]+IF(H_Janv[[#This Row],[majoration dim &amp; JF]]="non",0,H_Janv[[#This Row],[heures jour dimanche]]+H_Janv[[#This Row],[heures jour fériés]]))</f>
        <v>0.7</v>
      </c>
      <c r="J20" s="48">
        <f>(MOD(H_Janv[[#This Row],[Fin]]-H_Janv[[#This Row],[début]],1)-MOD(H_Janv[[#This Row],[PNP Fin]]-H_Janv[[#This Row],[PNP Début]],1))*24</f>
        <v>11</v>
      </c>
      <c r="K20" s="96">
        <f>IFERROR(VLOOKUP(H_Janv[[#This Row],[Service]],Codes[],4,0),"")</f>
        <v>0</v>
      </c>
      <c r="L20" s="39">
        <f>IF(H_Janv[[#This Row],[PNP Début]]=0,0,IF(H_Janv[[#This Row],[PNP Début]]&lt;H_Janv[[#This Row],[début]],1,0)+H_Janv[[#This Row],[PNP Début]])</f>
        <v>1.0833333333333333</v>
      </c>
      <c r="M20" s="40">
        <f>IF(H_Janv[[#This Row],[PNP Fin]]=0,0,IF(H_Janv[[#This Row],[PNP Fin]]&lt;H_Janv[[#This Row],[début]],1,0)+H_Janv[[#This Row],[PNP Fin]])</f>
        <v>1.125</v>
      </c>
      <c r="N20" s="40">
        <f>IF(H_Janv[[#This Row],[Fin]]&lt;H_Janv[[#This Row],[début]],1,0)+H_Janv[[#This Row],[Fin]]</f>
        <v>1.25</v>
      </c>
      <c r="O20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0" s="4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0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0" s="4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0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0" s="4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20" s="11"/>
      <c r="W20" s="11"/>
    </row>
    <row r="21" spans="1:26" ht="15" thickBot="1" x14ac:dyDescent="0.35">
      <c r="A21" s="126">
        <v>43140</v>
      </c>
      <c r="B21" s="1" t="s">
        <v>61</v>
      </c>
      <c r="C21" s="2">
        <v>0.75</v>
      </c>
      <c r="D21" s="2">
        <v>0.25</v>
      </c>
      <c r="E21" s="3">
        <v>4.1666666666666664E-2</v>
      </c>
      <c r="F21" s="3">
        <v>8.3333333333333329E-2</v>
      </c>
      <c r="G21" s="3">
        <v>8.3333333333333329E-2</v>
      </c>
      <c r="H21" s="3">
        <v>0.125</v>
      </c>
      <c r="I21" s="47">
        <f>0.1*(H_Janv[[#This Row],[Heures de nuit]]+IF(H_Janv[[#This Row],[majoration dim &amp; JF]]="non",0,H_Janv[[#This Row],[heures jour dimanche]]+H_Janv[[#This Row],[heures jour fériés]]))</f>
        <v>0.7</v>
      </c>
      <c r="J21" s="48">
        <f>(MOD(H_Janv[[#This Row],[Fin]]-H_Janv[[#This Row],[début]],1)-MOD(H_Janv[[#This Row],[PNP Fin]]-H_Janv[[#This Row],[PNP Début]],1))*24</f>
        <v>11</v>
      </c>
      <c r="K21" s="97">
        <f>IFERROR(VLOOKUP(H_Janv[[#This Row],[Service]],Codes[],4,0),"")</f>
        <v>0</v>
      </c>
      <c r="L21" s="44">
        <f>IF(H_Janv[[#This Row],[PNP Début]]=0,0,IF(H_Janv[[#This Row],[PNP Début]]&lt;H_Janv[[#This Row],[début]],1,0)+H_Janv[[#This Row],[PNP Début]])</f>
        <v>1.0833333333333333</v>
      </c>
      <c r="M21" s="45">
        <f>IF(H_Janv[[#This Row],[PNP Fin]]=0,0,IF(H_Janv[[#This Row],[PNP Fin]]&lt;H_Janv[[#This Row],[début]],1,0)+H_Janv[[#This Row],[PNP Fin]])</f>
        <v>1.125</v>
      </c>
      <c r="N21" s="45">
        <f>IF(H_Janv[[#This Row],[Fin]]&lt;H_Janv[[#This Row],[début]],1,0)+H_Janv[[#This Row],[Fin]]</f>
        <v>1.25</v>
      </c>
      <c r="O21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1" s="46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1" s="46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1" s="46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1" s="46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1" s="46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21" s="118" t="s">
        <v>164</v>
      </c>
      <c r="W21" s="119">
        <f>COUNTIF(B13:B49,"*récuperations*")</f>
        <v>0</v>
      </c>
    </row>
    <row r="22" spans="1:26" ht="15" thickBot="1" x14ac:dyDescent="0.35">
      <c r="A22" s="126">
        <v>43141</v>
      </c>
      <c r="B22" s="1" t="s">
        <v>61</v>
      </c>
      <c r="C22" s="2">
        <v>0.75</v>
      </c>
      <c r="D22" s="2">
        <v>0.25</v>
      </c>
      <c r="E22" s="3">
        <v>4.1666666666666664E-2</v>
      </c>
      <c r="F22" s="3">
        <v>8.3333333333333329E-2</v>
      </c>
      <c r="G22" s="3">
        <v>8.3333333333333329E-2</v>
      </c>
      <c r="H22" s="3">
        <v>0.125</v>
      </c>
      <c r="I22" s="47">
        <f>0.1*(H_Janv[[#This Row],[Heures de nuit]]+IF(H_Janv[[#This Row],[majoration dim &amp; JF]]="non",0,H_Janv[[#This Row],[heures jour dimanche]]+H_Janv[[#This Row],[heures jour fériés]]))</f>
        <v>0.7</v>
      </c>
      <c r="J22" s="48">
        <f>(MOD(H_Janv[[#This Row],[Fin]]-H_Janv[[#This Row],[début]],1)-MOD(H_Janv[[#This Row],[PNP Fin]]-H_Janv[[#This Row],[PNP Début]],1))*24</f>
        <v>11</v>
      </c>
      <c r="K22" s="96">
        <f>IFERROR(VLOOKUP(H_Janv[[#This Row],[Service]],Codes[],4,0),"")</f>
        <v>0</v>
      </c>
      <c r="L22" s="49">
        <f>IF(H_Janv[[#This Row],[PNP Début]]=0,0,IF(H_Janv[[#This Row],[PNP Début]]&lt;H_Janv[[#This Row],[début]],1,0)+H_Janv[[#This Row],[PNP Début]])</f>
        <v>1.0833333333333333</v>
      </c>
      <c r="M22" s="50">
        <f>IF(H_Janv[[#This Row],[PNP Fin]]=0,0,IF(H_Janv[[#This Row],[PNP Fin]]&lt;H_Janv[[#This Row],[début]],1,0)+H_Janv[[#This Row],[PNP Fin]])</f>
        <v>1.125</v>
      </c>
      <c r="N22" s="50">
        <f>IF(H_Janv[[#This Row],[Fin]]&lt;H_Janv[[#This Row],[début]],1,0)+H_Janv[[#This Row],[Fin]]</f>
        <v>1.25</v>
      </c>
      <c r="O22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2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22" s="58"/>
      <c r="W22" s="58"/>
    </row>
    <row r="23" spans="1:26" ht="15" thickBot="1" x14ac:dyDescent="0.35">
      <c r="A23" s="126">
        <v>43142</v>
      </c>
      <c r="B23" s="1" t="s">
        <v>61</v>
      </c>
      <c r="C23" s="2">
        <v>0.75</v>
      </c>
      <c r="D23" s="2">
        <v>0.25</v>
      </c>
      <c r="E23" s="3">
        <v>4.1666666666666664E-2</v>
      </c>
      <c r="F23" s="3">
        <v>8.3333333333333329E-2</v>
      </c>
      <c r="G23" s="3">
        <v>8.3333333333333329E-2</v>
      </c>
      <c r="H23" s="3">
        <v>0.125</v>
      </c>
      <c r="I23" s="47">
        <f>0.1*(H_Janv[[#This Row],[Heures de nuit]]+IF(H_Janv[[#This Row],[majoration dim &amp; JF]]="non",0,H_Janv[[#This Row],[heures jour dimanche]]+H_Janv[[#This Row],[heures jour fériés]]))</f>
        <v>1.2000000000000002</v>
      </c>
      <c r="J23" s="48">
        <f>(MOD(H_Janv[[#This Row],[Fin]]-H_Janv[[#This Row],[début]],1)-MOD(H_Janv[[#This Row],[PNP Fin]]-H_Janv[[#This Row],[PNP Début]],1))*24</f>
        <v>11</v>
      </c>
      <c r="K23" s="96">
        <f>IFERROR(VLOOKUP(H_Janv[[#This Row],[Service]],Codes[],4,0),"")</f>
        <v>0</v>
      </c>
      <c r="L23" s="49">
        <f>IF(H_Janv[[#This Row],[PNP Début]]=0,0,IF(H_Janv[[#This Row],[PNP Début]]&lt;H_Janv[[#This Row],[début]],1,0)+H_Janv[[#This Row],[PNP Début]])</f>
        <v>1.0833333333333333</v>
      </c>
      <c r="M23" s="50">
        <f>IF(H_Janv[[#This Row],[PNP Fin]]=0,0,IF(H_Janv[[#This Row],[PNP Fin]]&lt;H_Janv[[#This Row],[début]],1,0)+H_Janv[[#This Row],[PNP Fin]])</f>
        <v>1.125</v>
      </c>
      <c r="N23" s="50">
        <f>IF(H_Janv[[#This Row],[Fin]]&lt;H_Janv[[#This Row],[début]],1,0)+H_Janv[[#This Row],[Fin]]</f>
        <v>1.25</v>
      </c>
      <c r="O23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3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5.0000000000000009</v>
      </c>
      <c r="R2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5.0000000000000009</v>
      </c>
      <c r="S2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6" ht="14.4" customHeight="1" x14ac:dyDescent="0.3">
      <c r="A24" s="126">
        <v>43143</v>
      </c>
      <c r="B24" s="1" t="s">
        <v>61</v>
      </c>
      <c r="C24" s="2">
        <v>0.75</v>
      </c>
      <c r="D24" s="2">
        <v>0.25</v>
      </c>
      <c r="E24" s="3">
        <v>4.1666666666666664E-2</v>
      </c>
      <c r="F24" s="3">
        <v>8.3333333333333329E-2</v>
      </c>
      <c r="G24" s="3">
        <v>8.3333333333333329E-2</v>
      </c>
      <c r="H24" s="3">
        <v>0.125</v>
      </c>
      <c r="I24" s="47">
        <f>0.1*(H_Janv[[#This Row],[Heures de nuit]]+IF(H_Janv[[#This Row],[majoration dim &amp; JF]]="non",0,H_Janv[[#This Row],[heures jour dimanche]]+H_Janv[[#This Row],[heures jour fériés]]))</f>
        <v>0.7</v>
      </c>
      <c r="J24" s="48">
        <f>(MOD(H_Janv[[#This Row],[Fin]]-H_Janv[[#This Row],[début]],1)-MOD(H_Janv[[#This Row],[PNP Fin]]-H_Janv[[#This Row],[PNP Début]],1))*24</f>
        <v>11</v>
      </c>
      <c r="K24" s="96">
        <f>IFERROR(VLOOKUP(H_Janv[[#This Row],[Service]],Codes[],4,0),"")</f>
        <v>0</v>
      </c>
      <c r="L24" s="49">
        <f>IF(H_Janv[[#This Row],[PNP Début]]=0,0,IF(H_Janv[[#This Row],[PNP Début]]&lt;H_Janv[[#This Row],[début]],1,0)+H_Janv[[#This Row],[PNP Début]])</f>
        <v>1.0833333333333333</v>
      </c>
      <c r="M24" s="50">
        <f>IF(H_Janv[[#This Row],[PNP Fin]]=0,0,IF(H_Janv[[#This Row],[PNP Fin]]&lt;H_Janv[[#This Row],[début]],1,0)+H_Janv[[#This Row],[PNP Fin]])</f>
        <v>1.125</v>
      </c>
      <c r="N24" s="50">
        <f>IF(H_Janv[[#This Row],[Fin]]&lt;H_Janv[[#This Row],[début]],1,0)+H_Janv[[#This Row],[Fin]]</f>
        <v>1.25</v>
      </c>
      <c r="O24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4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25" spans="1:26" ht="14.4" customHeight="1" x14ac:dyDescent="0.3">
      <c r="A25" s="126">
        <v>43144</v>
      </c>
      <c r="B25" s="1" t="s">
        <v>61</v>
      </c>
      <c r="C25" s="2">
        <v>0.75</v>
      </c>
      <c r="D25" s="2">
        <v>0.25</v>
      </c>
      <c r="E25" s="3">
        <v>4.1666666666666664E-2</v>
      </c>
      <c r="F25" s="3">
        <v>8.3333333333333329E-2</v>
      </c>
      <c r="G25" s="3">
        <v>8.3333333333333329E-2</v>
      </c>
      <c r="H25" s="3">
        <v>0.125</v>
      </c>
      <c r="I25" s="47">
        <f>0.1*(H_Janv[[#This Row],[Heures de nuit]]+IF(H_Janv[[#This Row],[majoration dim &amp; JF]]="non",0,H_Janv[[#This Row],[heures jour dimanche]]+H_Janv[[#This Row],[heures jour fériés]]))</f>
        <v>0.7</v>
      </c>
      <c r="J25" s="48">
        <f>(MOD(H_Janv[[#This Row],[Fin]]-H_Janv[[#This Row],[début]],1)-MOD(H_Janv[[#This Row],[PNP Fin]]-H_Janv[[#This Row],[PNP Début]],1))*24</f>
        <v>11</v>
      </c>
      <c r="K25" s="96">
        <f>IFERROR(VLOOKUP(H_Janv[[#This Row],[Service]],Codes[],4,0),"")</f>
        <v>0</v>
      </c>
      <c r="L25" s="49">
        <f>IF(H_Janv[[#This Row],[PNP Début]]=0,0,IF(H_Janv[[#This Row],[PNP Début]]&lt;H_Janv[[#This Row],[début]],1,0)+H_Janv[[#This Row],[PNP Début]])</f>
        <v>1.0833333333333333</v>
      </c>
      <c r="M25" s="50">
        <f>IF(H_Janv[[#This Row],[PNP Fin]]=0,0,IF(H_Janv[[#This Row],[PNP Fin]]&lt;H_Janv[[#This Row],[début]],1,0)+H_Janv[[#This Row],[PNP Fin]])</f>
        <v>1.125</v>
      </c>
      <c r="N25" s="50">
        <f>IF(H_Janv[[#This Row],[Fin]]&lt;H_Janv[[#This Row],[début]],1,0)+H_Janv[[#This Row],[Fin]]</f>
        <v>1.25</v>
      </c>
      <c r="O25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6.9999999999999991</v>
      </c>
      <c r="P25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5.9999999999999973</v>
      </c>
      <c r="Q2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26" spans="1:26" ht="14.4" customHeight="1" x14ac:dyDescent="0.3">
      <c r="A26" s="126">
        <v>43145</v>
      </c>
      <c r="B26" s="1" t="s">
        <v>60</v>
      </c>
      <c r="C26" s="2">
        <v>0.25</v>
      </c>
      <c r="D26" s="2">
        <v>0.75</v>
      </c>
      <c r="E26" s="3"/>
      <c r="F26" s="3"/>
      <c r="G26" s="3"/>
      <c r="H26" s="3"/>
      <c r="I26" s="47">
        <f>0.1*(H_Janv[[#This Row],[Heures de nuit]]+IF(H_Janv[[#This Row],[majoration dim &amp; JF]]="non",0,H_Janv[[#This Row],[heures jour dimanche]]+H_Janv[[#This Row],[heures jour fériés]]))</f>
        <v>0</v>
      </c>
      <c r="J26" s="48">
        <f>(MOD(H_Janv[[#This Row],[Fin]]-H_Janv[[#This Row],[début]],1)-MOD(H_Janv[[#This Row],[PNP Fin]]-H_Janv[[#This Row],[PNP Début]],1))*24</f>
        <v>12</v>
      </c>
      <c r="K26" s="96">
        <f>IFERROR(VLOOKUP(H_Janv[[#This Row],[Service]],Codes[],4,0),"")</f>
        <v>0</v>
      </c>
      <c r="L26" s="49">
        <f>IF(H_Janv[[#This Row],[PNP Début]]=0,0,IF(H_Janv[[#This Row],[PNP Début]]&lt;H_Janv[[#This Row],[début]],1,0)+H_Janv[[#This Row],[PNP Début]])</f>
        <v>0</v>
      </c>
      <c r="M26" s="50">
        <f>IF(H_Janv[[#This Row],[PNP Fin]]=0,0,IF(H_Janv[[#This Row],[PNP Fin]]&lt;H_Janv[[#This Row],[début]],1,0)+H_Janv[[#This Row],[PNP Fin]])</f>
        <v>0</v>
      </c>
      <c r="N26" s="50">
        <f>IF(H_Janv[[#This Row],[Fin]]&lt;H_Janv[[#This Row],[début]],1,0)+H_Janv[[#This Row],[Fin]]</f>
        <v>0.75</v>
      </c>
      <c r="O26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26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2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27" spans="1:26" ht="14.4" customHeight="1" x14ac:dyDescent="0.3">
      <c r="A27" s="126">
        <v>43146</v>
      </c>
      <c r="B27" s="1" t="s">
        <v>60</v>
      </c>
      <c r="C27" s="2">
        <v>0.25</v>
      </c>
      <c r="D27" s="2">
        <v>0.75</v>
      </c>
      <c r="E27" s="3"/>
      <c r="F27" s="3"/>
      <c r="G27" s="3"/>
      <c r="H27" s="3"/>
      <c r="I27" s="47">
        <f>0.1*(H_Janv[[#This Row],[Heures de nuit]]+IF(H_Janv[[#This Row],[majoration dim &amp; JF]]="non",0,H_Janv[[#This Row],[heures jour dimanche]]+H_Janv[[#This Row],[heures jour fériés]]))</f>
        <v>0</v>
      </c>
      <c r="J27" s="48">
        <f>(MOD(H_Janv[[#This Row],[Fin]]-H_Janv[[#This Row],[début]],1)-MOD(H_Janv[[#This Row],[PNP Fin]]-H_Janv[[#This Row],[PNP Début]],1))*24</f>
        <v>12</v>
      </c>
      <c r="K27" s="96">
        <f>IFERROR(VLOOKUP(H_Janv[[#This Row],[Service]],Codes[],4,0),"")</f>
        <v>0</v>
      </c>
      <c r="L27" s="49">
        <f>IF(H_Janv[[#This Row],[PNP Début]]=0,0,IF(H_Janv[[#This Row],[PNP Début]]&lt;H_Janv[[#This Row],[début]],1,0)+H_Janv[[#This Row],[PNP Début]])</f>
        <v>0</v>
      </c>
      <c r="M27" s="50">
        <f>IF(H_Janv[[#This Row],[PNP Fin]]=0,0,IF(H_Janv[[#This Row],[PNP Fin]]&lt;H_Janv[[#This Row],[début]],1,0)+H_Janv[[#This Row],[PNP Fin]])</f>
        <v>0</v>
      </c>
      <c r="N27" s="50">
        <f>IF(H_Janv[[#This Row],[Fin]]&lt;H_Janv[[#This Row],[début]],1,0)+H_Janv[[#This Row],[Fin]]</f>
        <v>0.75</v>
      </c>
      <c r="O27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27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2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28" spans="1:26" ht="14.4" customHeight="1" x14ac:dyDescent="0.3">
      <c r="A28" s="126">
        <v>43101</v>
      </c>
      <c r="B28" s="1" t="s">
        <v>110</v>
      </c>
      <c r="C28" s="2">
        <v>0.375</v>
      </c>
      <c r="D28" s="2">
        <v>0.66319444444444442</v>
      </c>
      <c r="E28" s="3"/>
      <c r="F28" s="3"/>
      <c r="G28" s="3"/>
      <c r="H28" s="3"/>
      <c r="I28" s="47">
        <f>0.1*(H_Janv[[#This Row],[Heures de nuit]]+IF(H_Janv[[#This Row],[majoration dim &amp; JF]]="non",0,H_Janv[[#This Row],[heures jour dimanche]]+H_Janv[[#This Row],[heures jour fériés]]))</f>
        <v>0</v>
      </c>
      <c r="J28" s="48">
        <f>(MOD(H_Janv[[#This Row],[Fin]]-H_Janv[[#This Row],[début]],1)-MOD(H_Janv[[#This Row],[PNP Fin]]-H_Janv[[#This Row],[PNP Début]],1))*24</f>
        <v>6.9166666666666661</v>
      </c>
      <c r="K28" s="96" t="str">
        <f>IFERROR(VLOOKUP(H_Janv[[#This Row],[Service]],Codes[],4,0),"")</f>
        <v>non</v>
      </c>
      <c r="L28" s="49">
        <f>IF(H_Janv[[#This Row],[PNP Début]]=0,0,IF(H_Janv[[#This Row],[PNP Début]]&lt;H_Janv[[#This Row],[début]],1,0)+H_Janv[[#This Row],[PNP Début]])</f>
        <v>0</v>
      </c>
      <c r="M28" s="50">
        <f>IF(H_Janv[[#This Row],[PNP Fin]]=0,0,IF(H_Janv[[#This Row],[PNP Fin]]&lt;H_Janv[[#This Row],[début]],1,0)+H_Janv[[#This Row],[PNP Fin]])</f>
        <v>0</v>
      </c>
      <c r="N28" s="50">
        <f>IF(H_Janv[[#This Row],[Fin]]&lt;H_Janv[[#This Row],[début]],1,0)+H_Janv[[#This Row],[Fin]]</f>
        <v>0.66319444444444442</v>
      </c>
      <c r="O28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28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2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6.9166666666666661</v>
      </c>
      <c r="T2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6.9166666666666661</v>
      </c>
    </row>
    <row r="29" spans="1:26" ht="14.4" customHeight="1" x14ac:dyDescent="0.3">
      <c r="A29" s="126">
        <v>43102</v>
      </c>
      <c r="B29" s="1" t="s">
        <v>110</v>
      </c>
      <c r="C29" s="2">
        <v>0.375</v>
      </c>
      <c r="D29" s="2">
        <v>0.66319444444444442</v>
      </c>
      <c r="E29" s="3"/>
      <c r="F29" s="3"/>
      <c r="G29" s="3"/>
      <c r="H29" s="3"/>
      <c r="I29" s="47">
        <f>0.1*(H_Janv[[#This Row],[Heures de nuit]]+IF(H_Janv[[#This Row],[majoration dim &amp; JF]]="non",0,H_Janv[[#This Row],[heures jour dimanche]]+H_Janv[[#This Row],[heures jour fériés]]))</f>
        <v>0</v>
      </c>
      <c r="J29" s="48">
        <f>(MOD(H_Janv[[#This Row],[Fin]]-H_Janv[[#This Row],[début]],1)-MOD(H_Janv[[#This Row],[PNP Fin]]-H_Janv[[#This Row],[PNP Début]],1))*24</f>
        <v>6.9166666666666661</v>
      </c>
      <c r="K29" s="96" t="str">
        <f>IFERROR(VLOOKUP(H_Janv[[#This Row],[Service]],Codes[],4,0),"")</f>
        <v>non</v>
      </c>
      <c r="L29" s="49">
        <f>IF(H_Janv[[#This Row],[PNP Début]]=0,0,IF(H_Janv[[#This Row],[PNP Début]]&lt;H_Janv[[#This Row],[début]],1,0)+H_Janv[[#This Row],[PNP Début]])</f>
        <v>0</v>
      </c>
      <c r="M29" s="50">
        <f>IF(H_Janv[[#This Row],[PNP Fin]]=0,0,IF(H_Janv[[#This Row],[PNP Fin]]&lt;H_Janv[[#This Row],[début]],1,0)+H_Janv[[#This Row],[PNP Fin]])</f>
        <v>0</v>
      </c>
      <c r="N29" s="50">
        <f>IF(H_Janv[[#This Row],[Fin]]&lt;H_Janv[[#This Row],[début]],1,0)+H_Janv[[#This Row],[Fin]]</f>
        <v>0.66319444444444442</v>
      </c>
      <c r="O29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29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2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2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2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2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0" spans="1:26" ht="14.4" customHeight="1" x14ac:dyDescent="0.3">
      <c r="A30" s="126">
        <v>43103</v>
      </c>
      <c r="B30" s="1" t="s">
        <v>110</v>
      </c>
      <c r="C30" s="2">
        <v>0.375</v>
      </c>
      <c r="D30" s="2">
        <v>0.66319444444444442</v>
      </c>
      <c r="E30" s="3"/>
      <c r="F30" s="3"/>
      <c r="G30" s="3"/>
      <c r="H30" s="3"/>
      <c r="I30" s="47">
        <f>0.1*(H_Janv[[#This Row],[Heures de nuit]]+IF(H_Janv[[#This Row],[majoration dim &amp; JF]]="non",0,H_Janv[[#This Row],[heures jour dimanche]]+H_Janv[[#This Row],[heures jour fériés]]))</f>
        <v>0</v>
      </c>
      <c r="J30" s="48">
        <f>(MOD(H_Janv[[#This Row],[Fin]]-H_Janv[[#This Row],[début]],1)-MOD(H_Janv[[#This Row],[PNP Fin]]-H_Janv[[#This Row],[PNP Début]],1))*24</f>
        <v>6.9166666666666661</v>
      </c>
      <c r="K30" s="96" t="str">
        <f>IFERROR(VLOOKUP(H_Janv[[#This Row],[Service]],Codes[],4,0),"")</f>
        <v>non</v>
      </c>
      <c r="L30" s="49">
        <f>IF(H_Janv[[#This Row],[PNP Début]]=0,0,IF(H_Janv[[#This Row],[PNP Début]]&lt;H_Janv[[#This Row],[début]],1,0)+H_Janv[[#This Row],[PNP Début]])</f>
        <v>0</v>
      </c>
      <c r="M30" s="50">
        <f>IF(H_Janv[[#This Row],[PNP Fin]]=0,0,IF(H_Janv[[#This Row],[PNP Fin]]&lt;H_Janv[[#This Row],[début]],1,0)+H_Janv[[#This Row],[PNP Fin]])</f>
        <v>0</v>
      </c>
      <c r="N30" s="50">
        <f>IF(H_Janv[[#This Row],[Fin]]&lt;H_Janv[[#This Row],[début]],1,0)+H_Janv[[#This Row],[Fin]]</f>
        <v>0.66319444444444442</v>
      </c>
      <c r="O30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0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0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0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0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0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1" spans="1:26" ht="14.4" customHeight="1" x14ac:dyDescent="0.3">
      <c r="A31" s="126">
        <v>43104</v>
      </c>
      <c r="B31" s="1" t="s">
        <v>109</v>
      </c>
      <c r="C31" s="2">
        <v>0.375</v>
      </c>
      <c r="D31" s="2">
        <v>0.70763888888888893</v>
      </c>
      <c r="E31" s="3"/>
      <c r="F31" s="3"/>
      <c r="G31" s="3"/>
      <c r="H31" s="3"/>
      <c r="I31" s="47">
        <f>0.1*(H_Janv[[#This Row],[Heures de nuit]]+IF(H_Janv[[#This Row],[majoration dim &amp; JF]]="non",0,H_Janv[[#This Row],[heures jour dimanche]]+H_Janv[[#This Row],[heures jour fériés]]))</f>
        <v>0</v>
      </c>
      <c r="J31" s="48">
        <f>(MOD(H_Janv[[#This Row],[Fin]]-H_Janv[[#This Row],[début]],1)-MOD(H_Janv[[#This Row],[PNP Fin]]-H_Janv[[#This Row],[PNP Début]],1))*24</f>
        <v>7.9833333333333343</v>
      </c>
      <c r="K31" s="96" t="str">
        <f>IFERROR(VLOOKUP(H_Janv[[#This Row],[Service]],Codes[],4,0),"")</f>
        <v>non</v>
      </c>
      <c r="L31" s="49">
        <f>IF(H_Janv[[#This Row],[PNP Début]]=0,0,IF(H_Janv[[#This Row],[PNP Début]]&lt;H_Janv[[#This Row],[début]],1,0)+H_Janv[[#This Row],[PNP Début]])</f>
        <v>0</v>
      </c>
      <c r="M31" s="50">
        <f>IF(H_Janv[[#This Row],[PNP Fin]]=0,0,IF(H_Janv[[#This Row],[PNP Fin]]&lt;H_Janv[[#This Row],[début]],1,0)+H_Janv[[#This Row],[PNP Fin]])</f>
        <v>0</v>
      </c>
      <c r="N31" s="50">
        <f>IF(H_Janv[[#This Row],[Fin]]&lt;H_Janv[[#This Row],[début]],1,0)+H_Janv[[#This Row],[Fin]]</f>
        <v>0.70763888888888893</v>
      </c>
      <c r="O31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1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1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1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1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1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2" spans="1:26" ht="14.55" customHeight="1" x14ac:dyDescent="0.3">
      <c r="A32" s="126">
        <v>43105</v>
      </c>
      <c r="B32" s="1" t="s">
        <v>109</v>
      </c>
      <c r="C32" s="2">
        <v>0.375</v>
      </c>
      <c r="D32" s="2">
        <v>0.70763888888888893</v>
      </c>
      <c r="E32" s="3"/>
      <c r="F32" s="3"/>
      <c r="G32" s="3"/>
      <c r="H32" s="3"/>
      <c r="I32" s="47">
        <f>0.1*(H_Janv[[#This Row],[Heures de nuit]]+IF(H_Janv[[#This Row],[majoration dim &amp; JF]]="non",0,H_Janv[[#This Row],[heures jour dimanche]]+H_Janv[[#This Row],[heures jour fériés]]))</f>
        <v>0</v>
      </c>
      <c r="J32" s="48">
        <f>(MOD(H_Janv[[#This Row],[Fin]]-H_Janv[[#This Row],[début]],1)-MOD(H_Janv[[#This Row],[PNP Fin]]-H_Janv[[#This Row],[PNP Début]],1))*24</f>
        <v>7.9833333333333343</v>
      </c>
      <c r="K32" s="96" t="str">
        <f>IFERROR(VLOOKUP(H_Janv[[#This Row],[Service]],Codes[],4,0),"")</f>
        <v>non</v>
      </c>
      <c r="L32" s="49">
        <f>IF(H_Janv[[#This Row],[PNP Début]]=0,0,IF(H_Janv[[#This Row],[PNP Début]]&lt;H_Janv[[#This Row],[début]],1,0)+H_Janv[[#This Row],[PNP Début]])</f>
        <v>0</v>
      </c>
      <c r="M32" s="50">
        <f>IF(H_Janv[[#This Row],[PNP Fin]]=0,0,IF(H_Janv[[#This Row],[PNP Fin]]&lt;H_Janv[[#This Row],[début]],1,0)+H_Janv[[#This Row],[PNP Fin]])</f>
        <v>0</v>
      </c>
      <c r="N32" s="50">
        <f>IF(H_Janv[[#This Row],[Fin]]&lt;H_Janv[[#This Row],[début]],1,0)+H_Janv[[#This Row],[Fin]]</f>
        <v>0.70763888888888893</v>
      </c>
      <c r="O32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2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3" spans="1:20" x14ac:dyDescent="0.3">
      <c r="A33" s="126">
        <v>43106</v>
      </c>
      <c r="B33" s="1" t="s">
        <v>109</v>
      </c>
      <c r="C33" s="2">
        <v>0.375</v>
      </c>
      <c r="D33" s="2">
        <v>0.70763888888888893</v>
      </c>
      <c r="E33" s="3"/>
      <c r="F33" s="3"/>
      <c r="G33" s="3"/>
      <c r="H33" s="3"/>
      <c r="I33" s="47">
        <f>0.1*(H_Janv[[#This Row],[Heures de nuit]]+IF(H_Janv[[#This Row],[majoration dim &amp; JF]]="non",0,H_Janv[[#This Row],[heures jour dimanche]]+H_Janv[[#This Row],[heures jour fériés]]))</f>
        <v>0</v>
      </c>
      <c r="J33" s="48">
        <f>(MOD(H_Janv[[#This Row],[Fin]]-H_Janv[[#This Row],[début]],1)-MOD(H_Janv[[#This Row],[PNP Fin]]-H_Janv[[#This Row],[PNP Début]],1))*24</f>
        <v>7.9833333333333343</v>
      </c>
      <c r="K33" s="96" t="str">
        <f>IFERROR(VLOOKUP(H_Janv[[#This Row],[Service]],Codes[],4,0),"")</f>
        <v>non</v>
      </c>
      <c r="L33" s="49">
        <f>IF(H_Janv[[#This Row],[PNP Début]]=0,0,IF(H_Janv[[#This Row],[PNP Début]]&lt;H_Janv[[#This Row],[début]],1,0)+H_Janv[[#This Row],[PNP Début]])</f>
        <v>0</v>
      </c>
      <c r="M33" s="50">
        <f>IF(H_Janv[[#This Row],[PNP Fin]]=0,0,IF(H_Janv[[#This Row],[PNP Fin]]&lt;H_Janv[[#This Row],[début]],1,0)+H_Janv[[#This Row],[PNP Fin]])</f>
        <v>0</v>
      </c>
      <c r="N33" s="50">
        <f>IF(H_Janv[[#This Row],[Fin]]&lt;H_Janv[[#This Row],[début]],1,0)+H_Janv[[#This Row],[Fin]]</f>
        <v>0.70763888888888893</v>
      </c>
      <c r="O33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3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4" spans="1:20" x14ac:dyDescent="0.3">
      <c r="A34" s="126"/>
      <c r="B34" s="1"/>
      <c r="C34" s="2"/>
      <c r="D34" s="2"/>
      <c r="E34" s="3"/>
      <c r="F34" s="3"/>
      <c r="G34" s="3"/>
      <c r="H34" s="3"/>
      <c r="I34" s="47">
        <f>0.1*(H_Janv[[#This Row],[Heures de nuit]]+IF(H_Janv[[#This Row],[majoration dim &amp; JF]]="non",0,H_Janv[[#This Row],[heures jour dimanche]]+H_Janv[[#This Row],[heures jour fériés]]))</f>
        <v>0</v>
      </c>
      <c r="J34" s="48">
        <f>(MOD(H_Janv[[#This Row],[Fin]]-H_Janv[[#This Row],[début]],1)-MOD(H_Janv[[#This Row],[PNP Fin]]-H_Janv[[#This Row],[PNP Début]],1))*24</f>
        <v>0</v>
      </c>
      <c r="K34" s="96" t="str">
        <f>IFERROR(VLOOKUP(H_Janv[[#This Row],[Service]],Codes[],4,0),"")</f>
        <v/>
      </c>
      <c r="L34" s="49">
        <f>IF(H_Janv[[#This Row],[PNP Début]]=0,0,IF(H_Janv[[#This Row],[PNP Début]]&lt;H_Janv[[#This Row],[début]],1,0)+H_Janv[[#This Row],[PNP Début]])</f>
        <v>0</v>
      </c>
      <c r="M34" s="50">
        <f>IF(H_Janv[[#This Row],[PNP Fin]]=0,0,IF(H_Janv[[#This Row],[PNP Fin]]&lt;H_Janv[[#This Row],[début]],1,0)+H_Janv[[#This Row],[PNP Fin]])</f>
        <v>0</v>
      </c>
      <c r="N34" s="50">
        <f>IF(H_Janv[[#This Row],[Fin]]&lt;H_Janv[[#This Row],[début]],1,0)+H_Janv[[#This Row],[Fin]]</f>
        <v>0</v>
      </c>
      <c r="O34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4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5" spans="1:20" x14ac:dyDescent="0.3">
      <c r="A35" s="126"/>
      <c r="B35" s="1"/>
      <c r="C35" s="2"/>
      <c r="D35" s="2"/>
      <c r="E35" s="3"/>
      <c r="F35" s="3"/>
      <c r="G35" s="3"/>
      <c r="H35" s="3"/>
      <c r="I35" s="47">
        <f>0.1*(H_Janv[[#This Row],[Heures de nuit]]+IF(H_Janv[[#This Row],[majoration dim &amp; JF]]="non",0,H_Janv[[#This Row],[heures jour dimanche]]+H_Janv[[#This Row],[heures jour fériés]]))</f>
        <v>0</v>
      </c>
      <c r="J35" s="48">
        <f>(MOD(H_Janv[[#This Row],[Fin]]-H_Janv[[#This Row],[début]],1)-MOD(H_Janv[[#This Row],[PNP Fin]]-H_Janv[[#This Row],[PNP Début]],1))*24</f>
        <v>0</v>
      </c>
      <c r="K35" s="96" t="str">
        <f>IFERROR(VLOOKUP(H_Janv[[#This Row],[Service]],Codes[],4,0),"")</f>
        <v/>
      </c>
      <c r="L35" s="49">
        <f>IF(H_Janv[[#This Row],[PNP Début]]=0,0,IF(H_Janv[[#This Row],[PNP Début]]&lt;H_Janv[[#This Row],[début]],1,0)+H_Janv[[#This Row],[PNP Début]])</f>
        <v>0</v>
      </c>
      <c r="M35" s="50">
        <f>IF(H_Janv[[#This Row],[PNP Fin]]=0,0,IF(H_Janv[[#This Row],[PNP Fin]]&lt;H_Janv[[#This Row],[début]],1,0)+H_Janv[[#This Row],[PNP Fin]])</f>
        <v>0</v>
      </c>
      <c r="N35" s="50">
        <f>IF(H_Janv[[#This Row],[Fin]]&lt;H_Janv[[#This Row],[début]],1,0)+H_Janv[[#This Row],[Fin]]</f>
        <v>0</v>
      </c>
      <c r="O35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5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6" spans="1:20" x14ac:dyDescent="0.3">
      <c r="A36" s="126"/>
      <c r="B36" s="1"/>
      <c r="C36" s="2"/>
      <c r="D36" s="2"/>
      <c r="E36" s="3"/>
      <c r="F36" s="3"/>
      <c r="G36" s="3"/>
      <c r="H36" s="3"/>
      <c r="I36" s="47">
        <f>0.1*(H_Janv[[#This Row],[Heures de nuit]]+IF(H_Janv[[#This Row],[majoration dim &amp; JF]]="non",0,H_Janv[[#This Row],[heures jour dimanche]]+H_Janv[[#This Row],[heures jour fériés]]))</f>
        <v>0</v>
      </c>
      <c r="J36" s="48">
        <f>(MOD(H_Janv[[#This Row],[Fin]]-H_Janv[[#This Row],[début]],1)-MOD(H_Janv[[#This Row],[PNP Fin]]-H_Janv[[#This Row],[PNP Début]],1))*24</f>
        <v>0</v>
      </c>
      <c r="K36" s="96" t="str">
        <f>IFERROR(VLOOKUP(H_Janv[[#This Row],[Service]],Codes[],4,0),"")</f>
        <v/>
      </c>
      <c r="L36" s="49">
        <f>IF(H_Janv[[#This Row],[PNP Début]]=0,0,IF(H_Janv[[#This Row],[PNP Début]]&lt;H_Janv[[#This Row],[début]],1,0)+H_Janv[[#This Row],[PNP Début]])</f>
        <v>0</v>
      </c>
      <c r="M36" s="50">
        <f>IF(H_Janv[[#This Row],[PNP Fin]]=0,0,IF(H_Janv[[#This Row],[PNP Fin]]&lt;H_Janv[[#This Row],[début]],1,0)+H_Janv[[#This Row],[PNP Fin]])</f>
        <v>0</v>
      </c>
      <c r="N36" s="50">
        <f>IF(H_Janv[[#This Row],[Fin]]&lt;H_Janv[[#This Row],[début]],1,0)+H_Janv[[#This Row],[Fin]]</f>
        <v>0</v>
      </c>
      <c r="O36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6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7" spans="1:20" x14ac:dyDescent="0.3">
      <c r="A37" s="126"/>
      <c r="B37" s="1"/>
      <c r="C37" s="2"/>
      <c r="D37" s="2"/>
      <c r="E37" s="3"/>
      <c r="F37" s="3"/>
      <c r="G37" s="3"/>
      <c r="H37" s="3"/>
      <c r="I37" s="47">
        <f>0.1*(H_Janv[[#This Row],[Heures de nuit]]+IF(H_Janv[[#This Row],[majoration dim &amp; JF]]="non",0,H_Janv[[#This Row],[heures jour dimanche]]+H_Janv[[#This Row],[heures jour fériés]]))</f>
        <v>0</v>
      </c>
      <c r="J37" s="48">
        <f>(MOD(H_Janv[[#This Row],[Fin]]-H_Janv[[#This Row],[début]],1)-MOD(H_Janv[[#This Row],[PNP Fin]]-H_Janv[[#This Row],[PNP Début]],1))*24</f>
        <v>0</v>
      </c>
      <c r="K37" s="96" t="str">
        <f>IFERROR(VLOOKUP(H_Janv[[#This Row],[Service]],Codes[],4,0),"")</f>
        <v/>
      </c>
      <c r="L37" s="49">
        <f>IF(H_Janv[[#This Row],[PNP Début]]=0,0,IF(H_Janv[[#This Row],[PNP Début]]&lt;H_Janv[[#This Row],[début]],1,0)+H_Janv[[#This Row],[PNP Début]])</f>
        <v>0</v>
      </c>
      <c r="M37" s="50">
        <f>IF(H_Janv[[#This Row],[PNP Fin]]=0,0,IF(H_Janv[[#This Row],[PNP Fin]]&lt;H_Janv[[#This Row],[début]],1,0)+H_Janv[[#This Row],[PNP Fin]])</f>
        <v>0</v>
      </c>
      <c r="N37" s="50">
        <f>IF(H_Janv[[#This Row],[Fin]]&lt;H_Janv[[#This Row],[début]],1,0)+H_Janv[[#This Row],[Fin]]</f>
        <v>0</v>
      </c>
      <c r="O37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7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8" spans="1:20" x14ac:dyDescent="0.3">
      <c r="A38" s="126"/>
      <c r="B38" s="1"/>
      <c r="C38" s="2"/>
      <c r="D38" s="2"/>
      <c r="E38" s="3"/>
      <c r="F38" s="3"/>
      <c r="G38" s="3"/>
      <c r="H38" s="3"/>
      <c r="I38" s="47">
        <f>0.1*(H_Janv[[#This Row],[Heures de nuit]]+IF(H_Janv[[#This Row],[majoration dim &amp; JF]]="non",0,H_Janv[[#This Row],[heures jour dimanche]]+H_Janv[[#This Row],[heures jour fériés]]))</f>
        <v>0</v>
      </c>
      <c r="J38" s="48">
        <f>(MOD(H_Janv[[#This Row],[Fin]]-H_Janv[[#This Row],[début]],1)-MOD(H_Janv[[#This Row],[PNP Fin]]-H_Janv[[#This Row],[PNP Début]],1))*24</f>
        <v>0</v>
      </c>
      <c r="K38" s="96" t="str">
        <f>IFERROR(VLOOKUP(H_Janv[[#This Row],[Service]],Codes[],4,0),"")</f>
        <v/>
      </c>
      <c r="L38" s="49">
        <f>IF(H_Janv[[#This Row],[PNP Début]]=0,0,IF(H_Janv[[#This Row],[PNP Début]]&lt;H_Janv[[#This Row],[début]],1,0)+H_Janv[[#This Row],[PNP Début]])</f>
        <v>0</v>
      </c>
      <c r="M38" s="50">
        <f>IF(H_Janv[[#This Row],[PNP Fin]]=0,0,IF(H_Janv[[#This Row],[PNP Fin]]&lt;H_Janv[[#This Row],[début]],1,0)+H_Janv[[#This Row],[PNP Fin]])</f>
        <v>0</v>
      </c>
      <c r="N38" s="50">
        <f>IF(H_Janv[[#This Row],[Fin]]&lt;H_Janv[[#This Row],[début]],1,0)+H_Janv[[#This Row],[Fin]]</f>
        <v>0</v>
      </c>
      <c r="O38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8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39" spans="1:20" x14ac:dyDescent="0.3">
      <c r="A39" s="126"/>
      <c r="B39" s="1"/>
      <c r="C39" s="2"/>
      <c r="D39" s="2"/>
      <c r="E39" s="3"/>
      <c r="F39" s="3"/>
      <c r="G39" s="3"/>
      <c r="H39" s="3"/>
      <c r="I39" s="47">
        <f>0.1*(H_Janv[[#This Row],[Heures de nuit]]+IF(H_Janv[[#This Row],[majoration dim &amp; JF]]="non",0,H_Janv[[#This Row],[heures jour dimanche]]+H_Janv[[#This Row],[heures jour fériés]]))</f>
        <v>0</v>
      </c>
      <c r="J39" s="48">
        <f>(MOD(H_Janv[[#This Row],[Fin]]-H_Janv[[#This Row],[début]],1)-MOD(H_Janv[[#This Row],[PNP Fin]]-H_Janv[[#This Row],[PNP Début]],1))*24</f>
        <v>0</v>
      </c>
      <c r="K39" s="96" t="str">
        <f>IFERROR(VLOOKUP(H_Janv[[#This Row],[Service]],Codes[],4,0),"")</f>
        <v/>
      </c>
      <c r="L39" s="49">
        <f>IF(H_Janv[[#This Row],[PNP Début]]=0,0,IF(H_Janv[[#This Row],[PNP Début]]&lt;H_Janv[[#This Row],[début]],1,0)+H_Janv[[#This Row],[PNP Début]])</f>
        <v>0</v>
      </c>
      <c r="M39" s="50">
        <f>IF(H_Janv[[#This Row],[PNP Fin]]=0,0,IF(H_Janv[[#This Row],[PNP Fin]]&lt;H_Janv[[#This Row],[début]],1,0)+H_Janv[[#This Row],[PNP Fin]])</f>
        <v>0</v>
      </c>
      <c r="N39" s="50">
        <f>IF(H_Janv[[#This Row],[Fin]]&lt;H_Janv[[#This Row],[début]],1,0)+H_Janv[[#This Row],[Fin]]</f>
        <v>0</v>
      </c>
      <c r="O39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39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3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3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3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3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0" spans="1:20" x14ac:dyDescent="0.3">
      <c r="A40" s="126"/>
      <c r="B40" s="1"/>
      <c r="C40" s="2"/>
      <c r="D40" s="2"/>
      <c r="E40" s="3"/>
      <c r="F40" s="3"/>
      <c r="G40" s="3"/>
      <c r="H40" s="3"/>
      <c r="I40" s="47">
        <f>0.1*(H_Janv[[#This Row],[Heures de nuit]]+IF(H_Janv[[#This Row],[majoration dim &amp; JF]]="non",0,H_Janv[[#This Row],[heures jour dimanche]]+H_Janv[[#This Row],[heures jour fériés]]))</f>
        <v>0</v>
      </c>
      <c r="J40" s="48">
        <f>(MOD(H_Janv[[#This Row],[Fin]]-H_Janv[[#This Row],[début]],1)-MOD(H_Janv[[#This Row],[PNP Fin]]-H_Janv[[#This Row],[PNP Début]],1))*24</f>
        <v>0</v>
      </c>
      <c r="K40" s="96" t="str">
        <f>IFERROR(VLOOKUP(H_Janv[[#This Row],[Service]],Codes[],4,0),"")</f>
        <v/>
      </c>
      <c r="L40" s="49">
        <f>IF(H_Janv[[#This Row],[PNP Début]]=0,0,IF(H_Janv[[#This Row],[PNP Début]]&lt;H_Janv[[#This Row],[début]],1,0)+H_Janv[[#This Row],[PNP Début]])</f>
        <v>0</v>
      </c>
      <c r="M40" s="50">
        <f>IF(H_Janv[[#This Row],[PNP Fin]]=0,0,IF(H_Janv[[#This Row],[PNP Fin]]&lt;H_Janv[[#This Row],[début]],1,0)+H_Janv[[#This Row],[PNP Fin]])</f>
        <v>0</v>
      </c>
      <c r="N40" s="50">
        <f>IF(H_Janv[[#This Row],[Fin]]&lt;H_Janv[[#This Row],[début]],1,0)+H_Janv[[#This Row],[Fin]]</f>
        <v>0</v>
      </c>
      <c r="O40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0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0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0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0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0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1" spans="1:20" x14ac:dyDescent="0.3">
      <c r="A41" s="126"/>
      <c r="B41" s="1"/>
      <c r="C41" s="2"/>
      <c r="D41" s="2"/>
      <c r="E41" s="3"/>
      <c r="F41" s="3"/>
      <c r="G41" s="3"/>
      <c r="H41" s="3"/>
      <c r="I41" s="47">
        <f>0.1*(H_Janv[[#This Row],[Heures de nuit]]+IF(H_Janv[[#This Row],[majoration dim &amp; JF]]="non",0,H_Janv[[#This Row],[heures jour dimanche]]+H_Janv[[#This Row],[heures jour fériés]]))</f>
        <v>0</v>
      </c>
      <c r="J41" s="48">
        <f>(MOD(H_Janv[[#This Row],[Fin]]-H_Janv[[#This Row],[début]],1)-MOD(H_Janv[[#This Row],[PNP Fin]]-H_Janv[[#This Row],[PNP Début]],1))*24</f>
        <v>0</v>
      </c>
      <c r="K41" s="96" t="str">
        <f>IFERROR(VLOOKUP(H_Janv[[#This Row],[Service]],Codes[],4,0),"")</f>
        <v/>
      </c>
      <c r="L41" s="49">
        <f>IF(H_Janv[[#This Row],[PNP Début]]=0,0,IF(H_Janv[[#This Row],[PNP Début]]&lt;H_Janv[[#This Row],[début]],1,0)+H_Janv[[#This Row],[PNP Début]])</f>
        <v>0</v>
      </c>
      <c r="M41" s="50">
        <f>IF(H_Janv[[#This Row],[PNP Fin]]=0,0,IF(H_Janv[[#This Row],[PNP Fin]]&lt;H_Janv[[#This Row],[début]],1,0)+H_Janv[[#This Row],[PNP Fin]])</f>
        <v>0</v>
      </c>
      <c r="N41" s="50">
        <f>IF(H_Janv[[#This Row],[Fin]]&lt;H_Janv[[#This Row],[début]],1,0)+H_Janv[[#This Row],[Fin]]</f>
        <v>0</v>
      </c>
      <c r="O41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1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1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1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1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1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2" spans="1:20" x14ac:dyDescent="0.3">
      <c r="A42" s="126"/>
      <c r="B42" s="1"/>
      <c r="C42" s="2"/>
      <c r="D42" s="2"/>
      <c r="E42" s="3"/>
      <c r="F42" s="3"/>
      <c r="G42" s="3"/>
      <c r="H42" s="3"/>
      <c r="I42" s="47">
        <f>0.1*(H_Janv[[#This Row],[Heures de nuit]]+IF(H_Janv[[#This Row],[majoration dim &amp; JF]]="non",0,H_Janv[[#This Row],[heures jour dimanche]]+H_Janv[[#This Row],[heures jour fériés]]))</f>
        <v>0</v>
      </c>
      <c r="J42" s="48">
        <f>(MOD(H_Janv[[#This Row],[Fin]]-H_Janv[[#This Row],[début]],1)-MOD(H_Janv[[#This Row],[PNP Fin]]-H_Janv[[#This Row],[PNP Début]],1))*24</f>
        <v>0</v>
      </c>
      <c r="K42" s="96" t="str">
        <f>IFERROR(VLOOKUP(H_Janv[[#This Row],[Service]],Codes[],4,0),"")</f>
        <v/>
      </c>
      <c r="L42" s="49">
        <f>IF(H_Janv[[#This Row],[PNP Début]]=0,0,IF(H_Janv[[#This Row],[PNP Début]]&lt;H_Janv[[#This Row],[début]],1,0)+H_Janv[[#This Row],[PNP Début]])</f>
        <v>0</v>
      </c>
      <c r="M42" s="50">
        <f>IF(H_Janv[[#This Row],[PNP Fin]]=0,0,IF(H_Janv[[#This Row],[PNP Fin]]&lt;H_Janv[[#This Row],[début]],1,0)+H_Janv[[#This Row],[PNP Fin]])</f>
        <v>0</v>
      </c>
      <c r="N42" s="50">
        <f>IF(H_Janv[[#This Row],[Fin]]&lt;H_Janv[[#This Row],[début]],1,0)+H_Janv[[#This Row],[Fin]]</f>
        <v>0</v>
      </c>
      <c r="O42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2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2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2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3" spans="1:20" x14ac:dyDescent="0.3">
      <c r="A43" s="126"/>
      <c r="B43" s="1"/>
      <c r="C43" s="2"/>
      <c r="D43" s="2"/>
      <c r="E43" s="3"/>
      <c r="F43" s="3"/>
      <c r="G43" s="3"/>
      <c r="H43" s="3"/>
      <c r="I43" s="47">
        <f>0.1*(H_Janv[[#This Row],[Heures de nuit]]+IF(H_Janv[[#This Row],[majoration dim &amp; JF]]="non",0,H_Janv[[#This Row],[heures jour dimanche]]+H_Janv[[#This Row],[heures jour fériés]]))</f>
        <v>0</v>
      </c>
      <c r="J43" s="48">
        <f>(MOD(H_Janv[[#This Row],[Fin]]-H_Janv[[#This Row],[début]],1)-MOD(H_Janv[[#This Row],[PNP Fin]]-H_Janv[[#This Row],[PNP Début]],1))*24</f>
        <v>0</v>
      </c>
      <c r="K43" s="96" t="str">
        <f>IFERROR(VLOOKUP(H_Janv[[#This Row],[Service]],Codes[],4,0),"")</f>
        <v/>
      </c>
      <c r="L43" s="49">
        <f>IF(H_Janv[[#This Row],[PNP Début]]=0,0,IF(H_Janv[[#This Row],[PNP Début]]&lt;H_Janv[[#This Row],[début]],1,0)+H_Janv[[#This Row],[PNP Début]])</f>
        <v>0</v>
      </c>
      <c r="M43" s="50">
        <f>IF(H_Janv[[#This Row],[PNP Fin]]=0,0,IF(H_Janv[[#This Row],[PNP Fin]]&lt;H_Janv[[#This Row],[début]],1,0)+H_Janv[[#This Row],[PNP Fin]])</f>
        <v>0</v>
      </c>
      <c r="N43" s="50">
        <f>IF(H_Janv[[#This Row],[Fin]]&lt;H_Janv[[#This Row],[début]],1,0)+H_Janv[[#This Row],[Fin]]</f>
        <v>0</v>
      </c>
      <c r="O43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3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3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3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4" spans="1:20" x14ac:dyDescent="0.3">
      <c r="A44" s="126"/>
      <c r="B44" s="1"/>
      <c r="C44" s="2"/>
      <c r="D44" s="2"/>
      <c r="E44" s="3"/>
      <c r="F44" s="3"/>
      <c r="G44" s="3"/>
      <c r="H44" s="3"/>
      <c r="I44" s="47">
        <f>0.1*(H_Janv[[#This Row],[Heures de nuit]]+IF(H_Janv[[#This Row],[majoration dim &amp; JF]]="non",0,H_Janv[[#This Row],[heures jour dimanche]]+H_Janv[[#This Row],[heures jour fériés]]))</f>
        <v>0</v>
      </c>
      <c r="J44" s="48">
        <f>(MOD(H_Janv[[#This Row],[Fin]]-H_Janv[[#This Row],[début]],1)-MOD(H_Janv[[#This Row],[PNP Fin]]-H_Janv[[#This Row],[PNP Début]],1))*24</f>
        <v>0</v>
      </c>
      <c r="K44" s="96" t="str">
        <f>IFERROR(VLOOKUP(H_Janv[[#This Row],[Service]],Codes[],4,0),"")</f>
        <v/>
      </c>
      <c r="L44" s="49">
        <f>IF(H_Janv[[#This Row],[PNP Début]]=0,0,IF(H_Janv[[#This Row],[PNP Début]]&lt;H_Janv[[#This Row],[début]],1,0)+H_Janv[[#This Row],[PNP Début]])</f>
        <v>0</v>
      </c>
      <c r="M44" s="50">
        <f>IF(H_Janv[[#This Row],[PNP Fin]]=0,0,IF(H_Janv[[#This Row],[PNP Fin]]&lt;H_Janv[[#This Row],[début]],1,0)+H_Janv[[#This Row],[PNP Fin]])</f>
        <v>0</v>
      </c>
      <c r="N44" s="50">
        <f>IF(H_Janv[[#This Row],[Fin]]&lt;H_Janv[[#This Row],[début]],1,0)+H_Janv[[#This Row],[Fin]]</f>
        <v>0</v>
      </c>
      <c r="O44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4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4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4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5" spans="1:20" x14ac:dyDescent="0.3">
      <c r="A45" s="126"/>
      <c r="B45" s="1"/>
      <c r="C45" s="2"/>
      <c r="D45" s="2"/>
      <c r="E45" s="3"/>
      <c r="F45" s="3"/>
      <c r="G45" s="3"/>
      <c r="H45" s="3"/>
      <c r="I45" s="47">
        <f>0.1*(H_Janv[[#This Row],[Heures de nuit]]+IF(H_Janv[[#This Row],[majoration dim &amp; JF]]="non",0,H_Janv[[#This Row],[heures jour dimanche]]+H_Janv[[#This Row],[heures jour fériés]]))</f>
        <v>0</v>
      </c>
      <c r="J45" s="48">
        <f>(MOD(H_Janv[[#This Row],[Fin]]-H_Janv[[#This Row],[début]],1)-MOD(H_Janv[[#This Row],[PNP Fin]]-H_Janv[[#This Row],[PNP Début]],1))*24</f>
        <v>0</v>
      </c>
      <c r="K45" s="96" t="str">
        <f>IFERROR(VLOOKUP(H_Janv[[#This Row],[Service]],Codes[],4,0),"")</f>
        <v/>
      </c>
      <c r="L45" s="49">
        <f>IF(H_Janv[[#This Row],[PNP Début]]=0,0,IF(H_Janv[[#This Row],[PNP Début]]&lt;H_Janv[[#This Row],[début]],1,0)+H_Janv[[#This Row],[PNP Début]])</f>
        <v>0</v>
      </c>
      <c r="M45" s="50">
        <f>IF(H_Janv[[#This Row],[PNP Fin]]=0,0,IF(H_Janv[[#This Row],[PNP Fin]]&lt;H_Janv[[#This Row],[début]],1,0)+H_Janv[[#This Row],[PNP Fin]])</f>
        <v>0</v>
      </c>
      <c r="N45" s="50">
        <f>IF(H_Janv[[#This Row],[Fin]]&lt;H_Janv[[#This Row],[début]],1,0)+H_Janv[[#This Row],[Fin]]</f>
        <v>0</v>
      </c>
      <c r="O45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5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5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5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6" spans="1:20" x14ac:dyDescent="0.3">
      <c r="A46" s="126"/>
      <c r="B46" s="1"/>
      <c r="C46" s="2"/>
      <c r="D46" s="2"/>
      <c r="E46" s="3"/>
      <c r="F46" s="3"/>
      <c r="G46" s="3"/>
      <c r="H46" s="3"/>
      <c r="I46" s="47">
        <f>0.1*(H_Janv[[#This Row],[Heures de nuit]]+IF(H_Janv[[#This Row],[majoration dim &amp; JF]]="non",0,H_Janv[[#This Row],[heures jour dimanche]]+H_Janv[[#This Row],[heures jour fériés]]))</f>
        <v>0</v>
      </c>
      <c r="J46" s="48">
        <f>(MOD(H_Janv[[#This Row],[Fin]]-H_Janv[[#This Row],[début]],1)-MOD(H_Janv[[#This Row],[PNP Fin]]-H_Janv[[#This Row],[PNP Début]],1))*24</f>
        <v>0</v>
      </c>
      <c r="K46" s="96" t="str">
        <f>IFERROR(VLOOKUP(H_Janv[[#This Row],[Service]],Codes[],4,0),"")</f>
        <v/>
      </c>
      <c r="L46" s="49">
        <f>IF(H_Janv[[#This Row],[PNP Début]]=0,0,IF(H_Janv[[#This Row],[PNP Début]]&lt;H_Janv[[#This Row],[début]],1,0)+H_Janv[[#This Row],[PNP Début]])</f>
        <v>0</v>
      </c>
      <c r="M46" s="50">
        <f>IF(H_Janv[[#This Row],[PNP Fin]]=0,0,IF(H_Janv[[#This Row],[PNP Fin]]&lt;H_Janv[[#This Row],[début]],1,0)+H_Janv[[#This Row],[PNP Fin]])</f>
        <v>0</v>
      </c>
      <c r="N46" s="50">
        <f>IF(H_Janv[[#This Row],[Fin]]&lt;H_Janv[[#This Row],[début]],1,0)+H_Janv[[#This Row],[Fin]]</f>
        <v>0</v>
      </c>
      <c r="O46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6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6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6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7" spans="1:20" x14ac:dyDescent="0.3">
      <c r="A47" s="126"/>
      <c r="B47" s="1"/>
      <c r="C47" s="2"/>
      <c r="D47" s="2"/>
      <c r="E47" s="3"/>
      <c r="F47" s="3"/>
      <c r="G47" s="3"/>
      <c r="H47" s="3"/>
      <c r="I47" s="47">
        <f>0.1*(H_Janv[[#This Row],[Heures de nuit]]+IF(H_Janv[[#This Row],[majoration dim &amp; JF]]="non",0,H_Janv[[#This Row],[heures jour dimanche]]+H_Janv[[#This Row],[heures jour fériés]]))</f>
        <v>0</v>
      </c>
      <c r="J47" s="48">
        <f>(MOD(H_Janv[[#This Row],[Fin]]-H_Janv[[#This Row],[début]],1)-MOD(H_Janv[[#This Row],[PNP Fin]]-H_Janv[[#This Row],[PNP Début]],1))*24</f>
        <v>0</v>
      </c>
      <c r="K47" s="96" t="str">
        <f>IFERROR(VLOOKUP(H_Janv[[#This Row],[Service]],Codes[],4,0),"")</f>
        <v/>
      </c>
      <c r="L47" s="49">
        <f>IF(H_Janv[[#This Row],[PNP Début]]=0,0,IF(H_Janv[[#This Row],[PNP Début]]&lt;H_Janv[[#This Row],[début]],1,0)+H_Janv[[#This Row],[PNP Début]])</f>
        <v>0</v>
      </c>
      <c r="M47" s="50">
        <f>IF(H_Janv[[#This Row],[PNP Fin]]=0,0,IF(H_Janv[[#This Row],[PNP Fin]]&lt;H_Janv[[#This Row],[début]],1,0)+H_Janv[[#This Row],[PNP Fin]])</f>
        <v>0</v>
      </c>
      <c r="N47" s="50">
        <f>IF(H_Janv[[#This Row],[Fin]]&lt;H_Janv[[#This Row],[début]],1,0)+H_Janv[[#This Row],[Fin]]</f>
        <v>0</v>
      </c>
      <c r="O47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7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7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7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8" spans="1:20" x14ac:dyDescent="0.3">
      <c r="A48" s="126"/>
      <c r="B48" s="1"/>
      <c r="C48" s="2"/>
      <c r="D48" s="2"/>
      <c r="E48" s="3"/>
      <c r="F48" s="3"/>
      <c r="G48" s="3"/>
      <c r="H48" s="3"/>
      <c r="I48" s="47">
        <f>0.1*(H_Janv[[#This Row],[Heures de nuit]]+IF(H_Janv[[#This Row],[majoration dim &amp; JF]]="non",0,H_Janv[[#This Row],[heures jour dimanche]]+H_Janv[[#This Row],[heures jour fériés]]))</f>
        <v>0</v>
      </c>
      <c r="J48" s="48">
        <f>(MOD(H_Janv[[#This Row],[Fin]]-H_Janv[[#This Row],[début]],1)-MOD(H_Janv[[#This Row],[PNP Fin]]-H_Janv[[#This Row],[PNP Début]],1))*24</f>
        <v>0</v>
      </c>
      <c r="K48" s="96" t="str">
        <f>IFERROR(VLOOKUP(H_Janv[[#This Row],[Service]],Codes[],4,0),"")</f>
        <v/>
      </c>
      <c r="L48" s="49">
        <f>IF(H_Janv[[#This Row],[PNP Début]]=0,0,IF(H_Janv[[#This Row],[PNP Début]]&lt;H_Janv[[#This Row],[début]],1,0)+H_Janv[[#This Row],[PNP Début]])</f>
        <v>0</v>
      </c>
      <c r="M48" s="50">
        <f>IF(H_Janv[[#This Row],[PNP Fin]]=0,0,IF(H_Janv[[#This Row],[PNP Fin]]&lt;H_Janv[[#This Row],[début]],1,0)+H_Janv[[#This Row],[PNP Fin]])</f>
        <v>0</v>
      </c>
      <c r="N48" s="50">
        <f>IF(H_Janv[[#This Row],[Fin]]&lt;H_Janv[[#This Row],[début]],1,0)+H_Janv[[#This Row],[Fin]]</f>
        <v>0</v>
      </c>
      <c r="O48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8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8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8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49" spans="1:20" ht="15" thickBot="1" x14ac:dyDescent="0.35">
      <c r="A49" s="126"/>
      <c r="B49" s="1"/>
      <c r="C49" s="2"/>
      <c r="D49" s="2"/>
      <c r="E49" s="3"/>
      <c r="F49" s="3"/>
      <c r="G49" s="3"/>
      <c r="H49" s="3"/>
      <c r="I49" s="47">
        <f>0.1*(H_Janv[[#This Row],[Heures de nuit]]+IF(H_Janv[[#This Row],[majoration dim &amp; JF]]="non",0,H_Janv[[#This Row],[heures jour dimanche]]+H_Janv[[#This Row],[heures jour fériés]]))</f>
        <v>0</v>
      </c>
      <c r="J49" s="48">
        <f>(MOD(H_Janv[[#This Row],[Fin]]-H_Janv[[#This Row],[début]],1)-MOD(H_Janv[[#This Row],[PNP Fin]]-H_Janv[[#This Row],[PNP Début]],1))*24</f>
        <v>0</v>
      </c>
      <c r="K49" s="96" t="str">
        <f>IFERROR(VLOOKUP(H_Janv[[#This Row],[Service]],Codes[],4,0),"")</f>
        <v/>
      </c>
      <c r="L49" s="49">
        <f>IF(H_Janv[[#This Row],[PNP Début]]=0,0,IF(H_Janv[[#This Row],[PNP Début]]&lt;H_Janv[[#This Row],[début]],1,0)+H_Janv[[#This Row],[PNP Début]])</f>
        <v>0</v>
      </c>
      <c r="M49" s="50">
        <f>IF(H_Janv[[#This Row],[PNP Fin]]=0,0,IF(H_Janv[[#This Row],[PNP Fin]]&lt;H_Janv[[#This Row],[début]],1,0)+H_Janv[[#This Row],[PNP Fin]])</f>
        <v>0</v>
      </c>
      <c r="N49" s="50">
        <f>IF(H_Janv[[#This Row],[Fin]]&lt;H_Janv[[#This Row],[début]],1,0)+H_Janv[[#This Row],[Fin]]</f>
        <v>0</v>
      </c>
      <c r="O49" s="31">
        <f>IF(H_Janv[[#This Row],[Fin]]&lt;H_Janv[[#This Row],[début]],MAX(0,MIN(H_Janv[[#This Row],[Fin corrigée si nuit]],fin_nuit)-MAX(H_Janv[[#This Row],[début]],deb_nuit))*24,(MAX(deb_nuit,H_Janv[[#This Row],[Fin]])-MAX(deb_nuit,H_Janv[[#This Row],[début]])+MAX(MIN(fin_nuit-1,H_Janv[[#This Row],[Fin]])-MIN(fin_nuit-1,H_Janv[[#This Row],[début]]),0))*24)</f>
        <v>0</v>
      </c>
      <c r="P49" s="51">
        <f>(MAX(0,MIN(H_Janv[[#This Row],[Fin corrigée si nuit]],fin_nuit)-MAX(H_Janv[[#This Row],[début]],deb_nuit))-IF(H_Janv[[#This Row],[PNP Début]]=0,0,MIN(H_Janv[[#This Row],[PNP Fin corrigée]],fin_nuit)-MAX(H_Janv[[#This Row],[PNP Début corrigé]],deb_nuit)))*24</f>
        <v>0</v>
      </c>
      <c r="Q4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</f>
        <v>0</v>
      </c>
      <c r="R49" s="51">
        <f>(IF(WEEKDAY(H_Janv[[#This Row],[Date]],2)=7,MAX(0,MIN(fin_dimJF,H_Janv[[#This Row],[Fin corrigée si nuit]])-MAX(deb_dimJF,H_Janv[[#This Row],[début]])),0)+IF(WEEKDAY(H_Janv[[#This Row],[Date]],2)=6,MAX(0,H_Janv[[#This Row],[Fin corrigée si nuit]]-(1+deb_dimJF)),0))*24-
(IF(WEEKDAY(H_Janv[[#This Row],[Date]],2)=7,MAX(0,MIN(fin_dimJF,H_Janv[[#This Row],[PNP Fin corrigée]])-MAX(deb_dimJF,H_Janv[[#This Row],[PNP Début corrigé]])),0)+IF(WEEKDAY(H_Janv[[#This Row],[Date]],2)=6,MAX(0,H_Janv[[#This Row],[PNP Fin corrigée]]-(1+deb_dimJF)),0))*24</f>
        <v>0</v>
      </c>
      <c r="S4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</f>
        <v>0</v>
      </c>
      <c r="T49" s="51">
        <f>(IF(COUNTIF(JF,H_Janv[[#This Row],[Date]]),MAX(0,MIN(fin_dimJF,H_Janv[[#This Row],[Fin corrigée si nuit]])-MAX(deb_dimJF,H_Janv[[#This Row],[début]])),0)+IF(COUNTIF(JF,H_Janv[[#This Row],[Date]]+1),MAX(0,H_Janv[[#This Row],[Fin corrigée si nuit]]-(1+deb_dimJF)),0))*24-
(IF(COUNTIF(JF,H_Janv[[#This Row],[Date]]),MAX(0,MIN(fin_dimJF,H_Janv[[#This Row],[PNP Fin corrigée]])-MAX(deb_dimJF,H_Janv[[#This Row],[PNP Début corrigé]])),0)+IF(COUNTIF(JF,H_Janv[[#This Row],[Date]]+1),MAX(0,H_Janv[[#This Row],[PNP Fin corrigée]]-(1+deb_dimJF)),0))*24</f>
        <v>0</v>
      </c>
    </row>
    <row r="50" spans="1:20" ht="16.2" thickBot="1" x14ac:dyDescent="0.35">
      <c r="A50" s="127"/>
      <c r="B50" s="15"/>
      <c r="C50" s="15"/>
      <c r="D50" s="15"/>
      <c r="E50" s="200" t="s">
        <v>28</v>
      </c>
      <c r="F50" s="201"/>
      <c r="G50" s="201"/>
      <c r="H50" s="202"/>
      <c r="I50" s="53">
        <f>SUM(H_Janv[Majoration])</f>
        <v>10.1</v>
      </c>
      <c r="J50" s="54">
        <f>SUM(H_Janv[Heures totales payées])</f>
        <v>211.7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05"/>
      <c r="B52" s="206"/>
      <c r="C52" s="206"/>
      <c r="D52" s="207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08"/>
      <c r="B53" s="209"/>
      <c r="C53" s="209"/>
      <c r="D53" s="210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1"/>
      <c r="B54" s="212"/>
      <c r="C54" s="212"/>
      <c r="D54" s="213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127"/>
      <c r="B55" s="15"/>
      <c r="C55" s="15"/>
      <c r="D55" s="15"/>
      <c r="E55" s="15"/>
      <c r="F55" s="15"/>
      <c r="G55" s="15"/>
      <c r="H55" s="15"/>
      <c r="I55" s="15"/>
      <c r="J55" s="56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24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24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24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24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24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20">
    <mergeCell ref="E50:H50"/>
    <mergeCell ref="A51:D51"/>
    <mergeCell ref="G51:J51"/>
    <mergeCell ref="A52:D54"/>
    <mergeCell ref="G52:J54"/>
    <mergeCell ref="A9:A11"/>
    <mergeCell ref="B9:B11"/>
    <mergeCell ref="C9:D9"/>
    <mergeCell ref="E9:H9"/>
    <mergeCell ref="I9:I11"/>
    <mergeCell ref="J9:J11"/>
    <mergeCell ref="C10:C11"/>
    <mergeCell ref="D10:D11"/>
    <mergeCell ref="E10:F10"/>
    <mergeCell ref="G10:H10"/>
    <mergeCell ref="A1:B2"/>
    <mergeCell ref="A3:J4"/>
    <mergeCell ref="D5:F5"/>
    <mergeCell ref="G5:H5"/>
    <mergeCell ref="H1:J1"/>
  </mergeCells>
  <conditionalFormatting sqref="C13:D49">
    <cfRule type="expression" dxfId="311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300-000000000000}"/>
    <dataValidation type="time" allowBlank="1" showInputMessage="1" showErrorMessage="1" error="Tapez les heures sous le format_x000a_00:00" sqref="C13:H49" xr:uid="{00000000-0002-0000-03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:K5" xr:uid="{00000000-0002-0000-0300-000002000000}">
      <formula1>42736</formula1>
    </dataValidation>
  </dataValidations>
  <printOptions horizontalCentered="1"/>
  <pageMargins left="0.23622047244094491" right="0.23622047244094491" top="0" bottom="0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8</xdr:col>
                <xdr:colOff>723900</xdr:colOff>
                <xdr:row>0</xdr:row>
                <xdr:rowOff>106680</xdr:rowOff>
              </from>
              <to>
                <xdr:col>21</xdr:col>
                <xdr:colOff>15240</xdr:colOff>
                <xdr:row>3</xdr:row>
                <xdr:rowOff>220980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3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B60"/>
  <sheetViews>
    <sheetView tabSelected="1" topLeftCell="F1" zoomScaleNormal="100" zoomScalePageLayoutView="55" workbookViewId="0">
      <selection activeCell="AB19" sqref="AB19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1.21875" style="11" bestFit="1" customWidth="1"/>
    <col min="11" max="11" width="11.21875" style="11" hidden="1" customWidth="1"/>
    <col min="12" max="12" width="14.44140625" hidden="1" customWidth="1"/>
    <col min="13" max="13" width="12.109375" hidden="1" customWidth="1"/>
    <col min="14" max="14" width="20.6640625" hidden="1" customWidth="1"/>
    <col min="15" max="15" width="17.6640625" hidden="1" customWidth="1"/>
    <col min="16" max="16" width="21.88671875" hidden="1" customWidth="1"/>
    <col min="17" max="17" width="15" hidden="1" customWidth="1"/>
    <col min="18" max="18" width="21.77734375" hidden="1" customWidth="1"/>
    <col min="19" max="19" width="15" hidden="1" customWidth="1"/>
    <col min="20" max="20" width="20.109375" hidden="1" customWidth="1"/>
    <col min="21" max="21" width="8" hidden="1" customWidth="1"/>
    <col min="22" max="22" width="30.3320312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07" t="s">
        <v>34</v>
      </c>
      <c r="I1" s="108"/>
      <c r="J1" s="107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  <c r="W4" s="121"/>
    </row>
    <row r="5" spans="1:26" ht="19.8" customHeight="1" x14ac:dyDescent="0.3">
      <c r="A5" s="65" t="s">
        <v>37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Février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  <c r="V5" s="220"/>
      <c r="W5" s="220"/>
      <c r="X5" s="220"/>
      <c r="Y5" s="220"/>
      <c r="Z5" s="220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  <c r="V6" s="220"/>
      <c r="W6" s="220"/>
      <c r="X6" s="220"/>
      <c r="Y6" s="220"/>
      <c r="Z6" s="220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  <c r="V7" s="220"/>
      <c r="W7" s="220"/>
      <c r="X7" s="220"/>
      <c r="Y7" s="220"/>
      <c r="Z7" s="220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5</v>
      </c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5</v>
      </c>
      <c r="V10" s="104" t="s">
        <v>114</v>
      </c>
      <c r="W10" s="105">
        <f>J50</f>
        <v>168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43.2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129"/>
      <c r="B13" s="1" t="s">
        <v>61</v>
      </c>
      <c r="C13" s="90">
        <v>0.75</v>
      </c>
      <c r="D13" s="90">
        <v>0.25</v>
      </c>
      <c r="E13" s="3"/>
      <c r="F13" s="3"/>
      <c r="G13" s="3"/>
      <c r="H13" s="3"/>
      <c r="I13" s="28">
        <f>0.1*(H_Fev[[#This Row],[Heures de nuit]]+IF(H_Fev[[#This Row],[majoration dim &amp; JF]]="non",0,H_Fev[[#This Row],[heures jour dimanche]]+H_Fev[[#This Row],[heures jour fériés]]))</f>
        <v>0.7</v>
      </c>
      <c r="J13" s="29">
        <f>(MOD(H_Fev[[#This Row],[Fin]]-H_Fev[[#This Row],[début]],1)-MOD(H_Fev[[#This Row],[PNP Fin]]-H_Fev[[#This Row],[PNP Début]],1))*24</f>
        <v>12</v>
      </c>
      <c r="K13" s="48">
        <f>IFERROR(VLOOKUP(H_Fev[[#This Row],[Service]],Codes[],4,0),"")</f>
        <v>0</v>
      </c>
      <c r="L13" s="30">
        <f>IF(H_Fev[[#This Row],[PNP Début]]=0,0,IF(H_Fev[[#This Row],[PNP Début]]&lt;H_Fev[[#This Row],[début]],1,0)+H_Fev[[#This Row],[PNP Début]])</f>
        <v>0</v>
      </c>
      <c r="M13" s="30">
        <f>IF(H_Fev[[#This Row],[PNP Fin]]=0,0,IF(H_Fev[[#This Row],[PNP Fin]]&lt;H_Fev[[#This Row],[début]],1,0)+H_Fev[[#This Row],[PNP Fin]])</f>
        <v>0</v>
      </c>
      <c r="N13" s="30">
        <f>IF(H_Fev[[#This Row],[Fin]]&lt;H_Fev[[#This Row],[début]],1,0)+H_Fev[[#This Row],[Fin]]</f>
        <v>1.25</v>
      </c>
      <c r="O13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3" s="3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3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3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3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3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129"/>
      <c r="B14" s="1" t="s">
        <v>61</v>
      </c>
      <c r="C14" s="90">
        <v>0.75</v>
      </c>
      <c r="D14" s="90">
        <v>0.25</v>
      </c>
      <c r="E14" s="3"/>
      <c r="F14" s="3"/>
      <c r="G14" s="3"/>
      <c r="H14" s="3"/>
      <c r="I14" s="28">
        <f>0.1*(H_Fev[[#This Row],[Heures de nuit]]+IF(H_Fev[[#This Row],[majoration dim &amp; JF]]="non",0,H_Fev[[#This Row],[heures jour dimanche]]+H_Fev[[#This Row],[heures jour fériés]]))</f>
        <v>0.7</v>
      </c>
      <c r="J14" s="29">
        <f>(MOD(H_Fev[[#This Row],[Fin]]-H_Fev[[#This Row],[début]],1)-MOD(H_Fev[[#This Row],[PNP Fin]]-H_Fev[[#This Row],[PNP Début]],1))*24</f>
        <v>12</v>
      </c>
      <c r="K14" s="48">
        <f>IFERROR(VLOOKUP(H_Fev[[#This Row],[Service]],Codes[],4,0),"")</f>
        <v>0</v>
      </c>
      <c r="L14" s="30">
        <f>IF(H_Fev[[#This Row],[PNP Début]]=0,0,IF(H_Fev[[#This Row],[PNP Début]]&lt;H_Fev[[#This Row],[début]],1,0)+H_Fev[[#This Row],[PNP Début]])</f>
        <v>0</v>
      </c>
      <c r="M14" s="30">
        <f>IF(H_Fev[[#This Row],[PNP Fin]]=0,0,IF(H_Fev[[#This Row],[PNP Fin]]&lt;H_Fev[[#This Row],[début]],1,0)+H_Fev[[#This Row],[PNP Fin]])</f>
        <v>0</v>
      </c>
      <c r="N14" s="30">
        <f>IF(H_Fev[[#This Row],[Fin]]&lt;H_Fev[[#This Row],[début]],1,0)+H_Fev[[#This Row],[Fin]]</f>
        <v>1.25</v>
      </c>
      <c r="O14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4" s="3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4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4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4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4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129"/>
      <c r="B15" s="1" t="s">
        <v>61</v>
      </c>
      <c r="C15" s="2">
        <v>0.75</v>
      </c>
      <c r="D15" s="2">
        <v>0.25</v>
      </c>
      <c r="E15" s="3"/>
      <c r="F15" s="3"/>
      <c r="G15" s="3"/>
      <c r="H15" s="3"/>
      <c r="I15" s="28">
        <f>0.1*(H_Fev[[#This Row],[Heures de nuit]]+IF(H_Fev[[#This Row],[majoration dim &amp; JF]]="non",0,H_Fev[[#This Row],[heures jour dimanche]]+H_Fev[[#This Row],[heures jour fériés]]))</f>
        <v>0.7</v>
      </c>
      <c r="J15" s="29">
        <f>(MOD(H_Fev[[#This Row],[Fin]]-H_Fev[[#This Row],[début]],1)-MOD(H_Fev[[#This Row],[PNP Fin]]-H_Fev[[#This Row],[PNP Début]],1))*24</f>
        <v>12</v>
      </c>
      <c r="K15" s="48">
        <f>IFERROR(VLOOKUP(H_Fev[[#This Row],[Service]],Codes[],4,0),"")</f>
        <v>0</v>
      </c>
      <c r="L15" s="30">
        <f>IF(H_Fev[[#This Row],[PNP Début]]=0,0,IF(H_Fev[[#This Row],[PNP Début]]&lt;H_Fev[[#This Row],[début]],1,0)+H_Fev[[#This Row],[PNP Début]])</f>
        <v>0</v>
      </c>
      <c r="M15" s="30">
        <f>IF(H_Fev[[#This Row],[PNP Fin]]=0,0,IF(H_Fev[[#This Row],[PNP Fin]]&lt;H_Fev[[#This Row],[début]],1,0)+H_Fev[[#This Row],[PNP Fin]])</f>
        <v>0</v>
      </c>
      <c r="N15" s="30">
        <f>IF(H_Fev[[#This Row],[Fin]]&lt;H_Fev[[#This Row],[début]],1,0)+H_Fev[[#This Row],[Fin]]</f>
        <v>1.25</v>
      </c>
      <c r="O15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5" s="3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5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5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5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5" s="32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129"/>
      <c r="B16" s="1" t="s">
        <v>61</v>
      </c>
      <c r="C16" s="2">
        <v>0.75</v>
      </c>
      <c r="D16" s="2">
        <v>0.25</v>
      </c>
      <c r="E16" s="3"/>
      <c r="F16" s="3"/>
      <c r="G16" s="5"/>
      <c r="H16" s="5"/>
      <c r="I16" s="28">
        <f>0.1*(H_Fev[[#This Row],[Heures de nuit]]+IF(H_Fev[[#This Row],[majoration dim &amp; JF]]="non",0,H_Fev[[#This Row],[heures jour dimanche]]+H_Fev[[#This Row],[heures jour fériés]]))</f>
        <v>0.7</v>
      </c>
      <c r="J16" s="33">
        <f>(MOD(H_Fev[[#This Row],[Fin]]-H_Fev[[#This Row],[début]],1)-MOD(H_Fev[[#This Row],[PNP Fin]]-H_Fev[[#This Row],[PNP Début]],1))*24</f>
        <v>12</v>
      </c>
      <c r="K16" s="48">
        <f>IFERROR(VLOOKUP(H_Fev[[#This Row],[Service]],Codes[],4,0),"")</f>
        <v>0</v>
      </c>
      <c r="L16" s="30">
        <f>IF(H_Fev[[#This Row],[PNP Début]]=0,0,IF(H_Fev[[#This Row],[PNP Début]]&lt;H_Fev[[#This Row],[début]],1,0)+H_Fev[[#This Row],[PNP Début]])</f>
        <v>0</v>
      </c>
      <c r="M16" s="30">
        <f>IF(H_Fev[[#This Row],[PNP Fin]]=0,0,IF(H_Fev[[#This Row],[PNP Fin]]&lt;H_Fev[[#This Row],[début]],1,0)+H_Fev[[#This Row],[PNP Fin]])</f>
        <v>0</v>
      </c>
      <c r="N16" s="34">
        <f>IF(H_Fev[[#This Row],[Fin]]&lt;H_Fev[[#This Row],[début]],1,0)+H_Fev[[#This Row],[Fin]]</f>
        <v>1.25</v>
      </c>
      <c r="O16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6" s="35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6" s="35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6" s="3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6" s="36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6" s="36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16" s="104" t="s">
        <v>116</v>
      </c>
      <c r="W16" s="105">
        <f>'Janvier 18'!Z16</f>
        <v>20.100000000000001</v>
      </c>
      <c r="X16" s="105">
        <f>I50</f>
        <v>9.7999999999999989</v>
      </c>
      <c r="Y16" s="105">
        <f>IF(U9&lt;0,0,IF(U9&lt;&gt;"",U10,""))</f>
        <v>5</v>
      </c>
      <c r="Z16" s="105">
        <f>W16+X16-Y16</f>
        <v>24.9</v>
      </c>
    </row>
    <row r="17" spans="1:28" x14ac:dyDescent="0.3">
      <c r="A17" s="129"/>
      <c r="B17" s="1" t="s">
        <v>61</v>
      </c>
      <c r="C17" s="2">
        <v>0.75</v>
      </c>
      <c r="D17" s="2">
        <v>0.25</v>
      </c>
      <c r="E17" s="3"/>
      <c r="F17" s="3"/>
      <c r="G17" s="5"/>
      <c r="H17" s="5"/>
      <c r="I17" s="37">
        <f>0.1*(H_Fev[[#This Row],[Heures de nuit]]+IF(H_Fev[[#This Row],[majoration dim &amp; JF]]="non",0,H_Fev[[#This Row],[heures jour dimanche]]+H_Fev[[#This Row],[heures jour fériés]]))</f>
        <v>0.7</v>
      </c>
      <c r="J17" s="38">
        <f>(MOD(H_Fev[[#This Row],[Fin]]-H_Fev[[#This Row],[début]],1)-MOD(H_Fev[[#This Row],[PNP Fin]]-H_Fev[[#This Row],[PNP Début]],1))*24</f>
        <v>12</v>
      </c>
      <c r="K17" s="48">
        <f>IFERROR(VLOOKUP(H_Fev[[#This Row],[Service]],Codes[],4,0),"")</f>
        <v>0</v>
      </c>
      <c r="L17" s="39">
        <f>IF(H_Fev[[#This Row],[PNP Début]]=0,0,IF(H_Fev[[#This Row],[PNP Début]]&lt;H_Fev[[#This Row],[début]],1,0)+H_Fev[[#This Row],[PNP Début]])</f>
        <v>0</v>
      </c>
      <c r="M17" s="40">
        <f>IF(H_Fev[[#This Row],[PNP Fin]]=0,0,IF(H_Fev[[#This Row],[PNP Fin]]&lt;H_Fev[[#This Row],[début]],1,0)+H_Fev[[#This Row],[PNP Fin]])</f>
        <v>0</v>
      </c>
      <c r="N17" s="40">
        <f>IF(H_Fev[[#This Row],[Fin]]&lt;H_Fev[[#This Row],[début]],1,0)+H_Fev[[#This Row],[Fin]]</f>
        <v>1.25</v>
      </c>
      <c r="O17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7" s="4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7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7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7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7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18" spans="1:28" x14ac:dyDescent="0.3">
      <c r="A18" s="129"/>
      <c r="B18" s="1" t="s">
        <v>61</v>
      </c>
      <c r="C18" s="2">
        <v>0.75</v>
      </c>
      <c r="D18" s="2">
        <v>0.25</v>
      </c>
      <c r="E18" s="3"/>
      <c r="F18" s="3"/>
      <c r="G18" s="9"/>
      <c r="H18" s="9"/>
      <c r="I18" s="37">
        <f>0.1*(H_Fev[[#This Row],[Heures de nuit]]+IF(H_Fev[[#This Row],[majoration dim &amp; JF]]="non",0,H_Fev[[#This Row],[heures jour dimanche]]+H_Fev[[#This Row],[heures jour fériés]]))</f>
        <v>0.7</v>
      </c>
      <c r="J18" s="38">
        <f>(MOD(H_Fev[[#This Row],[Fin]]-H_Fev[[#This Row],[début]],1)-MOD(H_Fev[[#This Row],[PNP Fin]]-H_Fev[[#This Row],[PNP Début]],1))*24</f>
        <v>12</v>
      </c>
      <c r="K18" s="48">
        <f>IFERROR(VLOOKUP(H_Fev[[#This Row],[Service]],Codes[],4,0),"")</f>
        <v>0</v>
      </c>
      <c r="L18" s="39">
        <f>IF(H_Fev[[#This Row],[PNP Début]]=0,0,IF(H_Fev[[#This Row],[PNP Début]]&lt;H_Fev[[#This Row],[début]],1,0)+H_Fev[[#This Row],[PNP Début]])</f>
        <v>0</v>
      </c>
      <c r="M18" s="40">
        <f>IF(H_Fev[[#This Row],[PNP Fin]]=0,0,IF(H_Fev[[#This Row],[PNP Fin]]&lt;H_Fev[[#This Row],[début]],1,0)+H_Fev[[#This Row],[PNP Fin]])</f>
        <v>0</v>
      </c>
      <c r="N18" s="40">
        <f>IF(H_Fev[[#This Row],[Fin]]&lt;H_Fev[[#This Row],[début]],1,0)+H_Fev[[#This Row],[Fin]]</f>
        <v>1.25</v>
      </c>
      <c r="O18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8" s="4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8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8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8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8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19" spans="1:28" x14ac:dyDescent="0.3">
      <c r="A19" s="129"/>
      <c r="B19" s="1" t="s">
        <v>61</v>
      </c>
      <c r="C19" s="2">
        <v>0.75</v>
      </c>
      <c r="D19" s="2">
        <v>0.25</v>
      </c>
      <c r="E19" s="3"/>
      <c r="F19" s="3"/>
      <c r="G19" s="9"/>
      <c r="H19" s="9"/>
      <c r="I19" s="37">
        <f>0.1*(H_Fev[[#This Row],[Heures de nuit]]+IF(H_Fev[[#This Row],[majoration dim &amp; JF]]="non",0,H_Fev[[#This Row],[heures jour dimanche]]+H_Fev[[#This Row],[heures jour fériés]]))</f>
        <v>0.7</v>
      </c>
      <c r="J19" s="38">
        <f>(MOD(H_Fev[[#This Row],[Fin]]-H_Fev[[#This Row],[début]],1)-MOD(H_Fev[[#This Row],[PNP Fin]]-H_Fev[[#This Row],[PNP Début]],1))*24</f>
        <v>12</v>
      </c>
      <c r="K19" s="48">
        <f>IFERROR(VLOOKUP(H_Fev[[#This Row],[Service]],Codes[],4,0),"")</f>
        <v>0</v>
      </c>
      <c r="L19" s="39">
        <f>IF(H_Fev[[#This Row],[PNP Début]]=0,0,IF(H_Fev[[#This Row],[PNP Début]]&lt;H_Fev[[#This Row],[début]],1,0)+H_Fev[[#This Row],[PNP Début]])</f>
        <v>0</v>
      </c>
      <c r="M19" s="40">
        <f>IF(H_Fev[[#This Row],[PNP Fin]]=0,0,IF(H_Fev[[#This Row],[PNP Fin]]&lt;H_Fev[[#This Row],[début]],1,0)+H_Fev[[#This Row],[PNP Fin]])</f>
        <v>0</v>
      </c>
      <c r="N19" s="40">
        <f>IF(H_Fev[[#This Row],[Fin]]&lt;H_Fev[[#This Row],[début]],1,0)+H_Fev[[#This Row],[Fin]]</f>
        <v>1.25</v>
      </c>
      <c r="O19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19" s="4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19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19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19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19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19" s="111" t="s">
        <v>121</v>
      </c>
      <c r="W19" s="111">
        <f>COUNTIF(B13:B49,"*Vacances*")</f>
        <v>0</v>
      </c>
    </row>
    <row r="20" spans="1:28" x14ac:dyDescent="0.3">
      <c r="A20" s="129"/>
      <c r="B20" s="1" t="s">
        <v>61</v>
      </c>
      <c r="C20" s="2">
        <v>0.75</v>
      </c>
      <c r="D20" s="2">
        <v>0.25</v>
      </c>
      <c r="E20" s="3"/>
      <c r="F20" s="3"/>
      <c r="G20" s="5"/>
      <c r="H20" s="5"/>
      <c r="I20" s="37">
        <f>0.1*(H_Fev[[#This Row],[Heures de nuit]]+IF(H_Fev[[#This Row],[majoration dim &amp; JF]]="non",0,H_Fev[[#This Row],[heures jour dimanche]]+H_Fev[[#This Row],[heures jour fériés]]))</f>
        <v>0.7</v>
      </c>
      <c r="J20" s="38">
        <f>(MOD(H_Fev[[#This Row],[Fin]]-H_Fev[[#This Row],[début]],1)-MOD(H_Fev[[#This Row],[PNP Fin]]-H_Fev[[#This Row],[PNP Début]],1))*24</f>
        <v>12</v>
      </c>
      <c r="K20" s="48">
        <f>IFERROR(VLOOKUP(H_Fev[[#This Row],[Service]],Codes[],4,0),"")</f>
        <v>0</v>
      </c>
      <c r="L20" s="39">
        <f>IF(H_Fev[[#This Row],[PNP Début]]=0,0,IF(H_Fev[[#This Row],[PNP Début]]&lt;H_Fev[[#This Row],[début]],1,0)+H_Fev[[#This Row],[PNP Début]])</f>
        <v>0</v>
      </c>
      <c r="M20" s="40">
        <f>IF(H_Fev[[#This Row],[PNP Fin]]=0,0,IF(H_Fev[[#This Row],[PNP Fin]]&lt;H_Fev[[#This Row],[début]],1,0)+H_Fev[[#This Row],[PNP Fin]])</f>
        <v>0</v>
      </c>
      <c r="N20" s="40">
        <f>IF(H_Fev[[#This Row],[Fin]]&lt;H_Fev[[#This Row],[début]],1,0)+H_Fev[[#This Row],[Fin]]</f>
        <v>1.25</v>
      </c>
      <c r="O20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0" s="4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0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0" s="4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0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0" s="4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21" spans="1:28" x14ac:dyDescent="0.3">
      <c r="A21" s="129"/>
      <c r="B21" s="1" t="s">
        <v>61</v>
      </c>
      <c r="C21" s="2">
        <v>0.75</v>
      </c>
      <c r="D21" s="2">
        <v>0.25</v>
      </c>
      <c r="E21" s="3"/>
      <c r="F21" s="3"/>
      <c r="G21" s="5"/>
      <c r="H21" s="5"/>
      <c r="I21" s="42">
        <f>0.1*(H_Fev[[#This Row],[Heures de nuit]]+IF(H_Fev[[#This Row],[majoration dim &amp; JF]]="non",0,H_Fev[[#This Row],[heures jour dimanche]]+H_Fev[[#This Row],[heures jour fériés]]))</f>
        <v>0.7</v>
      </c>
      <c r="J21" s="43">
        <f>(MOD(H_Fev[[#This Row],[Fin]]-H_Fev[[#This Row],[début]],1)-MOD(H_Fev[[#This Row],[PNP Fin]]-H_Fev[[#This Row],[PNP Début]],1))*24</f>
        <v>12</v>
      </c>
      <c r="K21" s="48">
        <f>IFERROR(VLOOKUP(H_Fev[[#This Row],[Service]],Codes[],4,0),"")</f>
        <v>0</v>
      </c>
      <c r="L21" s="44">
        <f>IF(H_Fev[[#This Row],[PNP Début]]=0,0,IF(H_Fev[[#This Row],[PNP Début]]&lt;H_Fev[[#This Row],[début]],1,0)+H_Fev[[#This Row],[PNP Début]])</f>
        <v>0</v>
      </c>
      <c r="M21" s="45">
        <f>IF(H_Fev[[#This Row],[PNP Fin]]=0,0,IF(H_Fev[[#This Row],[PNP Fin]]&lt;H_Fev[[#This Row],[début]],1,0)+H_Fev[[#This Row],[PNP Fin]])</f>
        <v>0</v>
      </c>
      <c r="N21" s="45">
        <f>IF(H_Fev[[#This Row],[Fin]]&lt;H_Fev[[#This Row],[début]],1,0)+H_Fev[[#This Row],[Fin]]</f>
        <v>1.25</v>
      </c>
      <c r="O21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1" s="46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1" s="46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1" s="46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1" s="46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1" s="46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8" ht="14.4" customHeight="1" x14ac:dyDescent="0.3">
      <c r="A22" s="129"/>
      <c r="B22" s="1" t="s">
        <v>61</v>
      </c>
      <c r="C22" s="2">
        <v>0.75</v>
      </c>
      <c r="D22" s="2">
        <v>0.25</v>
      </c>
      <c r="E22" s="3"/>
      <c r="F22" s="3"/>
      <c r="G22" s="3"/>
      <c r="H22" s="3"/>
      <c r="I22" s="47">
        <f>0.1*(H_Fev[[#This Row],[Heures de nuit]]+IF(H_Fev[[#This Row],[majoration dim &amp; JF]]="non",0,H_Fev[[#This Row],[heures jour dimanche]]+H_Fev[[#This Row],[heures jour fériés]]))</f>
        <v>0.7</v>
      </c>
      <c r="J22" s="48">
        <f>(MOD(H_Fev[[#This Row],[Fin]]-H_Fev[[#This Row],[début]],1)-MOD(H_Fev[[#This Row],[PNP Fin]]-H_Fev[[#This Row],[PNP Début]],1))*24</f>
        <v>12</v>
      </c>
      <c r="K22" s="48">
        <f>IFERROR(VLOOKUP(H_Fev[[#This Row],[Service]],Codes[],4,0),"")</f>
        <v>0</v>
      </c>
      <c r="L22" s="49">
        <f>IF(H_Fev[[#This Row],[PNP Début]]=0,0,IF(H_Fev[[#This Row],[PNP Début]]&lt;H_Fev[[#This Row],[début]],1,0)+H_Fev[[#This Row],[PNP Début]])</f>
        <v>0</v>
      </c>
      <c r="M22" s="50">
        <f>IF(H_Fev[[#This Row],[PNP Fin]]=0,0,IF(H_Fev[[#This Row],[PNP Fin]]&lt;H_Fev[[#This Row],[début]],1,0)+H_Fev[[#This Row],[PNP Fin]])</f>
        <v>0</v>
      </c>
      <c r="N22" s="50">
        <f>IF(H_Fev[[#This Row],[Fin]]&lt;H_Fev[[#This Row],[début]],1,0)+H_Fev[[#This Row],[Fin]]</f>
        <v>1.25</v>
      </c>
      <c r="O22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2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22" s="221"/>
      <c r="W22" s="221"/>
      <c r="X22" s="221"/>
      <c r="Y22" s="221"/>
      <c r="Z22" s="221"/>
      <c r="AA22" s="221"/>
      <c r="AB22" s="221"/>
    </row>
    <row r="23" spans="1:28" ht="14.4" customHeight="1" x14ac:dyDescent="0.3">
      <c r="A23" s="129"/>
      <c r="B23" s="1" t="s">
        <v>61</v>
      </c>
      <c r="C23" s="2">
        <v>0.75</v>
      </c>
      <c r="D23" s="2">
        <v>0.25</v>
      </c>
      <c r="E23" s="3"/>
      <c r="F23" s="3"/>
      <c r="G23" s="3"/>
      <c r="H23" s="3"/>
      <c r="I23" s="47">
        <f>0.1*(H_Fev[[#This Row],[Heures de nuit]]+IF(H_Fev[[#This Row],[majoration dim &amp; JF]]="non",0,H_Fev[[#This Row],[heures jour dimanche]]+H_Fev[[#This Row],[heures jour fériés]]))</f>
        <v>0.7</v>
      </c>
      <c r="J23" s="48">
        <f>(MOD(H_Fev[[#This Row],[Fin]]-H_Fev[[#This Row],[début]],1)-MOD(H_Fev[[#This Row],[PNP Fin]]-H_Fev[[#This Row],[PNP Début]],1))*24</f>
        <v>12</v>
      </c>
      <c r="K23" s="48">
        <f>IFERROR(VLOOKUP(H_Fev[[#This Row],[Service]],Codes[],4,0),"")</f>
        <v>0</v>
      </c>
      <c r="L23" s="49">
        <f>IF(H_Fev[[#This Row],[PNP Début]]=0,0,IF(H_Fev[[#This Row],[PNP Début]]&lt;H_Fev[[#This Row],[début]],1,0)+H_Fev[[#This Row],[PNP Début]])</f>
        <v>0</v>
      </c>
      <c r="M23" s="50">
        <f>IF(H_Fev[[#This Row],[PNP Fin]]=0,0,IF(H_Fev[[#This Row],[PNP Fin]]&lt;H_Fev[[#This Row],[début]],1,0)+H_Fev[[#This Row],[PNP Fin]])</f>
        <v>0</v>
      </c>
      <c r="N23" s="50">
        <f>IF(H_Fev[[#This Row],[Fin]]&lt;H_Fev[[#This Row],[début]],1,0)+H_Fev[[#This Row],[Fin]]</f>
        <v>1.25</v>
      </c>
      <c r="O23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3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23" s="221"/>
      <c r="W23" s="221"/>
      <c r="X23" s="221"/>
      <c r="Y23" s="221"/>
      <c r="Z23" s="221"/>
      <c r="AA23" s="221"/>
      <c r="AB23" s="221"/>
    </row>
    <row r="24" spans="1:28" ht="14.4" customHeight="1" x14ac:dyDescent="0.3">
      <c r="A24" s="129"/>
      <c r="B24" s="1" t="s">
        <v>61</v>
      </c>
      <c r="C24" s="2">
        <v>0.75</v>
      </c>
      <c r="D24" s="2">
        <v>0.25</v>
      </c>
      <c r="E24" s="3"/>
      <c r="F24" s="3"/>
      <c r="G24" s="5"/>
      <c r="H24" s="5"/>
      <c r="I24" s="47">
        <f>0.1*(H_Fev[[#This Row],[Heures de nuit]]+IF(H_Fev[[#This Row],[majoration dim &amp; JF]]="non",0,H_Fev[[#This Row],[heures jour dimanche]]+H_Fev[[#This Row],[heures jour fériés]]))</f>
        <v>0.7</v>
      </c>
      <c r="J24" s="48">
        <f>(MOD(H_Fev[[#This Row],[Fin]]-H_Fev[[#This Row],[début]],1)-MOD(H_Fev[[#This Row],[PNP Fin]]-H_Fev[[#This Row],[PNP Début]],1))*24</f>
        <v>12</v>
      </c>
      <c r="K24" s="48">
        <f>IFERROR(VLOOKUP(H_Fev[[#This Row],[Service]],Codes[],4,0),"")</f>
        <v>0</v>
      </c>
      <c r="L24" s="49">
        <f>IF(H_Fev[[#This Row],[PNP Début]]=0,0,IF(H_Fev[[#This Row],[PNP Début]]&lt;H_Fev[[#This Row],[début]],1,0)+H_Fev[[#This Row],[PNP Début]])</f>
        <v>0</v>
      </c>
      <c r="M24" s="50">
        <f>IF(H_Fev[[#This Row],[PNP Fin]]=0,0,IF(H_Fev[[#This Row],[PNP Fin]]&lt;H_Fev[[#This Row],[début]],1,0)+H_Fev[[#This Row],[PNP Fin]])</f>
        <v>0</v>
      </c>
      <c r="N24" s="50">
        <f>IF(H_Fev[[#This Row],[Fin]]&lt;H_Fev[[#This Row],[début]],1,0)+H_Fev[[#This Row],[Fin]]</f>
        <v>1.25</v>
      </c>
      <c r="O24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4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24" s="221"/>
      <c r="W24" s="221"/>
      <c r="X24" s="221"/>
      <c r="Y24" s="221"/>
      <c r="Z24" s="221"/>
      <c r="AA24" s="221"/>
      <c r="AB24" s="221"/>
    </row>
    <row r="25" spans="1:28" ht="14.4" customHeight="1" x14ac:dyDescent="0.3">
      <c r="A25" s="129"/>
      <c r="B25" s="1" t="s">
        <v>61</v>
      </c>
      <c r="C25" s="2">
        <v>0.75</v>
      </c>
      <c r="D25" s="2">
        <v>0.25</v>
      </c>
      <c r="E25" s="3"/>
      <c r="F25" s="3"/>
      <c r="G25" s="5"/>
      <c r="H25" s="5"/>
      <c r="I25" s="47">
        <f>0.1*(H_Fev[[#This Row],[Heures de nuit]]+IF(H_Fev[[#This Row],[majoration dim &amp; JF]]="non",0,H_Fev[[#This Row],[heures jour dimanche]]+H_Fev[[#This Row],[heures jour fériés]]))</f>
        <v>0.7</v>
      </c>
      <c r="J25" s="48">
        <f>(MOD(H_Fev[[#This Row],[Fin]]-H_Fev[[#This Row],[début]],1)-MOD(H_Fev[[#This Row],[PNP Fin]]-H_Fev[[#This Row],[PNP Début]],1))*24</f>
        <v>12</v>
      </c>
      <c r="K25" s="48">
        <f>IFERROR(VLOOKUP(H_Fev[[#This Row],[Service]],Codes[],4,0),"")</f>
        <v>0</v>
      </c>
      <c r="L25" s="49">
        <f>IF(H_Fev[[#This Row],[PNP Début]]=0,0,IF(H_Fev[[#This Row],[PNP Début]]&lt;H_Fev[[#This Row],[début]],1,0)+H_Fev[[#This Row],[PNP Début]])</f>
        <v>0</v>
      </c>
      <c r="M25" s="50">
        <f>IF(H_Fev[[#This Row],[PNP Fin]]=0,0,IF(H_Fev[[#This Row],[PNP Fin]]&lt;H_Fev[[#This Row],[début]],1,0)+H_Fev[[#This Row],[PNP Fin]])</f>
        <v>0</v>
      </c>
      <c r="N25" s="50">
        <f>IF(H_Fev[[#This Row],[Fin]]&lt;H_Fev[[#This Row],[début]],1,0)+H_Fev[[#This Row],[Fin]]</f>
        <v>1.25</v>
      </c>
      <c r="O25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5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  <c r="V25" s="221"/>
      <c r="W25" s="221"/>
      <c r="X25" s="221"/>
      <c r="Y25" s="221"/>
      <c r="Z25" s="221"/>
      <c r="AA25" s="221"/>
      <c r="AB25" s="221"/>
    </row>
    <row r="26" spans="1:28" ht="14.4" customHeight="1" x14ac:dyDescent="0.3">
      <c r="A26" s="129"/>
      <c r="B26" s="1" t="s">
        <v>61</v>
      </c>
      <c r="C26" s="2">
        <v>0.75</v>
      </c>
      <c r="D26" s="2">
        <v>0.25</v>
      </c>
      <c r="E26" s="3"/>
      <c r="F26" s="3"/>
      <c r="G26" s="3"/>
      <c r="H26" s="3"/>
      <c r="I26" s="47">
        <f>0.1*(H_Fev[[#This Row],[Heures de nuit]]+IF(H_Fev[[#This Row],[majoration dim &amp; JF]]="non",0,H_Fev[[#This Row],[heures jour dimanche]]+H_Fev[[#This Row],[heures jour fériés]]))</f>
        <v>0.7</v>
      </c>
      <c r="J26" s="48">
        <f>(MOD(H_Fev[[#This Row],[Fin]]-H_Fev[[#This Row],[début]],1)-MOD(H_Fev[[#This Row],[PNP Fin]]-H_Fev[[#This Row],[PNP Début]],1))*24</f>
        <v>12</v>
      </c>
      <c r="K26" s="48">
        <f>IFERROR(VLOOKUP(H_Fev[[#This Row],[Service]],Codes[],4,0),"")</f>
        <v>0</v>
      </c>
      <c r="L26" s="49">
        <f>IF(H_Fev[[#This Row],[PNP Début]]=0,0,IF(H_Fev[[#This Row],[PNP Début]]&lt;H_Fev[[#This Row],[début]],1,0)+H_Fev[[#This Row],[PNP Début]])</f>
        <v>0</v>
      </c>
      <c r="M26" s="50">
        <f>IF(H_Fev[[#This Row],[PNP Fin]]=0,0,IF(H_Fev[[#This Row],[PNP Fin]]&lt;H_Fev[[#This Row],[début]],1,0)+H_Fev[[#This Row],[PNP Fin]])</f>
        <v>0</v>
      </c>
      <c r="N26" s="50">
        <f>IF(H_Fev[[#This Row],[Fin]]&lt;H_Fev[[#This Row],[début]],1,0)+H_Fev[[#This Row],[Fin]]</f>
        <v>1.25</v>
      </c>
      <c r="O26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6.9999999999999991</v>
      </c>
      <c r="P26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6.9999999999999991</v>
      </c>
      <c r="Q2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27" spans="1:28" ht="14.4" customHeight="1" x14ac:dyDescent="0.3">
      <c r="A27" s="129"/>
      <c r="B27" s="1"/>
      <c r="C27" s="2"/>
      <c r="D27" s="2"/>
      <c r="E27" s="3"/>
      <c r="F27" s="3"/>
      <c r="G27" s="3"/>
      <c r="H27" s="3"/>
      <c r="I27" s="47">
        <f>0.1*(H_Fev[[#This Row],[Heures de nuit]]+IF(H_Fev[[#This Row],[majoration dim &amp; JF]]="non",0,H_Fev[[#This Row],[heures jour dimanche]]+H_Fev[[#This Row],[heures jour fériés]]))</f>
        <v>0</v>
      </c>
      <c r="J27" s="48">
        <f>(MOD(H_Fev[[#This Row],[Fin]]-H_Fev[[#This Row],[début]],1)-MOD(H_Fev[[#This Row],[PNP Fin]]-H_Fev[[#This Row],[PNP Début]],1))*24</f>
        <v>0</v>
      </c>
      <c r="K27" s="48" t="str">
        <f>IFERROR(VLOOKUP(H_Fev[[#This Row],[Service]],Codes[],4,0),"")</f>
        <v/>
      </c>
      <c r="L27" s="49">
        <f>IF(H_Fev[[#This Row],[PNP Début]]=0,0,IF(H_Fev[[#This Row],[PNP Début]]&lt;H_Fev[[#This Row],[début]],1,0)+H_Fev[[#This Row],[PNP Début]])</f>
        <v>0</v>
      </c>
      <c r="M27" s="50">
        <f>IF(H_Fev[[#This Row],[PNP Fin]]=0,0,IF(H_Fev[[#This Row],[PNP Fin]]&lt;H_Fev[[#This Row],[début]],1,0)+H_Fev[[#This Row],[PNP Fin]])</f>
        <v>0</v>
      </c>
      <c r="N27" s="50">
        <f>IF(H_Fev[[#This Row],[Fin]]&lt;H_Fev[[#This Row],[début]],1,0)+H_Fev[[#This Row],[Fin]]</f>
        <v>0</v>
      </c>
      <c r="O27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27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2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28" spans="1:28" ht="14.4" customHeight="1" x14ac:dyDescent="0.3">
      <c r="A28" s="129"/>
      <c r="B28" s="1"/>
      <c r="C28" s="2"/>
      <c r="D28" s="2"/>
      <c r="E28" s="3"/>
      <c r="F28" s="3"/>
      <c r="G28" s="3"/>
      <c r="H28" s="3"/>
      <c r="I28" s="47">
        <f>0.1*(H_Fev[[#This Row],[Heures de nuit]]+IF(H_Fev[[#This Row],[majoration dim &amp; JF]]="non",0,H_Fev[[#This Row],[heures jour dimanche]]+H_Fev[[#This Row],[heures jour fériés]]))</f>
        <v>0</v>
      </c>
      <c r="J28" s="48">
        <f>(MOD(H_Fev[[#This Row],[Fin]]-H_Fev[[#This Row],[début]],1)-MOD(H_Fev[[#This Row],[PNP Fin]]-H_Fev[[#This Row],[PNP Début]],1))*24</f>
        <v>0</v>
      </c>
      <c r="K28" s="48" t="str">
        <f>IFERROR(VLOOKUP(H_Fev[[#This Row],[Service]],Codes[],4,0),"")</f>
        <v/>
      </c>
      <c r="L28" s="49">
        <f>IF(H_Fev[[#This Row],[PNP Début]]=0,0,IF(H_Fev[[#This Row],[PNP Début]]&lt;H_Fev[[#This Row],[début]],1,0)+H_Fev[[#This Row],[PNP Début]])</f>
        <v>0</v>
      </c>
      <c r="M28" s="50">
        <f>IF(H_Fev[[#This Row],[PNP Fin]]=0,0,IF(H_Fev[[#This Row],[PNP Fin]]&lt;H_Fev[[#This Row],[début]],1,0)+H_Fev[[#This Row],[PNP Fin]])</f>
        <v>0</v>
      </c>
      <c r="N28" s="50">
        <f>IF(H_Fev[[#This Row],[Fin]]&lt;H_Fev[[#This Row],[début]],1,0)+H_Fev[[#This Row],[Fin]]</f>
        <v>0</v>
      </c>
      <c r="O28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28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2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29" spans="1:28" ht="14.4" customHeight="1" x14ac:dyDescent="0.3">
      <c r="A29" s="129"/>
      <c r="B29" s="1"/>
      <c r="C29" s="2"/>
      <c r="D29" s="2"/>
      <c r="E29" s="3"/>
      <c r="F29" s="3"/>
      <c r="G29" s="3"/>
      <c r="H29" s="3"/>
      <c r="I29" s="47">
        <f>0.1*(H_Fev[[#This Row],[Heures de nuit]]+IF(H_Fev[[#This Row],[majoration dim &amp; JF]]="non",0,H_Fev[[#This Row],[heures jour dimanche]]+H_Fev[[#This Row],[heures jour fériés]]))</f>
        <v>0</v>
      </c>
      <c r="J29" s="48">
        <f>(MOD(H_Fev[[#This Row],[Fin]]-H_Fev[[#This Row],[début]],1)-MOD(H_Fev[[#This Row],[PNP Fin]]-H_Fev[[#This Row],[PNP Début]],1))*24</f>
        <v>0</v>
      </c>
      <c r="K29" s="48" t="str">
        <f>IFERROR(VLOOKUP(H_Fev[[#This Row],[Service]],Codes[],4,0),"")</f>
        <v/>
      </c>
      <c r="L29" s="49">
        <f>IF(H_Fev[[#This Row],[PNP Début]]=0,0,IF(H_Fev[[#This Row],[PNP Début]]&lt;H_Fev[[#This Row],[début]],1,0)+H_Fev[[#This Row],[PNP Début]])</f>
        <v>0</v>
      </c>
      <c r="M29" s="50">
        <f>IF(H_Fev[[#This Row],[PNP Fin]]=0,0,IF(H_Fev[[#This Row],[PNP Fin]]&lt;H_Fev[[#This Row],[début]],1,0)+H_Fev[[#This Row],[PNP Fin]])</f>
        <v>0</v>
      </c>
      <c r="N29" s="50">
        <f>IF(H_Fev[[#This Row],[Fin]]&lt;H_Fev[[#This Row],[début]],1,0)+H_Fev[[#This Row],[Fin]]</f>
        <v>0</v>
      </c>
      <c r="O29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29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2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2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2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2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0" spans="1:28" ht="14.4" customHeight="1" x14ac:dyDescent="0.3">
      <c r="A30" s="129"/>
      <c r="B30" s="1"/>
      <c r="C30" s="2"/>
      <c r="D30" s="2"/>
      <c r="E30" s="3"/>
      <c r="F30" s="3"/>
      <c r="G30" s="3"/>
      <c r="H30" s="3"/>
      <c r="I30" s="47">
        <f>0.1*(H_Fev[[#This Row],[Heures de nuit]]+IF(H_Fev[[#This Row],[majoration dim &amp; JF]]="non",0,H_Fev[[#This Row],[heures jour dimanche]]+H_Fev[[#This Row],[heures jour fériés]]))</f>
        <v>0</v>
      </c>
      <c r="J30" s="48">
        <f>(MOD(H_Fev[[#This Row],[Fin]]-H_Fev[[#This Row],[début]],1)-MOD(H_Fev[[#This Row],[PNP Fin]]-H_Fev[[#This Row],[PNP Début]],1))*24</f>
        <v>0</v>
      </c>
      <c r="K30" s="48" t="str">
        <f>IFERROR(VLOOKUP(H_Fev[[#This Row],[Service]],Codes[],4,0),"")</f>
        <v/>
      </c>
      <c r="L30" s="49">
        <f>IF(H_Fev[[#This Row],[PNP Début]]=0,0,IF(H_Fev[[#This Row],[PNP Début]]&lt;H_Fev[[#This Row],[début]],1,0)+H_Fev[[#This Row],[PNP Début]])</f>
        <v>0</v>
      </c>
      <c r="M30" s="50">
        <f>IF(H_Fev[[#This Row],[PNP Fin]]=0,0,IF(H_Fev[[#This Row],[PNP Fin]]&lt;H_Fev[[#This Row],[début]],1,0)+H_Fev[[#This Row],[PNP Fin]])</f>
        <v>0</v>
      </c>
      <c r="N30" s="50">
        <f>IF(H_Fev[[#This Row],[Fin]]&lt;H_Fev[[#This Row],[début]],1,0)+H_Fev[[#This Row],[Fin]]</f>
        <v>0</v>
      </c>
      <c r="O30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0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0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0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0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0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1" spans="1:28" x14ac:dyDescent="0.3">
      <c r="A31" s="129"/>
      <c r="B31" s="1"/>
      <c r="C31" s="2"/>
      <c r="D31" s="2"/>
      <c r="E31" s="3"/>
      <c r="F31" s="3"/>
      <c r="G31" s="3"/>
      <c r="H31" s="3"/>
      <c r="I31" s="47">
        <f>0.1*(H_Fev[[#This Row],[Heures de nuit]]+IF(H_Fev[[#This Row],[majoration dim &amp; JF]]="non",0,H_Fev[[#This Row],[heures jour dimanche]]+H_Fev[[#This Row],[heures jour fériés]]))</f>
        <v>0</v>
      </c>
      <c r="J31" s="48">
        <f>(MOD(H_Fev[[#This Row],[Fin]]-H_Fev[[#This Row],[début]],1)-MOD(H_Fev[[#This Row],[PNP Fin]]-H_Fev[[#This Row],[PNP Début]],1))*24</f>
        <v>0</v>
      </c>
      <c r="K31" s="48" t="str">
        <f>IFERROR(VLOOKUP(H_Fev[[#This Row],[Service]],Codes[],4,0),"")</f>
        <v/>
      </c>
      <c r="L31" s="49">
        <f>IF(H_Fev[[#This Row],[PNP Début]]=0,0,IF(H_Fev[[#This Row],[PNP Début]]&lt;H_Fev[[#This Row],[début]],1,0)+H_Fev[[#This Row],[PNP Début]])</f>
        <v>0</v>
      </c>
      <c r="M31" s="50">
        <f>IF(H_Fev[[#This Row],[PNP Fin]]=0,0,IF(H_Fev[[#This Row],[PNP Fin]]&lt;H_Fev[[#This Row],[début]],1,0)+H_Fev[[#This Row],[PNP Fin]])</f>
        <v>0</v>
      </c>
      <c r="N31" s="50">
        <f>IF(H_Fev[[#This Row],[Fin]]&lt;H_Fev[[#This Row],[début]],1,0)+H_Fev[[#This Row],[Fin]]</f>
        <v>0</v>
      </c>
      <c r="O31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1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1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1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1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1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2" spans="1:28" ht="14.55" customHeight="1" x14ac:dyDescent="0.3">
      <c r="A32" s="129"/>
      <c r="B32" s="1"/>
      <c r="C32" s="2"/>
      <c r="D32" s="2"/>
      <c r="E32" s="3"/>
      <c r="F32" s="3"/>
      <c r="G32" s="3"/>
      <c r="H32" s="3"/>
      <c r="I32" s="47">
        <f>0.1*(H_Fev[[#This Row],[Heures de nuit]]+IF(H_Fev[[#This Row],[majoration dim &amp; JF]]="non",0,H_Fev[[#This Row],[heures jour dimanche]]+H_Fev[[#This Row],[heures jour fériés]]))</f>
        <v>0</v>
      </c>
      <c r="J32" s="48">
        <f>(MOD(H_Fev[[#This Row],[Fin]]-H_Fev[[#This Row],[début]],1)-MOD(H_Fev[[#This Row],[PNP Fin]]-H_Fev[[#This Row],[PNP Début]],1))*24</f>
        <v>0</v>
      </c>
      <c r="K32" s="48" t="str">
        <f>IFERROR(VLOOKUP(H_Fev[[#This Row],[Service]],Codes[],4,0),"")</f>
        <v/>
      </c>
      <c r="L32" s="49">
        <f>IF(H_Fev[[#This Row],[PNP Début]]=0,0,IF(H_Fev[[#This Row],[PNP Début]]&lt;H_Fev[[#This Row],[début]],1,0)+H_Fev[[#This Row],[PNP Début]])</f>
        <v>0</v>
      </c>
      <c r="M32" s="50">
        <f>IF(H_Fev[[#This Row],[PNP Fin]]=0,0,IF(H_Fev[[#This Row],[PNP Fin]]&lt;H_Fev[[#This Row],[début]],1,0)+H_Fev[[#This Row],[PNP Fin]])</f>
        <v>0</v>
      </c>
      <c r="N32" s="50">
        <f>IF(H_Fev[[#This Row],[Fin]]&lt;H_Fev[[#This Row],[début]],1,0)+H_Fev[[#This Row],[Fin]]</f>
        <v>0</v>
      </c>
      <c r="O32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2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3" spans="1:20" x14ac:dyDescent="0.3">
      <c r="A33" s="129"/>
      <c r="B33" s="1"/>
      <c r="C33" s="2"/>
      <c r="D33" s="2"/>
      <c r="E33" s="3"/>
      <c r="F33" s="3"/>
      <c r="G33" s="3"/>
      <c r="H33" s="3"/>
      <c r="I33" s="47">
        <f>0.1*(H_Fev[[#This Row],[Heures de nuit]]+IF(H_Fev[[#This Row],[majoration dim &amp; JF]]="non",0,H_Fev[[#This Row],[heures jour dimanche]]+H_Fev[[#This Row],[heures jour fériés]]))</f>
        <v>0</v>
      </c>
      <c r="J33" s="48">
        <f>(MOD(H_Fev[[#This Row],[Fin]]-H_Fev[[#This Row],[début]],1)-MOD(H_Fev[[#This Row],[PNP Fin]]-H_Fev[[#This Row],[PNP Début]],1))*24</f>
        <v>0</v>
      </c>
      <c r="K33" s="48" t="str">
        <f>IFERROR(VLOOKUP(H_Fev[[#This Row],[Service]],Codes[],4,0),"")</f>
        <v/>
      </c>
      <c r="L33" s="49">
        <f>IF(H_Fev[[#This Row],[PNP Début]]=0,0,IF(H_Fev[[#This Row],[PNP Début]]&lt;H_Fev[[#This Row],[début]],1,0)+H_Fev[[#This Row],[PNP Début]])</f>
        <v>0</v>
      </c>
      <c r="M33" s="50">
        <f>IF(H_Fev[[#This Row],[PNP Fin]]=0,0,IF(H_Fev[[#This Row],[PNP Fin]]&lt;H_Fev[[#This Row],[début]],1,0)+H_Fev[[#This Row],[PNP Fin]])</f>
        <v>0</v>
      </c>
      <c r="N33" s="50">
        <f>IF(H_Fev[[#This Row],[Fin]]&lt;H_Fev[[#This Row],[début]],1,0)+H_Fev[[#This Row],[Fin]]</f>
        <v>0</v>
      </c>
      <c r="O33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3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4" spans="1:20" x14ac:dyDescent="0.3">
      <c r="A34" s="129"/>
      <c r="B34" s="1"/>
      <c r="C34" s="2"/>
      <c r="D34" s="2"/>
      <c r="E34" s="3"/>
      <c r="F34" s="3"/>
      <c r="G34" s="3"/>
      <c r="H34" s="3"/>
      <c r="I34" s="47">
        <f>0.1*(H_Fev[[#This Row],[Heures de nuit]]+IF(H_Fev[[#This Row],[majoration dim &amp; JF]]="non",0,H_Fev[[#This Row],[heures jour dimanche]]+H_Fev[[#This Row],[heures jour fériés]]))</f>
        <v>0</v>
      </c>
      <c r="J34" s="48">
        <f>(MOD(H_Fev[[#This Row],[Fin]]-H_Fev[[#This Row],[début]],1)-MOD(H_Fev[[#This Row],[PNP Fin]]-H_Fev[[#This Row],[PNP Début]],1))*24</f>
        <v>0</v>
      </c>
      <c r="K34" s="48" t="str">
        <f>IFERROR(VLOOKUP(H_Fev[[#This Row],[Service]],Codes[],4,0),"")</f>
        <v/>
      </c>
      <c r="L34" s="49">
        <f>IF(H_Fev[[#This Row],[PNP Début]]=0,0,IF(H_Fev[[#This Row],[PNP Début]]&lt;H_Fev[[#This Row],[début]],1,0)+H_Fev[[#This Row],[PNP Début]])</f>
        <v>0</v>
      </c>
      <c r="M34" s="50">
        <f>IF(H_Fev[[#This Row],[PNP Fin]]=0,0,IF(H_Fev[[#This Row],[PNP Fin]]&lt;H_Fev[[#This Row],[début]],1,0)+H_Fev[[#This Row],[PNP Fin]])</f>
        <v>0</v>
      </c>
      <c r="N34" s="50">
        <f>IF(H_Fev[[#This Row],[Fin]]&lt;H_Fev[[#This Row],[début]],1,0)+H_Fev[[#This Row],[Fin]]</f>
        <v>0</v>
      </c>
      <c r="O34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4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5" spans="1:20" x14ac:dyDescent="0.3">
      <c r="A35" s="129"/>
      <c r="B35" s="1"/>
      <c r="C35" s="2"/>
      <c r="D35" s="2"/>
      <c r="E35" s="3"/>
      <c r="F35" s="3"/>
      <c r="G35" s="3"/>
      <c r="H35" s="3"/>
      <c r="I35" s="47">
        <f>0.1*(H_Fev[[#This Row],[Heures de nuit]]+IF(H_Fev[[#This Row],[majoration dim &amp; JF]]="non",0,H_Fev[[#This Row],[heures jour dimanche]]+H_Fev[[#This Row],[heures jour fériés]]))</f>
        <v>0</v>
      </c>
      <c r="J35" s="48">
        <f>(MOD(H_Fev[[#This Row],[Fin]]-H_Fev[[#This Row],[début]],1)-MOD(H_Fev[[#This Row],[PNP Fin]]-H_Fev[[#This Row],[PNP Début]],1))*24</f>
        <v>0</v>
      </c>
      <c r="K35" s="48" t="str">
        <f>IFERROR(VLOOKUP(H_Fev[[#This Row],[Service]],Codes[],4,0),"")</f>
        <v/>
      </c>
      <c r="L35" s="49">
        <f>IF(H_Fev[[#This Row],[PNP Début]]=0,0,IF(H_Fev[[#This Row],[PNP Début]]&lt;H_Fev[[#This Row],[début]],1,0)+H_Fev[[#This Row],[PNP Début]])</f>
        <v>0</v>
      </c>
      <c r="M35" s="50">
        <f>IF(H_Fev[[#This Row],[PNP Fin]]=0,0,IF(H_Fev[[#This Row],[PNP Fin]]&lt;H_Fev[[#This Row],[début]],1,0)+H_Fev[[#This Row],[PNP Fin]])</f>
        <v>0</v>
      </c>
      <c r="N35" s="50">
        <f>IF(H_Fev[[#This Row],[Fin]]&lt;H_Fev[[#This Row],[début]],1,0)+H_Fev[[#This Row],[Fin]]</f>
        <v>0</v>
      </c>
      <c r="O35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5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6" spans="1:20" x14ac:dyDescent="0.3">
      <c r="A36" s="129"/>
      <c r="B36" s="1"/>
      <c r="C36" s="2"/>
      <c r="D36" s="2"/>
      <c r="E36" s="3"/>
      <c r="F36" s="3"/>
      <c r="G36" s="3"/>
      <c r="H36" s="3"/>
      <c r="I36" s="47">
        <f>0.1*(H_Fev[[#This Row],[Heures de nuit]]+IF(H_Fev[[#This Row],[majoration dim &amp; JF]]="non",0,H_Fev[[#This Row],[heures jour dimanche]]+H_Fev[[#This Row],[heures jour fériés]]))</f>
        <v>0</v>
      </c>
      <c r="J36" s="48">
        <f>(MOD(H_Fev[[#This Row],[Fin]]-H_Fev[[#This Row],[début]],1)-MOD(H_Fev[[#This Row],[PNP Fin]]-H_Fev[[#This Row],[PNP Début]],1))*24</f>
        <v>0</v>
      </c>
      <c r="K36" s="48" t="str">
        <f>IFERROR(VLOOKUP(H_Fev[[#This Row],[Service]],Codes[],4,0),"")</f>
        <v/>
      </c>
      <c r="L36" s="49">
        <f>IF(H_Fev[[#This Row],[PNP Début]]=0,0,IF(H_Fev[[#This Row],[PNP Début]]&lt;H_Fev[[#This Row],[début]],1,0)+H_Fev[[#This Row],[PNP Début]])</f>
        <v>0</v>
      </c>
      <c r="M36" s="50">
        <f>IF(H_Fev[[#This Row],[PNP Fin]]=0,0,IF(H_Fev[[#This Row],[PNP Fin]]&lt;H_Fev[[#This Row],[début]],1,0)+H_Fev[[#This Row],[PNP Fin]])</f>
        <v>0</v>
      </c>
      <c r="N36" s="50">
        <f>IF(H_Fev[[#This Row],[Fin]]&lt;H_Fev[[#This Row],[début]],1,0)+H_Fev[[#This Row],[Fin]]</f>
        <v>0</v>
      </c>
      <c r="O36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6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7" spans="1:20" x14ac:dyDescent="0.3">
      <c r="A37" s="129"/>
      <c r="B37" s="1"/>
      <c r="C37" s="2"/>
      <c r="D37" s="2"/>
      <c r="E37" s="3"/>
      <c r="F37" s="3"/>
      <c r="G37" s="3"/>
      <c r="H37" s="3"/>
      <c r="I37" s="47">
        <f>0.1*(H_Fev[[#This Row],[Heures de nuit]]+IF(H_Fev[[#This Row],[majoration dim &amp; JF]]="non",0,H_Fev[[#This Row],[heures jour dimanche]]+H_Fev[[#This Row],[heures jour fériés]]))</f>
        <v>0</v>
      </c>
      <c r="J37" s="48">
        <f>(MOD(H_Fev[[#This Row],[Fin]]-H_Fev[[#This Row],[début]],1)-MOD(H_Fev[[#This Row],[PNP Fin]]-H_Fev[[#This Row],[PNP Début]],1))*24</f>
        <v>0</v>
      </c>
      <c r="K37" s="48" t="str">
        <f>IFERROR(VLOOKUP(H_Fev[[#This Row],[Service]],Codes[],4,0),"")</f>
        <v/>
      </c>
      <c r="L37" s="49">
        <f>IF(H_Fev[[#This Row],[PNP Début]]=0,0,IF(H_Fev[[#This Row],[PNP Début]]&lt;H_Fev[[#This Row],[début]],1,0)+H_Fev[[#This Row],[PNP Début]])</f>
        <v>0</v>
      </c>
      <c r="M37" s="50">
        <f>IF(H_Fev[[#This Row],[PNP Fin]]=0,0,IF(H_Fev[[#This Row],[PNP Fin]]&lt;H_Fev[[#This Row],[début]],1,0)+H_Fev[[#This Row],[PNP Fin]])</f>
        <v>0</v>
      </c>
      <c r="N37" s="50">
        <f>IF(H_Fev[[#This Row],[Fin]]&lt;H_Fev[[#This Row],[début]],1,0)+H_Fev[[#This Row],[Fin]]</f>
        <v>0</v>
      </c>
      <c r="O37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7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8" spans="1:20" x14ac:dyDescent="0.3">
      <c r="A38" s="129"/>
      <c r="B38" s="1"/>
      <c r="C38" s="2"/>
      <c r="D38" s="2"/>
      <c r="E38" s="3"/>
      <c r="F38" s="3"/>
      <c r="G38" s="3"/>
      <c r="H38" s="3"/>
      <c r="I38" s="47">
        <f>0.1*(H_Fev[[#This Row],[Heures de nuit]]+IF(H_Fev[[#This Row],[majoration dim &amp; JF]]="non",0,H_Fev[[#This Row],[heures jour dimanche]]+H_Fev[[#This Row],[heures jour fériés]]))</f>
        <v>0</v>
      </c>
      <c r="J38" s="48">
        <f>(MOD(H_Fev[[#This Row],[Fin]]-H_Fev[[#This Row],[début]],1)-MOD(H_Fev[[#This Row],[PNP Fin]]-H_Fev[[#This Row],[PNP Début]],1))*24</f>
        <v>0</v>
      </c>
      <c r="K38" s="48" t="str">
        <f>IFERROR(VLOOKUP(H_Fev[[#This Row],[Service]],Codes[],4,0),"")</f>
        <v/>
      </c>
      <c r="L38" s="49">
        <f>IF(H_Fev[[#This Row],[PNP Début]]=0,0,IF(H_Fev[[#This Row],[PNP Début]]&lt;H_Fev[[#This Row],[début]],1,0)+H_Fev[[#This Row],[PNP Début]])</f>
        <v>0</v>
      </c>
      <c r="M38" s="50">
        <f>IF(H_Fev[[#This Row],[PNP Fin]]=0,0,IF(H_Fev[[#This Row],[PNP Fin]]&lt;H_Fev[[#This Row],[début]],1,0)+H_Fev[[#This Row],[PNP Fin]])</f>
        <v>0</v>
      </c>
      <c r="N38" s="50">
        <f>IF(H_Fev[[#This Row],[Fin]]&lt;H_Fev[[#This Row],[début]],1,0)+H_Fev[[#This Row],[Fin]]</f>
        <v>0</v>
      </c>
      <c r="O38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8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39" spans="1:20" x14ac:dyDescent="0.3">
      <c r="A39" s="129"/>
      <c r="B39" s="1"/>
      <c r="C39" s="2"/>
      <c r="D39" s="2"/>
      <c r="E39" s="3"/>
      <c r="F39" s="3"/>
      <c r="G39" s="3"/>
      <c r="H39" s="3"/>
      <c r="I39" s="47">
        <f>0.1*(H_Fev[[#This Row],[Heures de nuit]]+IF(H_Fev[[#This Row],[majoration dim &amp; JF]]="non",0,H_Fev[[#This Row],[heures jour dimanche]]+H_Fev[[#This Row],[heures jour fériés]]))</f>
        <v>0</v>
      </c>
      <c r="J39" s="48">
        <f>(MOD(H_Fev[[#This Row],[Fin]]-H_Fev[[#This Row],[début]],1)-MOD(H_Fev[[#This Row],[PNP Fin]]-H_Fev[[#This Row],[PNP Début]],1))*24</f>
        <v>0</v>
      </c>
      <c r="K39" s="48" t="str">
        <f>IFERROR(VLOOKUP(H_Fev[[#This Row],[Service]],Codes[],4,0),"")</f>
        <v/>
      </c>
      <c r="L39" s="49">
        <f>IF(H_Fev[[#This Row],[PNP Début]]=0,0,IF(H_Fev[[#This Row],[PNP Début]]&lt;H_Fev[[#This Row],[début]],1,0)+H_Fev[[#This Row],[PNP Début]])</f>
        <v>0</v>
      </c>
      <c r="M39" s="50">
        <f>IF(H_Fev[[#This Row],[PNP Fin]]=0,0,IF(H_Fev[[#This Row],[PNP Fin]]&lt;H_Fev[[#This Row],[début]],1,0)+H_Fev[[#This Row],[PNP Fin]])</f>
        <v>0</v>
      </c>
      <c r="N39" s="50">
        <f>IF(H_Fev[[#This Row],[Fin]]&lt;H_Fev[[#This Row],[début]],1,0)+H_Fev[[#This Row],[Fin]]</f>
        <v>0</v>
      </c>
      <c r="O39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39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3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3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3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3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0" spans="1:20" x14ac:dyDescent="0.3">
      <c r="A40" s="129"/>
      <c r="B40" s="1"/>
      <c r="C40" s="2"/>
      <c r="D40" s="2"/>
      <c r="E40" s="3"/>
      <c r="F40" s="3"/>
      <c r="G40" s="3"/>
      <c r="H40" s="3"/>
      <c r="I40" s="47">
        <f>0.1*(H_Fev[[#This Row],[Heures de nuit]]+IF(H_Fev[[#This Row],[majoration dim &amp; JF]]="non",0,H_Fev[[#This Row],[heures jour dimanche]]+H_Fev[[#This Row],[heures jour fériés]]))</f>
        <v>0</v>
      </c>
      <c r="J40" s="48">
        <f>(MOD(H_Fev[[#This Row],[Fin]]-H_Fev[[#This Row],[début]],1)-MOD(H_Fev[[#This Row],[PNP Fin]]-H_Fev[[#This Row],[PNP Début]],1))*24</f>
        <v>0</v>
      </c>
      <c r="K40" s="48" t="str">
        <f>IFERROR(VLOOKUP(H_Fev[[#This Row],[Service]],Codes[],4,0),"")</f>
        <v/>
      </c>
      <c r="L40" s="49">
        <f>IF(H_Fev[[#This Row],[PNP Début]]=0,0,IF(H_Fev[[#This Row],[PNP Début]]&lt;H_Fev[[#This Row],[début]],1,0)+H_Fev[[#This Row],[PNP Début]])</f>
        <v>0</v>
      </c>
      <c r="M40" s="50">
        <f>IF(H_Fev[[#This Row],[PNP Fin]]=0,0,IF(H_Fev[[#This Row],[PNP Fin]]&lt;H_Fev[[#This Row],[début]],1,0)+H_Fev[[#This Row],[PNP Fin]])</f>
        <v>0</v>
      </c>
      <c r="N40" s="50">
        <f>IF(H_Fev[[#This Row],[Fin]]&lt;H_Fev[[#This Row],[début]],1,0)+H_Fev[[#This Row],[Fin]]</f>
        <v>0</v>
      </c>
      <c r="O40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0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0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0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0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0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1" spans="1:20" x14ac:dyDescent="0.3">
      <c r="A41" s="129"/>
      <c r="B41" s="1"/>
      <c r="C41" s="2"/>
      <c r="D41" s="2"/>
      <c r="E41" s="3"/>
      <c r="F41" s="3"/>
      <c r="G41" s="3"/>
      <c r="H41" s="3"/>
      <c r="I41" s="47">
        <f>0.1*(H_Fev[[#This Row],[Heures de nuit]]+IF(H_Fev[[#This Row],[majoration dim &amp; JF]]="non",0,H_Fev[[#This Row],[heures jour dimanche]]+H_Fev[[#This Row],[heures jour fériés]]))</f>
        <v>0</v>
      </c>
      <c r="J41" s="48">
        <f>(MOD(H_Fev[[#This Row],[Fin]]-H_Fev[[#This Row],[début]],1)-MOD(H_Fev[[#This Row],[PNP Fin]]-H_Fev[[#This Row],[PNP Début]],1))*24</f>
        <v>0</v>
      </c>
      <c r="K41" s="48" t="str">
        <f>IFERROR(VLOOKUP(H_Fev[[#This Row],[Service]],Codes[],4,0),"")</f>
        <v/>
      </c>
      <c r="L41" s="49">
        <f>IF(H_Fev[[#This Row],[PNP Début]]=0,0,IF(H_Fev[[#This Row],[PNP Début]]&lt;H_Fev[[#This Row],[début]],1,0)+H_Fev[[#This Row],[PNP Début]])</f>
        <v>0</v>
      </c>
      <c r="M41" s="50">
        <f>IF(H_Fev[[#This Row],[PNP Fin]]=0,0,IF(H_Fev[[#This Row],[PNP Fin]]&lt;H_Fev[[#This Row],[début]],1,0)+H_Fev[[#This Row],[PNP Fin]])</f>
        <v>0</v>
      </c>
      <c r="N41" s="50">
        <f>IF(H_Fev[[#This Row],[Fin]]&lt;H_Fev[[#This Row],[début]],1,0)+H_Fev[[#This Row],[Fin]]</f>
        <v>0</v>
      </c>
      <c r="O41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1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1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1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1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1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2" spans="1:20" x14ac:dyDescent="0.3">
      <c r="A42" s="129"/>
      <c r="B42" s="1"/>
      <c r="C42" s="2"/>
      <c r="D42" s="2"/>
      <c r="E42" s="3"/>
      <c r="F42" s="3"/>
      <c r="G42" s="3"/>
      <c r="H42" s="3"/>
      <c r="I42" s="47">
        <f>0.1*(H_Fev[[#This Row],[Heures de nuit]]+IF(H_Fev[[#This Row],[majoration dim &amp; JF]]="non",0,H_Fev[[#This Row],[heures jour dimanche]]+H_Fev[[#This Row],[heures jour fériés]]))</f>
        <v>0</v>
      </c>
      <c r="J42" s="48">
        <f>(MOD(H_Fev[[#This Row],[Fin]]-H_Fev[[#This Row],[début]],1)-MOD(H_Fev[[#This Row],[PNP Fin]]-H_Fev[[#This Row],[PNP Début]],1))*24</f>
        <v>0</v>
      </c>
      <c r="K42" s="48" t="str">
        <f>IFERROR(VLOOKUP(H_Fev[[#This Row],[Service]],Codes[],4,0),"")</f>
        <v/>
      </c>
      <c r="L42" s="49">
        <f>IF(H_Fev[[#This Row],[PNP Début]]=0,0,IF(H_Fev[[#This Row],[PNP Début]]&lt;H_Fev[[#This Row],[début]],1,0)+H_Fev[[#This Row],[PNP Début]])</f>
        <v>0</v>
      </c>
      <c r="M42" s="50">
        <f>IF(H_Fev[[#This Row],[PNP Fin]]=0,0,IF(H_Fev[[#This Row],[PNP Fin]]&lt;H_Fev[[#This Row],[début]],1,0)+H_Fev[[#This Row],[PNP Fin]])</f>
        <v>0</v>
      </c>
      <c r="N42" s="50">
        <f>IF(H_Fev[[#This Row],[Fin]]&lt;H_Fev[[#This Row],[début]],1,0)+H_Fev[[#This Row],[Fin]]</f>
        <v>0</v>
      </c>
      <c r="O42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2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2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2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3" spans="1:20" x14ac:dyDescent="0.3">
      <c r="A43" s="129"/>
      <c r="B43" s="1"/>
      <c r="C43" s="2"/>
      <c r="D43" s="2"/>
      <c r="E43" s="3"/>
      <c r="F43" s="3"/>
      <c r="G43" s="3"/>
      <c r="H43" s="3"/>
      <c r="I43" s="47">
        <f>0.1*(H_Fev[[#This Row],[Heures de nuit]]+IF(H_Fev[[#This Row],[majoration dim &amp; JF]]="non",0,H_Fev[[#This Row],[heures jour dimanche]]+H_Fev[[#This Row],[heures jour fériés]]))</f>
        <v>0</v>
      </c>
      <c r="J43" s="48">
        <f>(MOD(H_Fev[[#This Row],[Fin]]-H_Fev[[#This Row],[début]],1)-MOD(H_Fev[[#This Row],[PNP Fin]]-H_Fev[[#This Row],[PNP Début]],1))*24</f>
        <v>0</v>
      </c>
      <c r="K43" s="48" t="str">
        <f>IFERROR(VLOOKUP(H_Fev[[#This Row],[Service]],Codes[],4,0),"")</f>
        <v/>
      </c>
      <c r="L43" s="49">
        <f>IF(H_Fev[[#This Row],[PNP Début]]=0,0,IF(H_Fev[[#This Row],[PNP Début]]&lt;H_Fev[[#This Row],[début]],1,0)+H_Fev[[#This Row],[PNP Début]])</f>
        <v>0</v>
      </c>
      <c r="M43" s="50">
        <f>IF(H_Fev[[#This Row],[PNP Fin]]=0,0,IF(H_Fev[[#This Row],[PNP Fin]]&lt;H_Fev[[#This Row],[début]],1,0)+H_Fev[[#This Row],[PNP Fin]])</f>
        <v>0</v>
      </c>
      <c r="N43" s="50">
        <f>IF(H_Fev[[#This Row],[Fin]]&lt;H_Fev[[#This Row],[début]],1,0)+H_Fev[[#This Row],[Fin]]</f>
        <v>0</v>
      </c>
      <c r="O43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3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3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3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4" spans="1:20" x14ac:dyDescent="0.3">
      <c r="A44" s="129"/>
      <c r="B44" s="1"/>
      <c r="C44" s="2"/>
      <c r="D44" s="2"/>
      <c r="E44" s="3"/>
      <c r="F44" s="3"/>
      <c r="G44" s="3"/>
      <c r="H44" s="3"/>
      <c r="I44" s="47">
        <f>0.1*(H_Fev[[#This Row],[Heures de nuit]]+IF(H_Fev[[#This Row],[majoration dim &amp; JF]]="non",0,H_Fev[[#This Row],[heures jour dimanche]]+H_Fev[[#This Row],[heures jour fériés]]))</f>
        <v>0</v>
      </c>
      <c r="J44" s="48">
        <f>(MOD(H_Fev[[#This Row],[Fin]]-H_Fev[[#This Row],[début]],1)-MOD(H_Fev[[#This Row],[PNP Fin]]-H_Fev[[#This Row],[PNP Début]],1))*24</f>
        <v>0</v>
      </c>
      <c r="K44" s="48" t="str">
        <f>IFERROR(VLOOKUP(H_Fev[[#This Row],[Service]],Codes[],4,0),"")</f>
        <v/>
      </c>
      <c r="L44" s="49">
        <f>IF(H_Fev[[#This Row],[PNP Début]]=0,0,IF(H_Fev[[#This Row],[PNP Début]]&lt;H_Fev[[#This Row],[début]],1,0)+H_Fev[[#This Row],[PNP Début]])</f>
        <v>0</v>
      </c>
      <c r="M44" s="50">
        <f>IF(H_Fev[[#This Row],[PNP Fin]]=0,0,IF(H_Fev[[#This Row],[PNP Fin]]&lt;H_Fev[[#This Row],[début]],1,0)+H_Fev[[#This Row],[PNP Fin]])</f>
        <v>0</v>
      </c>
      <c r="N44" s="50">
        <f>IF(H_Fev[[#This Row],[Fin]]&lt;H_Fev[[#This Row],[début]],1,0)+H_Fev[[#This Row],[Fin]]</f>
        <v>0</v>
      </c>
      <c r="O44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4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4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4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5" spans="1:20" x14ac:dyDescent="0.3">
      <c r="A45" s="129"/>
      <c r="B45" s="1"/>
      <c r="C45" s="2"/>
      <c r="D45" s="2"/>
      <c r="E45" s="3"/>
      <c r="F45" s="3"/>
      <c r="G45" s="3"/>
      <c r="H45" s="3"/>
      <c r="I45" s="47">
        <f>0.1*(H_Fev[[#This Row],[Heures de nuit]]+IF(H_Fev[[#This Row],[majoration dim &amp; JF]]="non",0,H_Fev[[#This Row],[heures jour dimanche]]+H_Fev[[#This Row],[heures jour fériés]]))</f>
        <v>0</v>
      </c>
      <c r="J45" s="48">
        <f>(MOD(H_Fev[[#This Row],[Fin]]-H_Fev[[#This Row],[début]],1)-MOD(H_Fev[[#This Row],[PNP Fin]]-H_Fev[[#This Row],[PNP Début]],1))*24</f>
        <v>0</v>
      </c>
      <c r="K45" s="48" t="str">
        <f>IFERROR(VLOOKUP(H_Fev[[#This Row],[Service]],Codes[],4,0),"")</f>
        <v/>
      </c>
      <c r="L45" s="49">
        <f>IF(H_Fev[[#This Row],[PNP Début]]=0,0,IF(H_Fev[[#This Row],[PNP Début]]&lt;H_Fev[[#This Row],[début]],1,0)+H_Fev[[#This Row],[PNP Début]])</f>
        <v>0</v>
      </c>
      <c r="M45" s="50">
        <f>IF(H_Fev[[#This Row],[PNP Fin]]=0,0,IF(H_Fev[[#This Row],[PNP Fin]]&lt;H_Fev[[#This Row],[début]],1,0)+H_Fev[[#This Row],[PNP Fin]])</f>
        <v>0</v>
      </c>
      <c r="N45" s="50">
        <f>IF(H_Fev[[#This Row],[Fin]]&lt;H_Fev[[#This Row],[début]],1,0)+H_Fev[[#This Row],[Fin]]</f>
        <v>0</v>
      </c>
      <c r="O45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5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5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5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6" spans="1:20" x14ac:dyDescent="0.3">
      <c r="A46" s="129"/>
      <c r="B46" s="1"/>
      <c r="C46" s="2"/>
      <c r="D46" s="2"/>
      <c r="E46" s="3"/>
      <c r="F46" s="3"/>
      <c r="G46" s="3"/>
      <c r="H46" s="3"/>
      <c r="I46" s="47">
        <f>0.1*(H_Fev[[#This Row],[Heures de nuit]]+IF(H_Fev[[#This Row],[majoration dim &amp; JF]]="non",0,H_Fev[[#This Row],[heures jour dimanche]]+H_Fev[[#This Row],[heures jour fériés]]))</f>
        <v>0</v>
      </c>
      <c r="J46" s="48">
        <f>(MOD(H_Fev[[#This Row],[Fin]]-H_Fev[[#This Row],[début]],1)-MOD(H_Fev[[#This Row],[PNP Fin]]-H_Fev[[#This Row],[PNP Début]],1))*24</f>
        <v>0</v>
      </c>
      <c r="K46" s="48" t="str">
        <f>IFERROR(VLOOKUP(H_Fev[[#This Row],[Service]],Codes[],4,0),"")</f>
        <v/>
      </c>
      <c r="L46" s="49">
        <f>IF(H_Fev[[#This Row],[PNP Début]]=0,0,IF(H_Fev[[#This Row],[PNP Début]]&lt;H_Fev[[#This Row],[début]],1,0)+H_Fev[[#This Row],[PNP Début]])</f>
        <v>0</v>
      </c>
      <c r="M46" s="50">
        <f>IF(H_Fev[[#This Row],[PNP Fin]]=0,0,IF(H_Fev[[#This Row],[PNP Fin]]&lt;H_Fev[[#This Row],[début]],1,0)+H_Fev[[#This Row],[PNP Fin]])</f>
        <v>0</v>
      </c>
      <c r="N46" s="50">
        <f>IF(H_Fev[[#This Row],[Fin]]&lt;H_Fev[[#This Row],[début]],1,0)+H_Fev[[#This Row],[Fin]]</f>
        <v>0</v>
      </c>
      <c r="O46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6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6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6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7" spans="1:20" x14ac:dyDescent="0.3">
      <c r="A47" s="129"/>
      <c r="B47" s="1"/>
      <c r="C47" s="2"/>
      <c r="D47" s="2"/>
      <c r="E47" s="3"/>
      <c r="F47" s="3"/>
      <c r="G47" s="3"/>
      <c r="H47" s="3"/>
      <c r="I47" s="47">
        <f>0.1*(H_Fev[[#This Row],[Heures de nuit]]+IF(H_Fev[[#This Row],[majoration dim &amp; JF]]="non",0,H_Fev[[#This Row],[heures jour dimanche]]+H_Fev[[#This Row],[heures jour fériés]]))</f>
        <v>0</v>
      </c>
      <c r="J47" s="48">
        <f>(MOD(H_Fev[[#This Row],[Fin]]-H_Fev[[#This Row],[début]],1)-MOD(H_Fev[[#This Row],[PNP Fin]]-H_Fev[[#This Row],[PNP Début]],1))*24</f>
        <v>0</v>
      </c>
      <c r="K47" s="48" t="str">
        <f>IFERROR(VLOOKUP(H_Fev[[#This Row],[Service]],Codes[],4,0),"")</f>
        <v/>
      </c>
      <c r="L47" s="49">
        <f>IF(H_Fev[[#This Row],[PNP Début]]=0,0,IF(H_Fev[[#This Row],[PNP Début]]&lt;H_Fev[[#This Row],[début]],1,0)+H_Fev[[#This Row],[PNP Début]])</f>
        <v>0</v>
      </c>
      <c r="M47" s="50">
        <f>IF(H_Fev[[#This Row],[PNP Fin]]=0,0,IF(H_Fev[[#This Row],[PNP Fin]]&lt;H_Fev[[#This Row],[début]],1,0)+H_Fev[[#This Row],[PNP Fin]])</f>
        <v>0</v>
      </c>
      <c r="N47" s="50">
        <f>IF(H_Fev[[#This Row],[Fin]]&lt;H_Fev[[#This Row],[début]],1,0)+H_Fev[[#This Row],[Fin]]</f>
        <v>0</v>
      </c>
      <c r="O47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7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7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7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8" spans="1:20" x14ac:dyDescent="0.3">
      <c r="A48" s="129"/>
      <c r="B48" s="1"/>
      <c r="C48" s="2"/>
      <c r="D48" s="2"/>
      <c r="E48" s="3"/>
      <c r="F48" s="3"/>
      <c r="G48" s="3"/>
      <c r="H48" s="3"/>
      <c r="I48" s="47">
        <f>0.1*(H_Fev[[#This Row],[Heures de nuit]]+IF(H_Fev[[#This Row],[majoration dim &amp; JF]]="non",0,H_Fev[[#This Row],[heures jour dimanche]]+H_Fev[[#This Row],[heures jour fériés]]))</f>
        <v>0</v>
      </c>
      <c r="J48" s="48">
        <f>(MOD(H_Fev[[#This Row],[Fin]]-H_Fev[[#This Row],[début]],1)-MOD(H_Fev[[#This Row],[PNP Fin]]-H_Fev[[#This Row],[PNP Début]],1))*24</f>
        <v>0</v>
      </c>
      <c r="K48" s="48" t="str">
        <f>IFERROR(VLOOKUP(H_Fev[[#This Row],[Service]],Codes[],4,0),"")</f>
        <v/>
      </c>
      <c r="L48" s="49">
        <f>IF(H_Fev[[#This Row],[PNP Début]]=0,0,IF(H_Fev[[#This Row],[PNP Début]]&lt;H_Fev[[#This Row],[début]],1,0)+H_Fev[[#This Row],[PNP Début]])</f>
        <v>0</v>
      </c>
      <c r="M48" s="50">
        <f>IF(H_Fev[[#This Row],[PNP Fin]]=0,0,IF(H_Fev[[#This Row],[PNP Fin]]&lt;H_Fev[[#This Row],[début]],1,0)+H_Fev[[#This Row],[PNP Fin]])</f>
        <v>0</v>
      </c>
      <c r="N48" s="50">
        <f>IF(H_Fev[[#This Row],[Fin]]&lt;H_Fev[[#This Row],[début]],1,0)+H_Fev[[#This Row],[Fin]]</f>
        <v>0</v>
      </c>
      <c r="O48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8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8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8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49" spans="1:20" ht="15" thickBot="1" x14ac:dyDescent="0.35">
      <c r="A49" s="129"/>
      <c r="B49" s="1"/>
      <c r="C49" s="2"/>
      <c r="D49" s="2"/>
      <c r="E49" s="3"/>
      <c r="F49" s="3"/>
      <c r="G49" s="3"/>
      <c r="H49" s="3"/>
      <c r="I49" s="47">
        <f>0.1*(H_Fev[[#This Row],[Heures de nuit]]+IF(H_Fev[[#This Row],[majoration dim &amp; JF]]="non",0,H_Fev[[#This Row],[heures jour dimanche]]+H_Fev[[#This Row],[heures jour fériés]]))</f>
        <v>0</v>
      </c>
      <c r="J49" s="48">
        <f>(MOD(H_Fev[[#This Row],[Fin]]-H_Fev[[#This Row],[début]],1)-MOD(H_Fev[[#This Row],[PNP Fin]]-H_Fev[[#This Row],[PNP Début]],1))*24</f>
        <v>0</v>
      </c>
      <c r="K49" s="48" t="str">
        <f>IFERROR(VLOOKUP(H_Fev[[#This Row],[Service]],Codes[],4,0),"")</f>
        <v/>
      </c>
      <c r="L49" s="49">
        <f>IF(H_Fev[[#This Row],[PNP Début]]=0,0,IF(H_Fev[[#This Row],[PNP Début]]&lt;H_Fev[[#This Row],[début]],1,0)+H_Fev[[#This Row],[PNP Début]])</f>
        <v>0</v>
      </c>
      <c r="M49" s="50">
        <f>IF(H_Fev[[#This Row],[PNP Fin]]=0,0,IF(H_Fev[[#This Row],[PNP Fin]]&lt;H_Fev[[#This Row],[début]],1,0)+H_Fev[[#This Row],[PNP Fin]])</f>
        <v>0</v>
      </c>
      <c r="N49" s="50">
        <f>IF(H_Fev[[#This Row],[Fin]]&lt;H_Fev[[#This Row],[début]],1,0)+H_Fev[[#This Row],[Fin]]</f>
        <v>0</v>
      </c>
      <c r="O49" s="31">
        <f>IF(H_Fev[[#This Row],[Fin]]&lt;H_Fev[[#This Row],[début]],MAX(0,MIN(H_Fev[[#This Row],[Fin corrigée si nuit]],fin_nuit)-MAX(H_Fev[[#This Row],[début]],deb_nuit))*24,(MAX(deb_nuit,H_Fev[[#This Row],[Fin]])-MAX(deb_nuit,H_Fev[[#This Row],[début]])+MAX(MIN(fin_nuit-1,H_Fev[[#This Row],[Fin]])-MIN(fin_nuit-1,H_Fev[[#This Row],[début]]),0))*24)</f>
        <v>0</v>
      </c>
      <c r="P49" s="51">
        <f>(MAX(0,MIN(H_Fev[[#This Row],[Fin corrigée si nuit]],fin_nuit)-MAX(H_Fev[[#This Row],[début]],deb_nuit))-IF(H_Fev[[#This Row],[PNP Début]]=0,0,MIN(H_Fev[[#This Row],[PNP Fin corrigée]],fin_nuit)-MAX(H_Fev[[#This Row],[PNP Début corrigé]],deb_nuit)))*24</f>
        <v>0</v>
      </c>
      <c r="Q4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</f>
        <v>0</v>
      </c>
      <c r="R49" s="51">
        <f>(IF(WEEKDAY(H_Fev[[#This Row],[Date]],2)=7,MAX(0,MIN(fin_dimJF,H_Fev[[#This Row],[Fin corrigée si nuit]])-MAX(deb_dimJF,H_Fev[[#This Row],[début]])),0)+IF(WEEKDAY(H_Fev[[#This Row],[Date]],2)=6,MAX(0,H_Fev[[#This Row],[Fin corrigée si nuit]]-(1+deb_dimJF)),0))*24-
(IF(WEEKDAY(H_Fev[[#This Row],[Date]],2)=7,MAX(0,MIN(fin_dimJF,H_Fev[[#This Row],[PNP Fin corrigée]])-MAX(deb_dimJF,H_Fev[[#This Row],[PNP Début corrigé]])),0)+IF(WEEKDAY(H_Fev[[#This Row],[Date]],2)=6,MAX(0,H_Fev[[#This Row],[PNP Fin corrigée]]-(1+deb_dimJF)),0))*24</f>
        <v>0</v>
      </c>
      <c r="S4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</f>
        <v>0</v>
      </c>
      <c r="T49" s="51">
        <f>(IF(COUNTIF(JF,H_Fev[[#This Row],[Date]]),MAX(0,MIN(fin_dimJF,H_Fev[[#This Row],[Fin corrigée si nuit]])-MAX(deb_dimJF,H_Fev[[#This Row],[début]])),0)+IF(COUNTIF(JF,H_Fev[[#This Row],[Date]]+1),MAX(0,H_Fev[[#This Row],[Fin corrigée si nuit]]-(1+deb_dimJF)),0))*24-
(IF(COUNTIF(JF,H_Fev[[#This Row],[Date]]),MAX(0,MIN(fin_dimJF,H_Fev[[#This Row],[PNP Fin corrigée]])-MAX(deb_dimJF,H_Fev[[#This Row],[PNP Début corrigé]])),0)+IF(COUNTIF(JF,H_Fev[[#This Row],[Date]]+1),MAX(0,H_Fev[[#This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SUM(H_Fev[Majoration])</f>
        <v>9.7999999999999989</v>
      </c>
      <c r="J50" s="54">
        <f>SUM(H_Fev[Heures totales payées])</f>
        <v>168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6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 sort="0" autoFilter="0"/>
  <mergeCells count="21">
    <mergeCell ref="E50:H50"/>
    <mergeCell ref="A51:D51"/>
    <mergeCell ref="G51:J51"/>
    <mergeCell ref="A52:D54"/>
    <mergeCell ref="G52:J54"/>
    <mergeCell ref="V5:Z7"/>
    <mergeCell ref="V22:AB25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285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:K5" xr:uid="{00000000-0002-0000-0400-000000000000}">
      <formula1>42736</formula1>
    </dataValidation>
    <dataValidation type="time" allowBlank="1" showInputMessage="1" showErrorMessage="1" error="Tapez les heures sous le format_x000a_00:00" sqref="C13:H49" xr:uid="{00000000-0002-0000-04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4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r:id="rId5">
            <anchor moveWithCells="1">
              <from>
                <xdr:col>9</xdr:col>
                <xdr:colOff>297180</xdr:colOff>
                <xdr:row>0</xdr:row>
                <xdr:rowOff>83820</xdr:rowOff>
              </from>
              <to>
                <xdr:col>21</xdr:col>
                <xdr:colOff>312420</xdr:colOff>
                <xdr:row>3</xdr:row>
                <xdr:rowOff>213360</xdr:rowOff>
              </to>
            </anchor>
          </controlPr>
        </control>
      </mc:Choice>
      <mc:Fallback>
        <control shapeId="512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4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Z60"/>
  <sheetViews>
    <sheetView topLeftCell="V1" zoomScaleNormal="100" zoomScalePageLayoutView="55" workbookViewId="0">
      <selection activeCell="W9" sqref="W9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10.33203125" hidden="1" customWidth="1"/>
    <col min="22" max="22" width="29.2187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37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Mars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0</v>
      </c>
      <c r="V9" s="104" t="s">
        <v>113</v>
      </c>
      <c r="W9" s="105">
        <v>0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0</v>
      </c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0.1*(H_Mars[[#This Row],[Heures de nuit]]+IF(H_Mars[[#This Row],[majoration dim &amp; JF]]="non",0,H_Mars[[#This Row],[heures jour dimanche]]+H_Mars[[#This Row],[heures jour fériés]]))</f>
        <v>0</v>
      </c>
      <c r="J13" s="29">
        <f>(MOD(H_Mars[[#This Row],[Fin]]-H_Mars[[#This Row],[début]],1)-MOD(H_Mars[[#This Row],[PNP Fin]]-H_Mars[[#This Row],[PNP Début]],1))*24</f>
        <v>0</v>
      </c>
      <c r="K13" s="29" t="str">
        <f>IFERROR(VLOOKUP(H_Mars[[#This Row],[Service]],Codes[],4,0),"")</f>
        <v/>
      </c>
      <c r="L13" s="30">
        <f>IF(H_Mars[[#This Row],[PNP Début]]=0,0,IF(H_Mars[[#This Row],[PNP Début]]&lt;H_Mars[[#This Row],[début]],1,0)+H_Mars[[#This Row],[PNP Début]])</f>
        <v>0</v>
      </c>
      <c r="M13" s="30">
        <f>IF(H_Mars[[#This Row],[PNP Fin]]=0,0,IF(H_Mars[[#This Row],[PNP Fin]]&lt;H_Mars[[#This Row],[début]],1,0)+H_Mars[[#This Row],[PNP Fin]])</f>
        <v>0</v>
      </c>
      <c r="N13" s="30">
        <f>IF(H_Mars[[#This Row],[Fin]]&lt;H_Mars[[#This Row],[début]],1,0)+H_Mars[[#This Row],[Fin]]</f>
        <v>0</v>
      </c>
      <c r="O13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3" s="3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3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3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3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3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0.1*(H_Mars[[#This Row],[Heures de nuit]]+IF(H_Mars[[#This Row],[majoration dim &amp; JF]]="non",0,H_Mars[[#This Row],[heures jour dimanche]]+H_Mars[[#This Row],[heures jour fériés]]))</f>
        <v>0</v>
      </c>
      <c r="J14" s="29">
        <f>(MOD(H_Mars[[#This Row],[Fin]]-H_Mars[[#This Row],[début]],1)-MOD(H_Mars[[#This Row],[PNP Fin]]-H_Mars[[#This Row],[PNP Début]],1))*24</f>
        <v>0</v>
      </c>
      <c r="K14" s="29" t="str">
        <f>IFERROR(VLOOKUP(H_Mars[[#This Row],[Service]],Codes[],4,0),"")</f>
        <v/>
      </c>
      <c r="L14" s="30">
        <f>IF(H_Mars[[#This Row],[PNP Début]]=0,0,IF(H_Mars[[#This Row],[PNP Début]]&lt;H_Mars[[#This Row],[début]],1,0)+H_Mars[[#This Row],[PNP Début]])</f>
        <v>0</v>
      </c>
      <c r="M14" s="30">
        <f>IF(H_Mars[[#This Row],[PNP Fin]]=0,0,IF(H_Mars[[#This Row],[PNP Fin]]&lt;H_Mars[[#This Row],[début]],1,0)+H_Mars[[#This Row],[PNP Fin]])</f>
        <v>0</v>
      </c>
      <c r="N14" s="30">
        <f>IF(H_Mars[[#This Row],[Fin]]&lt;H_Mars[[#This Row],[début]],1,0)+H_Mars[[#This Row],[Fin]]</f>
        <v>0</v>
      </c>
      <c r="O14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4" s="3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4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4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4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4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0.1*(H_Mars[[#This Row],[Heures de nuit]]+IF(H_Mars[[#This Row],[majoration dim &amp; JF]]="non",0,H_Mars[[#This Row],[heures jour dimanche]]+H_Mars[[#This Row],[heures jour fériés]]))</f>
        <v>0</v>
      </c>
      <c r="J15" s="29">
        <f>(MOD(H_Mars[[#This Row],[Fin]]-H_Mars[[#This Row],[début]],1)-MOD(H_Mars[[#This Row],[PNP Fin]]-H_Mars[[#This Row],[PNP Début]],1))*24</f>
        <v>0</v>
      </c>
      <c r="K15" s="29" t="str">
        <f>IFERROR(VLOOKUP(H_Mars[[#This Row],[Service]],Codes[],4,0),"")</f>
        <v/>
      </c>
      <c r="L15" s="30">
        <f>IF(H_Mars[[#This Row],[PNP Début]]=0,0,IF(H_Mars[[#This Row],[PNP Début]]&lt;H_Mars[[#This Row],[début]],1,0)+H_Mars[[#This Row],[PNP Début]])</f>
        <v>0</v>
      </c>
      <c r="M15" s="30">
        <f>IF(H_Mars[[#This Row],[PNP Fin]]=0,0,IF(H_Mars[[#This Row],[PNP Fin]]&lt;H_Mars[[#This Row],[début]],1,0)+H_Mars[[#This Row],[PNP Fin]])</f>
        <v>0</v>
      </c>
      <c r="N15" s="30">
        <f>IF(H_Mars[[#This Row],[Fin]]&lt;H_Mars[[#This Row],[début]],1,0)+H_Mars[[#This Row],[Fin]]</f>
        <v>0</v>
      </c>
      <c r="O15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5" s="3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5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5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5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5" s="32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0.1*(H_Mars[[#This Row],[Heures de nuit]]+IF(H_Mars[[#This Row],[majoration dim &amp; JF]]="non",0,H_Mars[[#This Row],[heures jour dimanche]]+H_Mars[[#This Row],[heures jour fériés]]))</f>
        <v>0</v>
      </c>
      <c r="J16" s="33">
        <f>(MOD(H_Mars[[#This Row],[Fin]]-H_Mars[[#This Row],[début]],1)-MOD(H_Mars[[#This Row],[PNP Fin]]-H_Mars[[#This Row],[PNP Début]],1))*24</f>
        <v>0</v>
      </c>
      <c r="K16" s="33" t="str">
        <f>IFERROR(VLOOKUP(H_Mars[[#This Row],[Service]],Codes[],4,0),"")</f>
        <v/>
      </c>
      <c r="L16" s="30">
        <f>IF(H_Mars[[#This Row],[PNP Début]]=0,0,IF(H_Mars[[#This Row],[PNP Début]]&lt;H_Mars[[#This Row],[début]],1,0)+H_Mars[[#This Row],[PNP Début]])</f>
        <v>0</v>
      </c>
      <c r="M16" s="30">
        <f>IF(H_Mars[[#This Row],[PNP Fin]]=0,0,IF(H_Mars[[#This Row],[PNP Fin]]&lt;H_Mars[[#This Row],[début]],1,0)+H_Mars[[#This Row],[PNP Fin]])</f>
        <v>0</v>
      </c>
      <c r="N16" s="34">
        <f>IF(H_Mars[[#This Row],[Fin]]&lt;H_Mars[[#This Row],[début]],1,0)+H_Mars[[#This Row],[Fin]]</f>
        <v>0</v>
      </c>
      <c r="O16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6" s="35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6" s="35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6" s="3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6" s="36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6" s="36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16" s="104" t="s">
        <v>116</v>
      </c>
      <c r="W16" s="105">
        <f>'Février 18'!Z16</f>
        <v>24.9</v>
      </c>
      <c r="X16" s="105">
        <f>I50</f>
        <v>0</v>
      </c>
      <c r="Y16" s="105">
        <f>IF(U9&lt;0,0,IF(U9&lt;&gt;"",U10,""))</f>
        <v>0</v>
      </c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0.1*(H_Mars[[#This Row],[Heures de nuit]]+IF(H_Mars[[#This Row],[majoration dim &amp; JF]]="non",0,H_Mars[[#This Row],[heures jour dimanche]]+H_Mars[[#This Row],[heures jour fériés]]))</f>
        <v>0</v>
      </c>
      <c r="J17" s="38">
        <f>(MOD(H_Mars[[#This Row],[Fin]]-H_Mars[[#This Row],[début]],1)-MOD(H_Mars[[#This Row],[PNP Fin]]-H_Mars[[#This Row],[PNP Début]],1))*24</f>
        <v>0</v>
      </c>
      <c r="K17" s="99" t="str">
        <f>IFERROR(VLOOKUP(H_Mars[[#This Row],[Service]],Codes[],4,0),"")</f>
        <v/>
      </c>
      <c r="L17" s="39">
        <f>IF(H_Mars[[#This Row],[PNP Début]]=0,0,IF(H_Mars[[#This Row],[PNP Début]]&lt;H_Mars[[#This Row],[début]],1,0)+H_Mars[[#This Row],[PNP Début]])</f>
        <v>0</v>
      </c>
      <c r="M17" s="40">
        <f>IF(H_Mars[[#This Row],[PNP Fin]]=0,0,IF(H_Mars[[#This Row],[PNP Fin]]&lt;H_Mars[[#This Row],[début]],1,0)+H_Mars[[#This Row],[PNP Fin]])</f>
        <v>0</v>
      </c>
      <c r="N17" s="40">
        <f>IF(H_Mars[[#This Row],[Fin]]&lt;H_Mars[[#This Row],[début]],1,0)+H_Mars[[#This Row],[Fin]]</f>
        <v>0</v>
      </c>
      <c r="O17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7" s="4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7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7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7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7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0.1*(H_Mars[[#This Row],[Heures de nuit]]+IF(H_Mars[[#This Row],[majoration dim &amp; JF]]="non",0,H_Mars[[#This Row],[heures jour dimanche]]+H_Mars[[#This Row],[heures jour fériés]]))</f>
        <v>0</v>
      </c>
      <c r="J18" s="38">
        <f>(MOD(H_Mars[[#This Row],[Fin]]-H_Mars[[#This Row],[début]],1)-MOD(H_Mars[[#This Row],[PNP Fin]]-H_Mars[[#This Row],[PNP Début]],1))*24</f>
        <v>0</v>
      </c>
      <c r="K18" s="99" t="str">
        <f>IFERROR(VLOOKUP(H_Mars[[#This Row],[Service]],Codes[],4,0),"")</f>
        <v/>
      </c>
      <c r="L18" s="39">
        <f>IF(H_Mars[[#This Row],[PNP Début]]=0,0,IF(H_Mars[[#This Row],[PNP Début]]&lt;H_Mars[[#This Row],[début]],1,0)+H_Mars[[#This Row],[PNP Début]])</f>
        <v>0</v>
      </c>
      <c r="M18" s="40">
        <f>IF(H_Mars[[#This Row],[PNP Fin]]=0,0,IF(H_Mars[[#This Row],[PNP Fin]]&lt;H_Mars[[#This Row],[début]],1,0)+H_Mars[[#This Row],[PNP Fin]])</f>
        <v>0</v>
      </c>
      <c r="N18" s="40">
        <f>IF(H_Mars[[#This Row],[Fin]]&lt;H_Mars[[#This Row],[début]],1,0)+H_Mars[[#This Row],[Fin]]</f>
        <v>0</v>
      </c>
      <c r="O18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8" s="4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8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8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8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8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0.1*(H_Mars[[#This Row],[Heures de nuit]]+IF(H_Mars[[#This Row],[majoration dim &amp; JF]]="non",0,H_Mars[[#This Row],[heures jour dimanche]]+H_Mars[[#This Row],[heures jour fériés]]))</f>
        <v>0</v>
      </c>
      <c r="J19" s="38">
        <f>(MOD(H_Mars[[#This Row],[Fin]]-H_Mars[[#This Row],[début]],1)-MOD(H_Mars[[#This Row],[PNP Fin]]-H_Mars[[#This Row],[PNP Début]],1))*24</f>
        <v>0</v>
      </c>
      <c r="K19" s="99" t="str">
        <f>IFERROR(VLOOKUP(H_Mars[[#This Row],[Service]],Codes[],4,0),"")</f>
        <v/>
      </c>
      <c r="L19" s="39">
        <f>IF(H_Mars[[#This Row],[PNP Début]]=0,0,IF(H_Mars[[#This Row],[PNP Début]]&lt;H_Mars[[#This Row],[début]],1,0)+H_Mars[[#This Row],[PNP Début]])</f>
        <v>0</v>
      </c>
      <c r="M19" s="40">
        <f>IF(H_Mars[[#This Row],[PNP Fin]]=0,0,IF(H_Mars[[#This Row],[PNP Fin]]&lt;H_Mars[[#This Row],[début]],1,0)+H_Mars[[#This Row],[PNP Fin]])</f>
        <v>0</v>
      </c>
      <c r="N19" s="40">
        <f>IF(H_Mars[[#This Row],[Fin]]&lt;H_Mars[[#This Row],[début]],1,0)+H_Mars[[#This Row],[Fin]]</f>
        <v>0</v>
      </c>
      <c r="O19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19" s="4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19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19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19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19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3"/>
      <c r="F20" s="3"/>
      <c r="G20" s="3"/>
      <c r="H20" s="3"/>
      <c r="I20" s="47">
        <f>0.1*(H_Mars[[#This Row],[Heures de nuit]]+IF(H_Mars[[#This Row],[majoration dim &amp; JF]]="non",0,H_Mars[[#This Row],[heures jour dimanche]]+H_Mars[[#This Row],[heures jour fériés]]))</f>
        <v>0</v>
      </c>
      <c r="J20" s="48">
        <f>(MOD(H_Mars[[#This Row],[Fin]]-H_Mars[[#This Row],[début]],1)-MOD(H_Mars[[#This Row],[PNP Fin]]-H_Mars[[#This Row],[PNP Début]],1))*24</f>
        <v>0</v>
      </c>
      <c r="K20" s="96" t="str">
        <f>IFERROR(VLOOKUP(H_Mars[[#This Row],[Service]],Codes[],4,0),"")</f>
        <v/>
      </c>
      <c r="L20" s="49">
        <f>IF(H_Mars[[#This Row],[PNP Début]]=0,0,IF(H_Mars[[#This Row],[PNP Début]]&lt;H_Mars[[#This Row],[début]],1,0)+H_Mars[[#This Row],[PNP Début]])</f>
        <v>0</v>
      </c>
      <c r="M20" s="50">
        <f>IF(H_Mars[[#This Row],[PNP Fin]]=0,0,IF(H_Mars[[#This Row],[PNP Fin]]&lt;H_Mars[[#This Row],[début]],1,0)+H_Mars[[#This Row],[PNP Fin]])</f>
        <v>0</v>
      </c>
      <c r="N20" s="50">
        <f>IF(H_Mars[[#This Row],[Fin]]&lt;H_Mars[[#This Row],[début]],1,0)+H_Mars[[#This Row],[Fin]]</f>
        <v>0</v>
      </c>
      <c r="O20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0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0.1*(H_Mars[[#This Row],[Heures de nuit]]+IF(H_Mars[[#This Row],[majoration dim &amp; JF]]="non",0,H_Mars[[#This Row],[heures jour dimanche]]+H_Mars[[#This Row],[heures jour fériés]]))</f>
        <v>0</v>
      </c>
      <c r="J21" s="43">
        <f>(MOD(H_Mars[[#This Row],[Fin]]-H_Mars[[#This Row],[début]],1)-MOD(H_Mars[[#This Row],[PNP Fin]]-H_Mars[[#This Row],[PNP Début]],1))*24</f>
        <v>0</v>
      </c>
      <c r="K21" s="100" t="str">
        <f>IFERROR(VLOOKUP(H_Mars[[#This Row],[Service]],Codes[],4,0),"")</f>
        <v/>
      </c>
      <c r="L21" s="44">
        <f>IF(H_Mars[[#This Row],[PNP Début]]=0,0,IF(H_Mars[[#This Row],[PNP Début]]&lt;H_Mars[[#This Row],[début]],1,0)+H_Mars[[#This Row],[PNP Début]])</f>
        <v>0</v>
      </c>
      <c r="M21" s="45">
        <f>IF(H_Mars[[#This Row],[PNP Fin]]=0,0,IF(H_Mars[[#This Row],[PNP Fin]]&lt;H_Mars[[#This Row],[début]],1,0)+H_Mars[[#This Row],[PNP Fin]])</f>
        <v>0</v>
      </c>
      <c r="N21" s="45">
        <f>IF(H_Mars[[#This Row],[Fin]]&lt;H_Mars[[#This Row],[début]],1,0)+H_Mars[[#This Row],[Fin]]</f>
        <v>0</v>
      </c>
      <c r="O21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1" s="46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1" s="46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1" s="46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1" s="46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1" s="46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4.4" customHeight="1" thickBot="1" x14ac:dyDescent="0.35">
      <c r="A22" s="4"/>
      <c r="B22" s="1"/>
      <c r="C22" s="2"/>
      <c r="D22" s="2"/>
      <c r="E22" s="3"/>
      <c r="F22" s="3"/>
      <c r="G22" s="10"/>
      <c r="H22" s="10"/>
      <c r="I22" s="37">
        <f>0.1*(H_Mars[[#This Row],[Heures de nuit]]+IF(H_Mars[[#This Row],[majoration dim &amp; JF]]="non",0,H_Mars[[#This Row],[heures jour dimanche]]+H_Mars[[#This Row],[heures jour fériés]]))</f>
        <v>0</v>
      </c>
      <c r="J22" s="38">
        <f>(MOD(H_Mars[[#This Row],[Fin]]-H_Mars[[#This Row],[début]],1)-MOD(H_Mars[[#This Row],[PNP Fin]]-H_Mars[[#This Row],[PNP Début]],1))*24</f>
        <v>0</v>
      </c>
      <c r="K22" s="99" t="str">
        <f>IFERROR(VLOOKUP(H_Mars[[#This Row],[Service]],Codes[],4,0),"")</f>
        <v/>
      </c>
      <c r="L22" s="39">
        <f>IF(H_Mars[[#This Row],[PNP Début]]=0,0,IF(H_Mars[[#This Row],[PNP Début]]&lt;H_Mars[[#This Row],[début]],1,0)+H_Mars[[#This Row],[PNP Début]])</f>
        <v>0</v>
      </c>
      <c r="M22" s="40">
        <f>IF(H_Mars[[#This Row],[PNP Fin]]=0,0,IF(H_Mars[[#This Row],[PNP Fin]]&lt;H_Mars[[#This Row],[début]],1,0)+H_Mars[[#This Row],[PNP Fin]])</f>
        <v>0</v>
      </c>
      <c r="N22" s="40">
        <f>IF(H_Mars[[#This Row],[Fin]]&lt;H_Mars[[#This Row],[début]],1,0)+H_Mars[[#This Row],[Fin]]</f>
        <v>0</v>
      </c>
      <c r="O22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2" s="4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2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2" s="4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2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2" s="4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3" spans="1:23" ht="14.4" customHeight="1" thickBot="1" x14ac:dyDescent="0.35">
      <c r="A23" s="4"/>
      <c r="B23" s="1"/>
      <c r="C23" s="2"/>
      <c r="D23" s="2"/>
      <c r="E23" s="3"/>
      <c r="F23" s="3"/>
      <c r="G23" s="10"/>
      <c r="H23" s="10"/>
      <c r="I23" s="47">
        <f>0.1*(H_Mars[[#This Row],[Heures de nuit]]+IF(H_Mars[[#This Row],[majoration dim &amp; JF]]="non",0,H_Mars[[#This Row],[heures jour dimanche]]+H_Mars[[#This Row],[heures jour fériés]]))</f>
        <v>0</v>
      </c>
      <c r="J23" s="48">
        <f>(MOD(H_Mars[[#This Row],[Fin]]-H_Mars[[#This Row],[début]],1)-MOD(H_Mars[[#This Row],[PNP Fin]]-H_Mars[[#This Row],[PNP Début]],1))*24</f>
        <v>0</v>
      </c>
      <c r="K23" s="96" t="str">
        <f>IFERROR(VLOOKUP(H_Mars[[#This Row],[Service]],Codes[],4,0),"")</f>
        <v/>
      </c>
      <c r="L23" s="49">
        <f>IF(H_Mars[[#This Row],[PNP Début]]=0,0,IF(H_Mars[[#This Row],[PNP Début]]&lt;H_Mars[[#This Row],[début]],1,0)+H_Mars[[#This Row],[PNP Début]])</f>
        <v>0</v>
      </c>
      <c r="M23" s="50">
        <f>IF(H_Mars[[#This Row],[PNP Fin]]=0,0,IF(H_Mars[[#This Row],[PNP Fin]]&lt;H_Mars[[#This Row],[début]],1,0)+H_Mars[[#This Row],[PNP Fin]])</f>
        <v>0</v>
      </c>
      <c r="N23" s="50">
        <f>IF(H_Mars[[#This Row],[Fin]]&lt;H_Mars[[#This Row],[début]],1,0)+H_Mars[[#This Row],[Fin]]</f>
        <v>0</v>
      </c>
      <c r="O23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3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ht="14.4" customHeight="1" x14ac:dyDescent="0.3">
      <c r="A24" s="4"/>
      <c r="B24" s="1"/>
      <c r="C24" s="2"/>
      <c r="D24" s="2"/>
      <c r="E24" s="3"/>
      <c r="F24" s="3"/>
      <c r="G24" s="10"/>
      <c r="H24" s="10"/>
      <c r="I24" s="47">
        <f>0.1*(H_Mars[[#This Row],[Heures de nuit]]+IF(H_Mars[[#This Row],[majoration dim &amp; JF]]="non",0,H_Mars[[#This Row],[heures jour dimanche]]+H_Mars[[#This Row],[heures jour fériés]]))</f>
        <v>0</v>
      </c>
      <c r="J24" s="48">
        <f>(MOD(H_Mars[[#This Row],[Fin]]-H_Mars[[#This Row],[début]],1)-MOD(H_Mars[[#This Row],[PNP Fin]]-H_Mars[[#This Row],[PNP Début]],1))*24</f>
        <v>0</v>
      </c>
      <c r="K24" s="96" t="str">
        <f>IFERROR(VLOOKUP(H_Mars[[#This Row],[Service]],Codes[],4,0),"")</f>
        <v/>
      </c>
      <c r="L24" s="49">
        <f>IF(H_Mars[[#This Row],[PNP Début]]=0,0,IF(H_Mars[[#This Row],[PNP Début]]&lt;H_Mars[[#This Row],[début]],1,0)+H_Mars[[#This Row],[PNP Début]])</f>
        <v>0</v>
      </c>
      <c r="M24" s="50">
        <f>IF(H_Mars[[#This Row],[PNP Fin]]=0,0,IF(H_Mars[[#This Row],[PNP Fin]]&lt;H_Mars[[#This Row],[début]],1,0)+H_Mars[[#This Row],[PNP Fin]])</f>
        <v>0</v>
      </c>
      <c r="N24" s="50">
        <f>IF(H_Mars[[#This Row],[Fin]]&lt;H_Mars[[#This Row],[début]],1,0)+H_Mars[[#This Row],[Fin]]</f>
        <v>0</v>
      </c>
      <c r="O24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4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5" spans="1:23" ht="14.4" customHeight="1" x14ac:dyDescent="0.3">
      <c r="A25" s="4"/>
      <c r="B25" s="1"/>
      <c r="C25" s="2"/>
      <c r="D25" s="2"/>
      <c r="E25" s="3"/>
      <c r="F25" s="3"/>
      <c r="G25" s="9"/>
      <c r="H25" s="9"/>
      <c r="I25" s="47">
        <f>0.1*(H_Mars[[#This Row],[Heures de nuit]]+IF(H_Mars[[#This Row],[majoration dim &amp; JF]]="non",0,H_Mars[[#This Row],[heures jour dimanche]]+H_Mars[[#This Row],[heures jour fériés]]))</f>
        <v>0</v>
      </c>
      <c r="J25" s="48">
        <f>(MOD(H_Mars[[#This Row],[Fin]]-H_Mars[[#This Row],[début]],1)-MOD(H_Mars[[#This Row],[PNP Fin]]-H_Mars[[#This Row],[PNP Début]],1))*24</f>
        <v>0</v>
      </c>
      <c r="K25" s="96" t="str">
        <f>IFERROR(VLOOKUP(H_Mars[[#This Row],[Service]],Codes[],4,0),"")</f>
        <v/>
      </c>
      <c r="L25" s="49">
        <f>IF(H_Mars[[#This Row],[PNP Début]]=0,0,IF(H_Mars[[#This Row],[PNP Début]]&lt;H_Mars[[#This Row],[début]],1,0)+H_Mars[[#This Row],[PNP Début]])</f>
        <v>0</v>
      </c>
      <c r="M25" s="50">
        <f>IF(H_Mars[[#This Row],[PNP Fin]]=0,0,IF(H_Mars[[#This Row],[PNP Fin]]&lt;H_Mars[[#This Row],[début]],1,0)+H_Mars[[#This Row],[PNP Fin]])</f>
        <v>0</v>
      </c>
      <c r="N25" s="50">
        <f>IF(H_Mars[[#This Row],[Fin]]&lt;H_Mars[[#This Row],[début]],1,0)+H_Mars[[#This Row],[Fin]]</f>
        <v>0</v>
      </c>
      <c r="O25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5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0.1*(H_Mars[[#This Row],[Heures de nuit]]+IF(H_Mars[[#This Row],[majoration dim &amp; JF]]="non",0,H_Mars[[#This Row],[heures jour dimanche]]+H_Mars[[#This Row],[heures jour fériés]]))</f>
        <v>0</v>
      </c>
      <c r="J26" s="48">
        <f>(MOD(H_Mars[[#This Row],[Fin]]-H_Mars[[#This Row],[début]],1)-MOD(H_Mars[[#This Row],[PNP Fin]]-H_Mars[[#This Row],[PNP Début]],1))*24</f>
        <v>0</v>
      </c>
      <c r="K26" s="96" t="str">
        <f>IFERROR(VLOOKUP(H_Mars[[#This Row],[Service]],Codes[],4,0),"")</f>
        <v/>
      </c>
      <c r="L26" s="49">
        <f>IF(H_Mars[[#This Row],[PNP Début]]=0,0,IF(H_Mars[[#This Row],[PNP Début]]&lt;H_Mars[[#This Row],[début]],1,0)+H_Mars[[#This Row],[PNP Début]])</f>
        <v>0</v>
      </c>
      <c r="M26" s="50">
        <f>IF(H_Mars[[#This Row],[PNP Fin]]=0,0,IF(H_Mars[[#This Row],[PNP Fin]]&lt;H_Mars[[#This Row],[début]],1,0)+H_Mars[[#This Row],[PNP Fin]])</f>
        <v>0</v>
      </c>
      <c r="N26" s="50">
        <f>IF(H_Mars[[#This Row],[Fin]]&lt;H_Mars[[#This Row],[début]],1,0)+H_Mars[[#This Row],[Fin]]</f>
        <v>0</v>
      </c>
      <c r="O26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6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7" spans="1:23" ht="14.4" customHeight="1" x14ac:dyDescent="0.3">
      <c r="A27" s="4"/>
      <c r="B27" s="1"/>
      <c r="C27" s="2"/>
      <c r="D27" s="2"/>
      <c r="E27" s="3"/>
      <c r="F27" s="3"/>
      <c r="G27" s="5"/>
      <c r="H27" s="5"/>
      <c r="I27" s="47">
        <f>0.1*(H_Mars[[#This Row],[Heures de nuit]]+IF(H_Mars[[#This Row],[majoration dim &amp; JF]]="non",0,H_Mars[[#This Row],[heures jour dimanche]]+H_Mars[[#This Row],[heures jour fériés]]))</f>
        <v>0</v>
      </c>
      <c r="J27" s="48">
        <f>(MOD(H_Mars[[#This Row],[Fin]]-H_Mars[[#This Row],[début]],1)-MOD(H_Mars[[#This Row],[PNP Fin]]-H_Mars[[#This Row],[PNP Début]],1))*24</f>
        <v>0</v>
      </c>
      <c r="K27" s="96" t="str">
        <f>IFERROR(VLOOKUP(H_Mars[[#This Row],[Service]],Codes[],4,0),"")</f>
        <v/>
      </c>
      <c r="L27" s="49">
        <f>IF(H_Mars[[#This Row],[PNP Début]]=0,0,IF(H_Mars[[#This Row],[PNP Début]]&lt;H_Mars[[#This Row],[début]],1,0)+H_Mars[[#This Row],[PNP Début]])</f>
        <v>0</v>
      </c>
      <c r="M27" s="50">
        <f>IF(H_Mars[[#This Row],[PNP Fin]]=0,0,IF(H_Mars[[#This Row],[PNP Fin]]&lt;H_Mars[[#This Row],[début]],1,0)+H_Mars[[#This Row],[PNP Fin]])</f>
        <v>0</v>
      </c>
      <c r="N27" s="50">
        <f>IF(H_Mars[[#This Row],[Fin]]&lt;H_Mars[[#This Row],[début]],1,0)+H_Mars[[#This Row],[Fin]]</f>
        <v>0</v>
      </c>
      <c r="O27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7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8" spans="1:23" ht="14.4" customHeight="1" x14ac:dyDescent="0.3">
      <c r="A28" s="4"/>
      <c r="B28" s="1"/>
      <c r="C28" s="2"/>
      <c r="D28" s="2"/>
      <c r="E28" s="3"/>
      <c r="F28" s="3"/>
      <c r="G28" s="10"/>
      <c r="H28" s="10"/>
      <c r="I28" s="47">
        <f>0.1*(H_Mars[[#This Row],[Heures de nuit]]+IF(H_Mars[[#This Row],[majoration dim &amp; JF]]="non",0,H_Mars[[#This Row],[heures jour dimanche]]+H_Mars[[#This Row],[heures jour fériés]]))</f>
        <v>0</v>
      </c>
      <c r="J28" s="48">
        <f>(MOD(H_Mars[[#This Row],[Fin]]-H_Mars[[#This Row],[début]],1)-MOD(H_Mars[[#This Row],[PNP Fin]]-H_Mars[[#This Row],[PNP Début]],1))*24</f>
        <v>0</v>
      </c>
      <c r="K28" s="96" t="str">
        <f>IFERROR(VLOOKUP(H_Mars[[#This Row],[Service]],Codes[],4,0),"")</f>
        <v/>
      </c>
      <c r="L28" s="49">
        <f>IF(H_Mars[[#This Row],[PNP Début]]=0,0,IF(H_Mars[[#This Row],[PNP Début]]&lt;H_Mars[[#This Row],[début]],1,0)+H_Mars[[#This Row],[PNP Début]])</f>
        <v>0</v>
      </c>
      <c r="M28" s="50">
        <f>IF(H_Mars[[#This Row],[PNP Fin]]=0,0,IF(H_Mars[[#This Row],[PNP Fin]]&lt;H_Mars[[#This Row],[début]],1,0)+H_Mars[[#This Row],[PNP Fin]])</f>
        <v>0</v>
      </c>
      <c r="N28" s="50">
        <f>IF(H_Mars[[#This Row],[Fin]]&lt;H_Mars[[#This Row],[début]],1,0)+H_Mars[[#This Row],[Fin]]</f>
        <v>0</v>
      </c>
      <c r="O28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8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29" spans="1:23" ht="14.4" customHeight="1" x14ac:dyDescent="0.3">
      <c r="A29" s="4"/>
      <c r="B29" s="1"/>
      <c r="C29" s="2"/>
      <c r="D29" s="2"/>
      <c r="E29" s="3"/>
      <c r="F29" s="3"/>
      <c r="G29" s="9"/>
      <c r="H29" s="9"/>
      <c r="I29" s="47">
        <f>0.1*(H_Mars[[#This Row],[Heures de nuit]]+IF(H_Mars[[#This Row],[majoration dim &amp; JF]]="non",0,H_Mars[[#This Row],[heures jour dimanche]]+H_Mars[[#This Row],[heures jour fériés]]))</f>
        <v>0</v>
      </c>
      <c r="J29" s="48">
        <f>(MOD(H_Mars[[#This Row],[Fin]]-H_Mars[[#This Row],[début]],1)-MOD(H_Mars[[#This Row],[PNP Fin]]-H_Mars[[#This Row],[PNP Début]],1))*24</f>
        <v>0</v>
      </c>
      <c r="K29" s="96" t="str">
        <f>IFERROR(VLOOKUP(H_Mars[[#This Row],[Service]],Codes[],4,0),"")</f>
        <v/>
      </c>
      <c r="L29" s="49">
        <f>IF(H_Mars[[#This Row],[PNP Début]]=0,0,IF(H_Mars[[#This Row],[PNP Début]]&lt;H_Mars[[#This Row],[début]],1,0)+H_Mars[[#This Row],[PNP Début]])</f>
        <v>0</v>
      </c>
      <c r="M29" s="50">
        <f>IF(H_Mars[[#This Row],[PNP Fin]]=0,0,IF(H_Mars[[#This Row],[PNP Fin]]&lt;H_Mars[[#This Row],[début]],1,0)+H_Mars[[#This Row],[PNP Fin]])</f>
        <v>0</v>
      </c>
      <c r="N29" s="50">
        <f>IF(H_Mars[[#This Row],[Fin]]&lt;H_Mars[[#This Row],[début]],1,0)+H_Mars[[#This Row],[Fin]]</f>
        <v>0</v>
      </c>
      <c r="O29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29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2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2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2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2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0" spans="1:23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0.1*(H_Mars[[#This Row],[Heures de nuit]]+IF(H_Mars[[#This Row],[majoration dim &amp; JF]]="non",0,H_Mars[[#This Row],[heures jour dimanche]]+H_Mars[[#This Row],[heures jour fériés]]))</f>
        <v>0</v>
      </c>
      <c r="J30" s="48">
        <f>(MOD(H_Mars[[#This Row],[Fin]]-H_Mars[[#This Row],[début]],1)-MOD(H_Mars[[#This Row],[PNP Fin]]-H_Mars[[#This Row],[PNP Début]],1))*24</f>
        <v>0</v>
      </c>
      <c r="K30" s="96" t="str">
        <f>IFERROR(VLOOKUP(H_Mars[[#This Row],[Service]],Codes[],4,0),"")</f>
        <v/>
      </c>
      <c r="L30" s="49">
        <f>IF(H_Mars[[#This Row],[PNP Début]]=0,0,IF(H_Mars[[#This Row],[PNP Début]]&lt;H_Mars[[#This Row],[début]],1,0)+H_Mars[[#This Row],[PNP Début]])</f>
        <v>0</v>
      </c>
      <c r="M30" s="50">
        <f>IF(H_Mars[[#This Row],[PNP Fin]]=0,0,IF(H_Mars[[#This Row],[PNP Fin]]&lt;H_Mars[[#This Row],[début]],1,0)+H_Mars[[#This Row],[PNP Fin]])</f>
        <v>0</v>
      </c>
      <c r="N30" s="50">
        <f>IF(H_Mars[[#This Row],[Fin]]&lt;H_Mars[[#This Row],[début]],1,0)+H_Mars[[#This Row],[Fin]]</f>
        <v>0</v>
      </c>
      <c r="O30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0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0.1*(H_Mars[[#This Row],[Heures de nuit]]+IF(H_Mars[[#This Row],[majoration dim &amp; JF]]="non",0,H_Mars[[#This Row],[heures jour dimanche]]+H_Mars[[#This Row],[heures jour fériés]]))</f>
        <v>0</v>
      </c>
      <c r="J31" s="48">
        <f>(MOD(H_Mars[[#This Row],[Fin]]-H_Mars[[#This Row],[début]],1)-MOD(H_Mars[[#This Row],[PNP Fin]]-H_Mars[[#This Row],[PNP Début]],1))*24</f>
        <v>0</v>
      </c>
      <c r="K31" s="96" t="str">
        <f>IFERROR(VLOOKUP(H_Mars[[#This Row],[Service]],Codes[],4,0),"")</f>
        <v/>
      </c>
      <c r="L31" s="49">
        <f>IF(H_Mars[[#This Row],[PNP Début]]=0,0,IF(H_Mars[[#This Row],[PNP Début]]&lt;H_Mars[[#This Row],[début]],1,0)+H_Mars[[#This Row],[PNP Début]])</f>
        <v>0</v>
      </c>
      <c r="M31" s="50">
        <f>IF(H_Mars[[#This Row],[PNP Fin]]=0,0,IF(H_Mars[[#This Row],[PNP Fin]]&lt;H_Mars[[#This Row],[début]],1,0)+H_Mars[[#This Row],[PNP Fin]])</f>
        <v>0</v>
      </c>
      <c r="N31" s="50">
        <f>IF(H_Mars[[#This Row],[Fin]]&lt;H_Mars[[#This Row],[début]],1,0)+H_Mars[[#This Row],[Fin]]</f>
        <v>0</v>
      </c>
      <c r="O31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1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1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1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1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1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0.1*(H_Mars[[#This Row],[Heures de nuit]]+IF(H_Mars[[#This Row],[majoration dim &amp; JF]]="non",0,H_Mars[[#This Row],[heures jour dimanche]]+H_Mars[[#This Row],[heures jour fériés]]))</f>
        <v>0</v>
      </c>
      <c r="J32" s="48">
        <f>(MOD(H_Mars[[#This Row],[Fin]]-H_Mars[[#This Row],[début]],1)-MOD(H_Mars[[#This Row],[PNP Fin]]-H_Mars[[#This Row],[PNP Début]],1))*24</f>
        <v>0</v>
      </c>
      <c r="K32" s="96" t="str">
        <f>IFERROR(VLOOKUP(H_Mars[[#This Row],[Service]],Codes[],4,0),"")</f>
        <v/>
      </c>
      <c r="L32" s="49">
        <f>IF(H_Mars[[#This Row],[PNP Début]]=0,0,IF(H_Mars[[#This Row],[PNP Début]]&lt;H_Mars[[#This Row],[début]],1,0)+H_Mars[[#This Row],[PNP Début]])</f>
        <v>0</v>
      </c>
      <c r="M32" s="50">
        <f>IF(H_Mars[[#This Row],[PNP Fin]]=0,0,IF(H_Mars[[#This Row],[PNP Fin]]&lt;H_Mars[[#This Row],[début]],1,0)+H_Mars[[#This Row],[PNP Fin]])</f>
        <v>0</v>
      </c>
      <c r="N32" s="50">
        <f>IF(H_Mars[[#This Row],[Fin]]&lt;H_Mars[[#This Row],[début]],1,0)+H_Mars[[#This Row],[Fin]]</f>
        <v>0</v>
      </c>
      <c r="O32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2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2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2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2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2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0.1*(H_Mars[[#This Row],[Heures de nuit]]+IF(H_Mars[[#This Row],[majoration dim &amp; JF]]="non",0,H_Mars[[#This Row],[heures jour dimanche]]+H_Mars[[#This Row],[heures jour fériés]]))</f>
        <v>0</v>
      </c>
      <c r="J33" s="48">
        <f>(MOD(H_Mars[[#This Row],[Fin]]-H_Mars[[#This Row],[début]],1)-MOD(H_Mars[[#This Row],[PNP Fin]]-H_Mars[[#This Row],[PNP Début]],1))*24</f>
        <v>0</v>
      </c>
      <c r="K33" s="96" t="str">
        <f>IFERROR(VLOOKUP(H_Mars[[#This Row],[Service]],Codes[],4,0),"")</f>
        <v/>
      </c>
      <c r="L33" s="49">
        <f>IF(H_Mars[[#This Row],[PNP Début]]=0,0,IF(H_Mars[[#This Row],[PNP Début]]&lt;H_Mars[[#This Row],[début]],1,0)+H_Mars[[#This Row],[PNP Début]])</f>
        <v>0</v>
      </c>
      <c r="M33" s="50">
        <f>IF(H_Mars[[#This Row],[PNP Fin]]=0,0,IF(H_Mars[[#This Row],[PNP Fin]]&lt;H_Mars[[#This Row],[début]],1,0)+H_Mars[[#This Row],[PNP Fin]])</f>
        <v>0</v>
      </c>
      <c r="N33" s="50">
        <f>IF(H_Mars[[#This Row],[Fin]]&lt;H_Mars[[#This Row],[début]],1,0)+H_Mars[[#This Row],[Fin]]</f>
        <v>0</v>
      </c>
      <c r="O33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3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0.1*(H_Mars[[#This Row],[Heures de nuit]]+IF(H_Mars[[#This Row],[majoration dim &amp; JF]]="non",0,H_Mars[[#This Row],[heures jour dimanche]]+H_Mars[[#This Row],[heures jour fériés]]))</f>
        <v>0</v>
      </c>
      <c r="J34" s="48">
        <f>(MOD(H_Mars[[#This Row],[Fin]]-H_Mars[[#This Row],[début]],1)-MOD(H_Mars[[#This Row],[PNP Fin]]-H_Mars[[#This Row],[PNP Début]],1))*24</f>
        <v>0</v>
      </c>
      <c r="K34" s="96" t="str">
        <f>IFERROR(VLOOKUP(H_Mars[[#This Row],[Service]],Codes[],4,0),"")</f>
        <v/>
      </c>
      <c r="L34" s="49">
        <f>IF(H_Mars[[#This Row],[PNP Début]]=0,0,IF(H_Mars[[#This Row],[PNP Début]]&lt;H_Mars[[#This Row],[début]],1,0)+H_Mars[[#This Row],[PNP Début]])</f>
        <v>0</v>
      </c>
      <c r="M34" s="50">
        <f>IF(H_Mars[[#This Row],[PNP Fin]]=0,0,IF(H_Mars[[#This Row],[PNP Fin]]&lt;H_Mars[[#This Row],[début]],1,0)+H_Mars[[#This Row],[PNP Fin]])</f>
        <v>0</v>
      </c>
      <c r="N34" s="50">
        <f>IF(H_Mars[[#This Row],[Fin]]&lt;H_Mars[[#This Row],[début]],1,0)+H_Mars[[#This Row],[Fin]]</f>
        <v>0</v>
      </c>
      <c r="O34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4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0.1*(H_Mars[[#This Row],[Heures de nuit]]+IF(H_Mars[[#This Row],[majoration dim &amp; JF]]="non",0,H_Mars[[#This Row],[heures jour dimanche]]+H_Mars[[#This Row],[heures jour fériés]]))</f>
        <v>0</v>
      </c>
      <c r="J35" s="48">
        <f>(MOD(H_Mars[[#This Row],[Fin]]-H_Mars[[#This Row],[début]],1)-MOD(H_Mars[[#This Row],[PNP Fin]]-H_Mars[[#This Row],[PNP Début]],1))*24</f>
        <v>0</v>
      </c>
      <c r="K35" s="96" t="str">
        <f>IFERROR(VLOOKUP(H_Mars[[#This Row],[Service]],Codes[],4,0),"")</f>
        <v/>
      </c>
      <c r="L35" s="49">
        <f>IF(H_Mars[[#This Row],[PNP Début]]=0,0,IF(H_Mars[[#This Row],[PNP Début]]&lt;H_Mars[[#This Row],[début]],1,0)+H_Mars[[#This Row],[PNP Début]])</f>
        <v>0</v>
      </c>
      <c r="M35" s="50">
        <f>IF(H_Mars[[#This Row],[PNP Fin]]=0,0,IF(H_Mars[[#This Row],[PNP Fin]]&lt;H_Mars[[#This Row],[début]],1,0)+H_Mars[[#This Row],[PNP Fin]])</f>
        <v>0</v>
      </c>
      <c r="N35" s="50">
        <f>IF(H_Mars[[#This Row],[Fin]]&lt;H_Mars[[#This Row],[début]],1,0)+H_Mars[[#This Row],[Fin]]</f>
        <v>0</v>
      </c>
      <c r="O35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5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0.1*(H_Mars[[#This Row],[Heures de nuit]]+IF(H_Mars[[#This Row],[majoration dim &amp; JF]]="non",0,H_Mars[[#This Row],[heures jour dimanche]]+H_Mars[[#This Row],[heures jour fériés]]))</f>
        <v>0</v>
      </c>
      <c r="J36" s="48">
        <f>(MOD(H_Mars[[#This Row],[Fin]]-H_Mars[[#This Row],[début]],1)-MOD(H_Mars[[#This Row],[PNP Fin]]-H_Mars[[#This Row],[PNP Début]],1))*24</f>
        <v>0</v>
      </c>
      <c r="K36" s="96" t="str">
        <f>IFERROR(VLOOKUP(H_Mars[[#This Row],[Service]],Codes[],4,0),"")</f>
        <v/>
      </c>
      <c r="L36" s="49">
        <f>IF(H_Mars[[#This Row],[PNP Début]]=0,0,IF(H_Mars[[#This Row],[PNP Début]]&lt;H_Mars[[#This Row],[début]],1,0)+H_Mars[[#This Row],[PNP Début]])</f>
        <v>0</v>
      </c>
      <c r="M36" s="50">
        <f>IF(H_Mars[[#This Row],[PNP Fin]]=0,0,IF(H_Mars[[#This Row],[PNP Fin]]&lt;H_Mars[[#This Row],[début]],1,0)+H_Mars[[#This Row],[PNP Fin]])</f>
        <v>0</v>
      </c>
      <c r="N36" s="50">
        <f>IF(H_Mars[[#This Row],[Fin]]&lt;H_Mars[[#This Row],[début]],1,0)+H_Mars[[#This Row],[Fin]]</f>
        <v>0</v>
      </c>
      <c r="O36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6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0.1*(H_Mars[[#This Row],[Heures de nuit]]+IF(H_Mars[[#This Row],[majoration dim &amp; JF]]="non",0,H_Mars[[#This Row],[heures jour dimanche]]+H_Mars[[#This Row],[heures jour fériés]]))</f>
        <v>0</v>
      </c>
      <c r="J37" s="48">
        <f>(MOD(H_Mars[[#This Row],[Fin]]-H_Mars[[#This Row],[début]],1)-MOD(H_Mars[[#This Row],[PNP Fin]]-H_Mars[[#This Row],[PNP Début]],1))*24</f>
        <v>0</v>
      </c>
      <c r="K37" s="96" t="str">
        <f>IFERROR(VLOOKUP(H_Mars[[#This Row],[Service]],Codes[],4,0),"")</f>
        <v/>
      </c>
      <c r="L37" s="49">
        <f>IF(H_Mars[[#This Row],[PNP Début]]=0,0,IF(H_Mars[[#This Row],[PNP Début]]&lt;H_Mars[[#This Row],[début]],1,0)+H_Mars[[#This Row],[PNP Début]])</f>
        <v>0</v>
      </c>
      <c r="M37" s="50">
        <f>IF(H_Mars[[#This Row],[PNP Fin]]=0,0,IF(H_Mars[[#This Row],[PNP Fin]]&lt;H_Mars[[#This Row],[début]],1,0)+H_Mars[[#This Row],[PNP Fin]])</f>
        <v>0</v>
      </c>
      <c r="N37" s="50">
        <f>IF(H_Mars[[#This Row],[Fin]]&lt;H_Mars[[#This Row],[début]],1,0)+H_Mars[[#This Row],[Fin]]</f>
        <v>0</v>
      </c>
      <c r="O37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7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0.1*(H_Mars[[#This Row],[Heures de nuit]]+IF(H_Mars[[#This Row],[majoration dim &amp; JF]]="non",0,H_Mars[[#This Row],[heures jour dimanche]]+H_Mars[[#This Row],[heures jour fériés]]))</f>
        <v>0</v>
      </c>
      <c r="J38" s="48">
        <f>(MOD(H_Mars[[#This Row],[Fin]]-H_Mars[[#This Row],[début]],1)-MOD(H_Mars[[#This Row],[PNP Fin]]-H_Mars[[#This Row],[PNP Début]],1))*24</f>
        <v>0</v>
      </c>
      <c r="K38" s="96" t="str">
        <f>IFERROR(VLOOKUP(H_Mars[[#This Row],[Service]],Codes[],4,0),"")</f>
        <v/>
      </c>
      <c r="L38" s="49">
        <f>IF(H_Mars[[#This Row],[PNP Début]]=0,0,IF(H_Mars[[#This Row],[PNP Début]]&lt;H_Mars[[#This Row],[début]],1,0)+H_Mars[[#This Row],[PNP Début]])</f>
        <v>0</v>
      </c>
      <c r="M38" s="50">
        <f>IF(H_Mars[[#This Row],[PNP Fin]]=0,0,IF(H_Mars[[#This Row],[PNP Fin]]&lt;H_Mars[[#This Row],[début]],1,0)+H_Mars[[#This Row],[PNP Fin]])</f>
        <v>0</v>
      </c>
      <c r="N38" s="50">
        <f>IF(H_Mars[[#This Row],[Fin]]&lt;H_Mars[[#This Row],[début]],1,0)+H_Mars[[#This Row],[Fin]]</f>
        <v>0</v>
      </c>
      <c r="O38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8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0.1*(H_Mars[[#This Row],[Heures de nuit]]+IF(H_Mars[[#This Row],[majoration dim &amp; JF]]="non",0,H_Mars[[#This Row],[heures jour dimanche]]+H_Mars[[#This Row],[heures jour fériés]]))</f>
        <v>0</v>
      </c>
      <c r="J39" s="48">
        <f>(MOD(H_Mars[[#This Row],[Fin]]-H_Mars[[#This Row],[début]],1)-MOD(H_Mars[[#This Row],[PNP Fin]]-H_Mars[[#This Row],[PNP Début]],1))*24</f>
        <v>0</v>
      </c>
      <c r="K39" s="96" t="str">
        <f>IFERROR(VLOOKUP(H_Mars[[#This Row],[Service]],Codes[],4,0),"")</f>
        <v/>
      </c>
      <c r="L39" s="49">
        <f>IF(H_Mars[[#This Row],[PNP Début]]=0,0,IF(H_Mars[[#This Row],[PNP Début]]&lt;H_Mars[[#This Row],[début]],1,0)+H_Mars[[#This Row],[PNP Début]])</f>
        <v>0</v>
      </c>
      <c r="M39" s="50">
        <f>IF(H_Mars[[#This Row],[PNP Fin]]=0,0,IF(H_Mars[[#This Row],[PNP Fin]]&lt;H_Mars[[#This Row],[début]],1,0)+H_Mars[[#This Row],[PNP Fin]])</f>
        <v>0</v>
      </c>
      <c r="N39" s="50">
        <f>IF(H_Mars[[#This Row],[Fin]]&lt;H_Mars[[#This Row],[début]],1,0)+H_Mars[[#This Row],[Fin]]</f>
        <v>0</v>
      </c>
      <c r="O39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39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3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3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3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3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0.1*(H_Mars[[#This Row],[Heures de nuit]]+IF(H_Mars[[#This Row],[majoration dim &amp; JF]]="non",0,H_Mars[[#This Row],[heures jour dimanche]]+H_Mars[[#This Row],[heures jour fériés]]))</f>
        <v>0</v>
      </c>
      <c r="J40" s="48">
        <f>(MOD(H_Mars[[#This Row],[Fin]]-H_Mars[[#This Row],[début]],1)-MOD(H_Mars[[#This Row],[PNP Fin]]-H_Mars[[#This Row],[PNP Début]],1))*24</f>
        <v>0</v>
      </c>
      <c r="K40" s="96" t="str">
        <f>IFERROR(VLOOKUP(H_Mars[[#This Row],[Service]],Codes[],4,0),"")</f>
        <v/>
      </c>
      <c r="L40" s="49">
        <f>IF(H_Mars[[#This Row],[PNP Début]]=0,0,IF(H_Mars[[#This Row],[PNP Début]]&lt;H_Mars[[#This Row],[début]],1,0)+H_Mars[[#This Row],[PNP Début]])</f>
        <v>0</v>
      </c>
      <c r="M40" s="50">
        <f>IF(H_Mars[[#This Row],[PNP Fin]]=0,0,IF(H_Mars[[#This Row],[PNP Fin]]&lt;H_Mars[[#This Row],[début]],1,0)+H_Mars[[#This Row],[PNP Fin]])</f>
        <v>0</v>
      </c>
      <c r="N40" s="50">
        <f>IF(H_Mars[[#This Row],[Fin]]&lt;H_Mars[[#This Row],[début]],1,0)+H_Mars[[#This Row],[Fin]]</f>
        <v>0</v>
      </c>
      <c r="O40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0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0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0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0.1*(H_Mars[[#This Row],[Heures de nuit]]+IF(H_Mars[[#This Row],[majoration dim &amp; JF]]="non",0,H_Mars[[#This Row],[heures jour dimanche]]+H_Mars[[#This Row],[heures jour fériés]]))</f>
        <v>0</v>
      </c>
      <c r="J41" s="48">
        <f>(MOD(H_Mars[[#This Row],[Fin]]-H_Mars[[#This Row],[début]],1)-MOD(H_Mars[[#This Row],[PNP Fin]]-H_Mars[[#This Row],[PNP Début]],1))*24</f>
        <v>0</v>
      </c>
      <c r="K41" s="96" t="str">
        <f>IFERROR(VLOOKUP(H_Mars[[#This Row],[Service]],Codes[],4,0),"")</f>
        <v/>
      </c>
      <c r="L41" s="49">
        <f>IF(H_Mars[[#This Row],[PNP Début]]=0,0,IF(H_Mars[[#This Row],[PNP Début]]&lt;H_Mars[[#This Row],[début]],1,0)+H_Mars[[#This Row],[PNP Début]])</f>
        <v>0</v>
      </c>
      <c r="M41" s="50">
        <f>IF(H_Mars[[#This Row],[PNP Fin]]=0,0,IF(H_Mars[[#This Row],[PNP Fin]]&lt;H_Mars[[#This Row],[début]],1,0)+H_Mars[[#This Row],[PNP Fin]])</f>
        <v>0</v>
      </c>
      <c r="N41" s="50">
        <f>IF(H_Mars[[#This Row],[Fin]]&lt;H_Mars[[#This Row],[début]],1,0)+H_Mars[[#This Row],[Fin]]</f>
        <v>0</v>
      </c>
      <c r="O41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1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1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1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1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1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0.1*(H_Mars[[#This Row],[Heures de nuit]]+IF(H_Mars[[#This Row],[majoration dim &amp; JF]]="non",0,H_Mars[[#This Row],[heures jour dimanche]]+H_Mars[[#This Row],[heures jour fériés]]))</f>
        <v>0</v>
      </c>
      <c r="J42" s="48">
        <f>(MOD(H_Mars[[#This Row],[Fin]]-H_Mars[[#This Row],[début]],1)-MOD(H_Mars[[#This Row],[PNP Fin]]-H_Mars[[#This Row],[PNP Début]],1))*24</f>
        <v>0</v>
      </c>
      <c r="K42" s="96" t="str">
        <f>IFERROR(VLOOKUP(H_Mars[[#This Row],[Service]],Codes[],4,0),"")</f>
        <v/>
      </c>
      <c r="L42" s="49">
        <f>IF(H_Mars[[#This Row],[PNP Début]]=0,0,IF(H_Mars[[#This Row],[PNP Début]]&lt;H_Mars[[#This Row],[début]],1,0)+H_Mars[[#This Row],[PNP Début]])</f>
        <v>0</v>
      </c>
      <c r="M42" s="50">
        <f>IF(H_Mars[[#This Row],[PNP Fin]]=0,0,IF(H_Mars[[#This Row],[PNP Fin]]&lt;H_Mars[[#This Row],[début]],1,0)+H_Mars[[#This Row],[PNP Fin]])</f>
        <v>0</v>
      </c>
      <c r="N42" s="50">
        <f>IF(H_Mars[[#This Row],[Fin]]&lt;H_Mars[[#This Row],[début]],1,0)+H_Mars[[#This Row],[Fin]]</f>
        <v>0</v>
      </c>
      <c r="O42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2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2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2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2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2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0.1*(H_Mars[[#This Row],[Heures de nuit]]+IF(H_Mars[[#This Row],[majoration dim &amp; JF]]="non",0,H_Mars[[#This Row],[heures jour dimanche]]+H_Mars[[#This Row],[heures jour fériés]]))</f>
        <v>0</v>
      </c>
      <c r="J43" s="48">
        <f>(MOD(H_Mars[[#This Row],[Fin]]-H_Mars[[#This Row],[début]],1)-MOD(H_Mars[[#This Row],[PNP Fin]]-H_Mars[[#This Row],[PNP Début]],1))*24</f>
        <v>0</v>
      </c>
      <c r="K43" s="96" t="str">
        <f>IFERROR(VLOOKUP(H_Mars[[#This Row],[Service]],Codes[],4,0),"")</f>
        <v/>
      </c>
      <c r="L43" s="49">
        <f>IF(H_Mars[[#This Row],[PNP Début]]=0,0,IF(H_Mars[[#This Row],[PNP Début]]&lt;H_Mars[[#This Row],[début]],1,0)+H_Mars[[#This Row],[PNP Début]])</f>
        <v>0</v>
      </c>
      <c r="M43" s="50">
        <f>IF(H_Mars[[#This Row],[PNP Fin]]=0,0,IF(H_Mars[[#This Row],[PNP Fin]]&lt;H_Mars[[#This Row],[début]],1,0)+H_Mars[[#This Row],[PNP Fin]])</f>
        <v>0</v>
      </c>
      <c r="N43" s="50">
        <f>IF(H_Mars[[#This Row],[Fin]]&lt;H_Mars[[#This Row],[début]],1,0)+H_Mars[[#This Row],[Fin]]</f>
        <v>0</v>
      </c>
      <c r="O43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3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3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3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0.1*(H_Mars[[#This Row],[Heures de nuit]]+IF(H_Mars[[#This Row],[majoration dim &amp; JF]]="non",0,H_Mars[[#This Row],[heures jour dimanche]]+H_Mars[[#This Row],[heures jour fériés]]))</f>
        <v>0</v>
      </c>
      <c r="J44" s="48">
        <f>(MOD(H_Mars[[#This Row],[Fin]]-H_Mars[[#This Row],[début]],1)-MOD(H_Mars[[#This Row],[PNP Fin]]-H_Mars[[#This Row],[PNP Début]],1))*24</f>
        <v>0</v>
      </c>
      <c r="K44" s="96" t="str">
        <f>IFERROR(VLOOKUP(H_Mars[[#This Row],[Service]],Codes[],4,0),"")</f>
        <v/>
      </c>
      <c r="L44" s="49">
        <f>IF(H_Mars[[#This Row],[PNP Début]]=0,0,IF(H_Mars[[#This Row],[PNP Début]]&lt;H_Mars[[#This Row],[début]],1,0)+H_Mars[[#This Row],[PNP Début]])</f>
        <v>0</v>
      </c>
      <c r="M44" s="50">
        <f>IF(H_Mars[[#This Row],[PNP Fin]]=0,0,IF(H_Mars[[#This Row],[PNP Fin]]&lt;H_Mars[[#This Row],[début]],1,0)+H_Mars[[#This Row],[PNP Fin]])</f>
        <v>0</v>
      </c>
      <c r="N44" s="50">
        <f>IF(H_Mars[[#This Row],[Fin]]&lt;H_Mars[[#This Row],[début]],1,0)+H_Mars[[#This Row],[Fin]]</f>
        <v>0</v>
      </c>
      <c r="O44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4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4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4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0.1*(H_Mars[[#This Row],[Heures de nuit]]+IF(H_Mars[[#This Row],[majoration dim &amp; JF]]="non",0,H_Mars[[#This Row],[heures jour dimanche]]+H_Mars[[#This Row],[heures jour fériés]]))</f>
        <v>0</v>
      </c>
      <c r="J45" s="48">
        <f>(MOD(H_Mars[[#This Row],[Fin]]-H_Mars[[#This Row],[début]],1)-MOD(H_Mars[[#This Row],[PNP Fin]]-H_Mars[[#This Row],[PNP Début]],1))*24</f>
        <v>0</v>
      </c>
      <c r="K45" s="96" t="str">
        <f>IFERROR(VLOOKUP(H_Mars[[#This Row],[Service]],Codes[],4,0),"")</f>
        <v/>
      </c>
      <c r="L45" s="49">
        <f>IF(H_Mars[[#This Row],[PNP Début]]=0,0,IF(H_Mars[[#This Row],[PNP Début]]&lt;H_Mars[[#This Row],[début]],1,0)+H_Mars[[#This Row],[PNP Début]])</f>
        <v>0</v>
      </c>
      <c r="M45" s="50">
        <f>IF(H_Mars[[#This Row],[PNP Fin]]=0,0,IF(H_Mars[[#This Row],[PNP Fin]]&lt;H_Mars[[#This Row],[début]],1,0)+H_Mars[[#This Row],[PNP Fin]])</f>
        <v>0</v>
      </c>
      <c r="N45" s="50">
        <f>IF(H_Mars[[#This Row],[Fin]]&lt;H_Mars[[#This Row],[début]],1,0)+H_Mars[[#This Row],[Fin]]</f>
        <v>0</v>
      </c>
      <c r="O45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5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5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5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0.1*(H_Mars[[#This Row],[Heures de nuit]]+IF(H_Mars[[#This Row],[majoration dim &amp; JF]]="non",0,H_Mars[[#This Row],[heures jour dimanche]]+H_Mars[[#This Row],[heures jour fériés]]))</f>
        <v>0</v>
      </c>
      <c r="J46" s="48">
        <f>(MOD(H_Mars[[#This Row],[Fin]]-H_Mars[[#This Row],[début]],1)-MOD(H_Mars[[#This Row],[PNP Fin]]-H_Mars[[#This Row],[PNP Début]],1))*24</f>
        <v>0</v>
      </c>
      <c r="K46" s="96" t="str">
        <f>IFERROR(VLOOKUP(H_Mars[[#This Row],[Service]],Codes[],4,0),"")</f>
        <v/>
      </c>
      <c r="L46" s="49">
        <f>IF(H_Mars[[#This Row],[PNP Début]]=0,0,IF(H_Mars[[#This Row],[PNP Début]]&lt;H_Mars[[#This Row],[début]],1,0)+H_Mars[[#This Row],[PNP Début]])</f>
        <v>0</v>
      </c>
      <c r="M46" s="50">
        <f>IF(H_Mars[[#This Row],[PNP Fin]]=0,0,IF(H_Mars[[#This Row],[PNP Fin]]&lt;H_Mars[[#This Row],[début]],1,0)+H_Mars[[#This Row],[PNP Fin]])</f>
        <v>0</v>
      </c>
      <c r="N46" s="50">
        <f>IF(H_Mars[[#This Row],[Fin]]&lt;H_Mars[[#This Row],[début]],1,0)+H_Mars[[#This Row],[Fin]]</f>
        <v>0</v>
      </c>
      <c r="O46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6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6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6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0.1*(H_Mars[[#This Row],[Heures de nuit]]+IF(H_Mars[[#This Row],[majoration dim &amp; JF]]="non",0,H_Mars[[#This Row],[heures jour dimanche]]+H_Mars[[#This Row],[heures jour fériés]]))</f>
        <v>0</v>
      </c>
      <c r="J47" s="48">
        <f>(MOD(H_Mars[[#This Row],[Fin]]-H_Mars[[#This Row],[début]],1)-MOD(H_Mars[[#This Row],[PNP Fin]]-H_Mars[[#This Row],[PNP Début]],1))*24</f>
        <v>0</v>
      </c>
      <c r="K47" s="96" t="str">
        <f>IFERROR(VLOOKUP(H_Mars[[#This Row],[Service]],Codes[],4,0),"")</f>
        <v/>
      </c>
      <c r="L47" s="49">
        <f>IF(H_Mars[[#This Row],[PNP Début]]=0,0,IF(H_Mars[[#This Row],[PNP Début]]&lt;H_Mars[[#This Row],[début]],1,0)+H_Mars[[#This Row],[PNP Début]])</f>
        <v>0</v>
      </c>
      <c r="M47" s="50">
        <f>IF(H_Mars[[#This Row],[PNP Fin]]=0,0,IF(H_Mars[[#This Row],[PNP Fin]]&lt;H_Mars[[#This Row],[début]],1,0)+H_Mars[[#This Row],[PNP Fin]])</f>
        <v>0</v>
      </c>
      <c r="N47" s="50">
        <f>IF(H_Mars[[#This Row],[Fin]]&lt;H_Mars[[#This Row],[début]],1,0)+H_Mars[[#This Row],[Fin]]</f>
        <v>0</v>
      </c>
      <c r="O47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7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7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7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0.1*(H_Mars[[#This Row],[Heures de nuit]]+IF(H_Mars[[#This Row],[majoration dim &amp; JF]]="non",0,H_Mars[[#This Row],[heures jour dimanche]]+H_Mars[[#This Row],[heures jour fériés]]))</f>
        <v>0</v>
      </c>
      <c r="J48" s="48">
        <f>(MOD(H_Mars[[#This Row],[Fin]]-H_Mars[[#This Row],[début]],1)-MOD(H_Mars[[#This Row],[PNP Fin]]-H_Mars[[#This Row],[PNP Début]],1))*24</f>
        <v>0</v>
      </c>
      <c r="K48" s="96" t="str">
        <f>IFERROR(VLOOKUP(H_Mars[[#This Row],[Service]],Codes[],4,0),"")</f>
        <v/>
      </c>
      <c r="L48" s="49">
        <f>IF(H_Mars[[#This Row],[PNP Début]]=0,0,IF(H_Mars[[#This Row],[PNP Début]]&lt;H_Mars[[#This Row],[début]],1,0)+H_Mars[[#This Row],[PNP Début]])</f>
        <v>0</v>
      </c>
      <c r="M48" s="50">
        <f>IF(H_Mars[[#This Row],[PNP Fin]]=0,0,IF(H_Mars[[#This Row],[PNP Fin]]&lt;H_Mars[[#This Row],[début]],1,0)+H_Mars[[#This Row],[PNP Fin]])</f>
        <v>0</v>
      </c>
      <c r="N48" s="50">
        <f>IF(H_Mars[[#This Row],[Fin]]&lt;H_Mars[[#This Row],[début]],1,0)+H_Mars[[#This Row],[Fin]]</f>
        <v>0</v>
      </c>
      <c r="O48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8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8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8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0.1*(H_Mars[[#This Row],[Heures de nuit]]+IF(H_Mars[[#This Row],[majoration dim &amp; JF]]="non",0,H_Mars[[#This Row],[heures jour dimanche]]+H_Mars[[#This Row],[heures jour fériés]]))</f>
        <v>0</v>
      </c>
      <c r="J49" s="48">
        <f>(MOD(H_Mars[[#This Row],[Fin]]-H_Mars[[#This Row],[début]],1)-MOD(H_Mars[[#This Row],[PNP Fin]]-H_Mars[[#This Row],[PNP Début]],1))*24</f>
        <v>0</v>
      </c>
      <c r="K49" s="96" t="str">
        <f>IFERROR(VLOOKUP(H_Mars[[#This Row],[Service]],Codes[],4,0),"")</f>
        <v/>
      </c>
      <c r="L49" s="49">
        <f>IF(H_Mars[[#This Row],[PNP Début]]=0,0,IF(H_Mars[[#This Row],[PNP Début]]&lt;H_Mars[[#This Row],[début]],1,0)+H_Mars[[#This Row],[PNP Début]])</f>
        <v>0</v>
      </c>
      <c r="M49" s="50">
        <f>IF(H_Mars[[#This Row],[PNP Fin]]=0,0,IF(H_Mars[[#This Row],[PNP Fin]]&lt;H_Mars[[#This Row],[début]],1,0)+H_Mars[[#This Row],[PNP Fin]])</f>
        <v>0</v>
      </c>
      <c r="N49" s="50">
        <f>IF(H_Mars[[#This Row],[Fin]]&lt;H_Mars[[#This Row],[début]],1,0)+H_Mars[[#This Row],[Fin]]</f>
        <v>0</v>
      </c>
      <c r="O49" s="31">
        <f>IF(H_Mars[[#This Row],[Fin]]&lt;H_Mars[[#This Row],[début]],MAX(0,MIN(H_Mars[[#This Row],[Fin corrigée si nuit]],fin_nuit)-MAX(H_Mars[[#This Row],[début]],deb_nuit))*24,(MAX(deb_nuit,H_Mars[[#This Row],[Fin]])-MAX(deb_nuit,H_Mars[[#This Row],[début]])+MAX(MIN(fin_nuit-1,H_Mars[[#This Row],[Fin]])-MIN(fin_nuit-1,H_Mars[[#This Row],[début]]),0))*24)</f>
        <v>0</v>
      </c>
      <c r="P49" s="51">
        <f>(MAX(0,MIN(H_Mars[[#This Row],[Fin corrigée si nuit]],fin_nuit)-MAX(H_Mars[[#This Row],[début]],deb_nuit))-IF(H_Mars[[#This Row],[PNP Début]]=0,0,MIN(H_Mars[[#This Row],[PNP Fin corrigée]],fin_nuit)-MAX(H_Mars[[#This Row],[PNP Début corrigé]],deb_nuit)))*24</f>
        <v>0</v>
      </c>
      <c r="Q4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</f>
        <v>0</v>
      </c>
      <c r="R49" s="51">
        <f>(IF(WEEKDAY(H_Mars[[#This Row],[Date]],2)=7,MAX(0,MIN(fin_dimJF,H_Mars[[#This Row],[Fin corrigée si nuit]])-MAX(deb_dimJF,H_Mars[[#This Row],[début]])),0)+IF(WEEKDAY(H_Mars[[#This Row],[Date]],2)=6,MAX(0,H_Mars[[#This Row],[Fin corrigée si nuit]]-(1+deb_dimJF)),0))*24-
(IF(WEEKDAY(H_Mars[[#This Row],[Date]],2)=7,MAX(0,MIN(fin_dimJF,H_Mars[[#This Row],[PNP Fin corrigée]])-MAX(deb_dimJF,H_Mars[[#This Row],[PNP Début corrigé]])),0)+IF(WEEKDAY(H_Mars[[#This Row],[Date]],2)=6,MAX(0,H_Mars[[#This Row],[PNP Fin corrigée]]-(1+deb_dimJF)),0))*24</f>
        <v>0</v>
      </c>
      <c r="S4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</f>
        <v>0</v>
      </c>
      <c r="T49" s="51">
        <f>(IF(COUNTIF(JF,H_Mars[[#This Row],[Date]]),MAX(0,MIN(fin_dimJF,H_Mars[[#This Row],[Fin corrigée si nuit]])-MAX(deb_dimJF,H_Mars[[#This Row],[début]])),0)+IF(COUNTIF(JF,H_Mars[[#This Row],[Date]]+1),MAX(0,H_Mars[[#This Row],[Fin corrigée si nuit]]-(1+deb_dimJF)),0))*24-
(IF(COUNTIF(JF,H_Mars[[#This Row],[Date]]),MAX(0,MIN(fin_dimJF,H_Mars[[#This Row],[PNP Fin corrigée]])-MAX(deb_dimJF,H_Mars[[#This Row],[PNP Début corrigé]])),0)+IF(COUNTIF(JF,H_Mars[[#This Row],[Date]]+1),MAX(0,H_Mars[[#This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SUM(H_Mars[Majoration])</f>
        <v>0</v>
      </c>
      <c r="J50" s="54">
        <f>SUM(H_Mars[Heures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259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500-000000000000}"/>
    <dataValidation type="time" allowBlank="1" showInputMessage="1" showErrorMessage="1" error="Tapez les heures sous le format_x000a_00:00" sqref="C13:H49" xr:uid="{00000000-0002-0000-05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:K5" xr:uid="{00000000-0002-0000-0500-000002000000}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print="0" autoLine="0" r:id="rId5">
            <anchor moveWithCells="1">
              <from>
                <xdr:col>9</xdr:col>
                <xdr:colOff>472440</xdr:colOff>
                <xdr:row>0</xdr:row>
                <xdr:rowOff>99060</xdr:rowOff>
              </from>
              <to>
                <xdr:col>9</xdr:col>
                <xdr:colOff>1264920</xdr:colOff>
                <xdr:row>3</xdr:row>
                <xdr:rowOff>213360</xdr:rowOff>
              </to>
            </anchor>
          </controlPr>
        </control>
      </mc:Choice>
      <mc:Fallback>
        <control shapeId="6145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5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Z60"/>
  <sheetViews>
    <sheetView topLeftCell="I1" zoomScale="80" zoomScaleNormal="80" zoomScalePageLayoutView="70" workbookViewId="0">
      <selection activeCell="W9" sqref="W9"/>
    </sheetView>
  </sheetViews>
  <sheetFormatPr baseColWidth="10" defaultRowHeight="14.4" x14ac:dyDescent="0.3"/>
  <cols>
    <col min="1" max="1" width="19.8867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9.109375" hidden="1" customWidth="1"/>
    <col min="22" max="22" width="27.4414062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Avril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0</v>
      </c>
      <c r="V9" s="104" t="s">
        <v>113</v>
      </c>
      <c r="W9" s="105">
        <v>0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0</v>
      </c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0.1*(H_Avr[[#This Row],[Heures de nuit]]+IF(H_Avr[[#This Row],[majoration dim &amp; JF]]="non",0,H_Avr[[#This Row],[heures jour dimanche]]+H_Avr[[#This Row],[heures jour fériés]]))</f>
        <v>0</v>
      </c>
      <c r="J13" s="29">
        <f>(MOD(H_Avr[[#This Row],[Fin]]-H_Avr[[#This Row],[début]],1)-MOD(H_Avr[[#This Row],[PNP Fin]]-H_Avr[[#This Row],[PNP Début]],1))*24</f>
        <v>0</v>
      </c>
      <c r="K13" s="29" t="str">
        <f>IFERROR(VLOOKUP(H_Avr[[#This Row],[Service]],Codes[],4,0),"")</f>
        <v/>
      </c>
      <c r="L13" s="30">
        <f>IF(H_Avr[[#This Row],[PNP Début]]=0,0,IF(H_Avr[[#This Row],[PNP Début]]&lt;H_Avr[[#This Row],[début]],1,0)+H_Avr[[#This Row],[PNP Début]])</f>
        <v>0</v>
      </c>
      <c r="M13" s="30">
        <f>IF(H_Avr[[#This Row],[PNP Fin]]=0,0,IF(H_Avr[[#This Row],[PNP Fin]]&lt;H_Avr[[#This Row],[début]],1,0)+H_Avr[[#This Row],[PNP Fin]])</f>
        <v>0</v>
      </c>
      <c r="N13" s="30">
        <f>IF(H_Avr[[#This Row],[Fin]]&lt;H_Avr[[#This Row],[début]],1,0)+H_Avr[[#This Row],[Fin]]</f>
        <v>0</v>
      </c>
      <c r="O13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3" s="3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3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3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3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3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0.1*(H_Avr[[#This Row],[Heures de nuit]]+IF(H_Avr[[#This Row],[majoration dim &amp; JF]]="non",0,H_Avr[[#This Row],[heures jour dimanche]]+H_Avr[[#This Row],[heures jour fériés]]))</f>
        <v>0</v>
      </c>
      <c r="J14" s="29">
        <f>(MOD(H_Avr[[#This Row],[Fin]]-H_Avr[[#This Row],[début]],1)-MOD(H_Avr[[#This Row],[PNP Fin]]-H_Avr[[#This Row],[PNP Début]],1))*24</f>
        <v>0</v>
      </c>
      <c r="K14" s="29" t="str">
        <f>IFERROR(VLOOKUP(H_Avr[[#This Row],[Service]],Codes[],4,0),"")</f>
        <v/>
      </c>
      <c r="L14" s="30">
        <f>IF(H_Avr[[#This Row],[PNP Début]]=0,0,IF(H_Avr[[#This Row],[PNP Début]]&lt;H_Avr[[#This Row],[début]],1,0)+H_Avr[[#This Row],[PNP Début]])</f>
        <v>0</v>
      </c>
      <c r="M14" s="30">
        <f>IF(H_Avr[[#This Row],[PNP Fin]]=0,0,IF(H_Avr[[#This Row],[PNP Fin]]&lt;H_Avr[[#This Row],[début]],1,0)+H_Avr[[#This Row],[PNP Fin]])</f>
        <v>0</v>
      </c>
      <c r="N14" s="30">
        <f>IF(H_Avr[[#This Row],[Fin]]&lt;H_Avr[[#This Row],[début]],1,0)+H_Avr[[#This Row],[Fin]]</f>
        <v>0</v>
      </c>
      <c r="O14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4" s="3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4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4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4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4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0.1*(H_Avr[[#This Row],[Heures de nuit]]+IF(H_Avr[[#This Row],[majoration dim &amp; JF]]="non",0,H_Avr[[#This Row],[heures jour dimanche]]+H_Avr[[#This Row],[heures jour fériés]]))</f>
        <v>0</v>
      </c>
      <c r="J15" s="29">
        <f>(MOD(H_Avr[[#This Row],[Fin]]-H_Avr[[#This Row],[début]],1)-MOD(H_Avr[[#This Row],[PNP Fin]]-H_Avr[[#This Row],[PNP Début]],1))*24</f>
        <v>0</v>
      </c>
      <c r="K15" s="29" t="str">
        <f>IFERROR(VLOOKUP(H_Avr[[#This Row],[Service]],Codes[],4,0),"")</f>
        <v/>
      </c>
      <c r="L15" s="30">
        <f>IF(H_Avr[[#This Row],[PNP Début]]=0,0,IF(H_Avr[[#This Row],[PNP Début]]&lt;H_Avr[[#This Row],[début]],1,0)+H_Avr[[#This Row],[PNP Début]])</f>
        <v>0</v>
      </c>
      <c r="M15" s="30">
        <f>IF(H_Avr[[#This Row],[PNP Fin]]=0,0,IF(H_Avr[[#This Row],[PNP Fin]]&lt;H_Avr[[#This Row],[début]],1,0)+H_Avr[[#This Row],[PNP Fin]])</f>
        <v>0</v>
      </c>
      <c r="N15" s="30">
        <f>IF(H_Avr[[#This Row],[Fin]]&lt;H_Avr[[#This Row],[début]],1,0)+H_Avr[[#This Row],[Fin]]</f>
        <v>0</v>
      </c>
      <c r="O15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5" s="3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5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5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5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5" s="32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0.1*(H_Avr[[#This Row],[Heures de nuit]]+IF(H_Avr[[#This Row],[majoration dim &amp; JF]]="non",0,H_Avr[[#This Row],[heures jour dimanche]]+H_Avr[[#This Row],[heures jour fériés]]))</f>
        <v>0</v>
      </c>
      <c r="J16" s="29">
        <f>(MOD(H_Avr[[#This Row],[Fin]]-H_Avr[[#This Row],[début]],1)-MOD(H_Avr[[#This Row],[PNP Fin]]-H_Avr[[#This Row],[PNP Début]],1))*24</f>
        <v>0</v>
      </c>
      <c r="K16" s="33" t="str">
        <f>IFERROR(VLOOKUP(H_Avr[[#This Row],[Service]],Codes[],4,0),"")</f>
        <v/>
      </c>
      <c r="L16" s="30">
        <f>IF(H_Avr[[#This Row],[PNP Début]]=0,0,IF(H_Avr[[#This Row],[PNP Début]]&lt;H_Avr[[#This Row],[début]],1,0)+H_Avr[[#This Row],[PNP Début]])</f>
        <v>0</v>
      </c>
      <c r="M16" s="30">
        <f>IF(H_Avr[[#This Row],[PNP Fin]]=0,0,IF(H_Avr[[#This Row],[PNP Fin]]&lt;H_Avr[[#This Row],[début]],1,0)+H_Avr[[#This Row],[PNP Fin]])</f>
        <v>0</v>
      </c>
      <c r="N16" s="34">
        <f>IF(H_Avr[[#This Row],[Fin]]&lt;H_Avr[[#This Row],[début]],1,0)+H_Avr[[#This Row],[Fin]]</f>
        <v>0</v>
      </c>
      <c r="O16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6" s="35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6" s="35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6" s="3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6" s="36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6" s="36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16" s="104" t="s">
        <v>116</v>
      </c>
      <c r="W16" s="105">
        <f>'Mars 18'!Z16</f>
        <v>24.9</v>
      </c>
      <c r="X16" s="105">
        <f>I50</f>
        <v>0</v>
      </c>
      <c r="Y16" s="105">
        <f>IF(U9&lt;0,0,IF(U9&lt;&gt;"",U10,""))</f>
        <v>0</v>
      </c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0.1*(H_Avr[[#This Row],[Heures de nuit]]+IF(H_Avr[[#This Row],[majoration dim &amp; JF]]="non",0,H_Avr[[#This Row],[heures jour dimanche]]+H_Avr[[#This Row],[heures jour fériés]]))</f>
        <v>0</v>
      </c>
      <c r="J17" s="29">
        <f>(MOD(H_Avr[[#This Row],[Fin]]-H_Avr[[#This Row],[début]],1)-MOD(H_Avr[[#This Row],[PNP Fin]]-H_Avr[[#This Row],[PNP Début]],1))*24</f>
        <v>0</v>
      </c>
      <c r="K17" s="99" t="str">
        <f>IFERROR(VLOOKUP(H_Avr[[#This Row],[Service]],Codes[],4,0),"")</f>
        <v/>
      </c>
      <c r="L17" s="39">
        <f>IF(H_Avr[[#This Row],[PNP Début]]=0,0,IF(H_Avr[[#This Row],[PNP Début]]&lt;H_Avr[[#This Row],[début]],1,0)+H_Avr[[#This Row],[PNP Début]])</f>
        <v>0</v>
      </c>
      <c r="M17" s="40">
        <f>IF(H_Avr[[#This Row],[PNP Fin]]=0,0,IF(H_Avr[[#This Row],[PNP Fin]]&lt;H_Avr[[#This Row],[début]],1,0)+H_Avr[[#This Row],[PNP Fin]])</f>
        <v>0</v>
      </c>
      <c r="N17" s="40">
        <f>IF(H_Avr[[#This Row],[Fin]]&lt;H_Avr[[#This Row],[début]],1,0)+H_Avr[[#This Row],[Fin]]</f>
        <v>0</v>
      </c>
      <c r="O17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7" s="4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7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7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7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7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0.1*(H_Avr[[#This Row],[Heures de nuit]]+IF(H_Avr[[#This Row],[majoration dim &amp; JF]]="non",0,H_Avr[[#This Row],[heures jour dimanche]]+H_Avr[[#This Row],[heures jour fériés]]))</f>
        <v>0</v>
      </c>
      <c r="J18" s="29">
        <f>(MOD(H_Avr[[#This Row],[Fin]]-H_Avr[[#This Row],[début]],1)-MOD(H_Avr[[#This Row],[PNP Fin]]-H_Avr[[#This Row],[PNP Début]],1))*24</f>
        <v>0</v>
      </c>
      <c r="K18" s="99" t="str">
        <f>IFERROR(VLOOKUP(H_Avr[[#This Row],[Service]],Codes[],4,0),"")</f>
        <v/>
      </c>
      <c r="L18" s="39">
        <f>IF(H_Avr[[#This Row],[PNP Début]]=0,0,IF(H_Avr[[#This Row],[PNP Début]]&lt;H_Avr[[#This Row],[début]],1,0)+H_Avr[[#This Row],[PNP Début]])</f>
        <v>0</v>
      </c>
      <c r="M18" s="40">
        <f>IF(H_Avr[[#This Row],[PNP Fin]]=0,0,IF(H_Avr[[#This Row],[PNP Fin]]&lt;H_Avr[[#This Row],[début]],1,0)+H_Avr[[#This Row],[PNP Fin]])</f>
        <v>0</v>
      </c>
      <c r="N18" s="40">
        <f>IF(H_Avr[[#This Row],[Fin]]&lt;H_Avr[[#This Row],[début]],1,0)+H_Avr[[#This Row],[Fin]]</f>
        <v>0</v>
      </c>
      <c r="O18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8" s="4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8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8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8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8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0.1*(H_Avr[[#This Row],[Heures de nuit]]+IF(H_Avr[[#This Row],[majoration dim &amp; JF]]="non",0,H_Avr[[#This Row],[heures jour dimanche]]+H_Avr[[#This Row],[heures jour fériés]]))</f>
        <v>0</v>
      </c>
      <c r="J19" s="29">
        <f>(MOD(H_Avr[[#This Row],[Fin]]-H_Avr[[#This Row],[début]],1)-MOD(H_Avr[[#This Row],[PNP Fin]]-H_Avr[[#This Row],[PNP Début]],1))*24</f>
        <v>0</v>
      </c>
      <c r="K19" s="99" t="str">
        <f>IFERROR(VLOOKUP(H_Avr[[#This Row],[Service]],Codes[],4,0),"")</f>
        <v/>
      </c>
      <c r="L19" s="39">
        <f>IF(H_Avr[[#This Row],[PNP Début]]=0,0,IF(H_Avr[[#This Row],[PNP Début]]&lt;H_Avr[[#This Row],[début]],1,0)+H_Avr[[#This Row],[PNP Début]])</f>
        <v>0</v>
      </c>
      <c r="M19" s="40">
        <f>IF(H_Avr[[#This Row],[PNP Fin]]=0,0,IF(H_Avr[[#This Row],[PNP Fin]]&lt;H_Avr[[#This Row],[début]],1,0)+H_Avr[[#This Row],[PNP Fin]])</f>
        <v>0</v>
      </c>
      <c r="N19" s="40">
        <f>IF(H_Avr[[#This Row],[Fin]]&lt;H_Avr[[#This Row],[début]],1,0)+H_Avr[[#This Row],[Fin]]</f>
        <v>0</v>
      </c>
      <c r="O19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19" s="4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19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19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19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19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3"/>
      <c r="F20" s="3"/>
      <c r="G20" s="9"/>
      <c r="H20" s="9"/>
      <c r="I20" s="37">
        <f>0.1*(H_Avr[[#This Row],[Heures de nuit]]+IF(H_Avr[[#This Row],[majoration dim &amp; JF]]="non",0,H_Avr[[#This Row],[heures jour dimanche]]+H_Avr[[#This Row],[heures jour fériés]]))</f>
        <v>0</v>
      </c>
      <c r="J20" s="29">
        <f>(MOD(H_Avr[[#This Row],[Fin]]-H_Avr[[#This Row],[début]],1)-MOD(H_Avr[[#This Row],[PNP Fin]]-H_Avr[[#This Row],[PNP Début]],1))*24</f>
        <v>0</v>
      </c>
      <c r="K20" s="99" t="str">
        <f>IFERROR(VLOOKUP(H_Avr[[#This Row],[Service]],Codes[],4,0),"")</f>
        <v/>
      </c>
      <c r="L20" s="39">
        <f>IF(H_Avr[[#This Row],[PNP Début]]=0,0,IF(H_Avr[[#This Row],[PNP Début]]&lt;H_Avr[[#This Row],[début]],1,0)+H_Avr[[#This Row],[PNP Début]])</f>
        <v>0</v>
      </c>
      <c r="M20" s="40">
        <f>IF(H_Avr[[#This Row],[PNP Fin]]=0,0,IF(H_Avr[[#This Row],[PNP Fin]]&lt;H_Avr[[#This Row],[début]],1,0)+H_Avr[[#This Row],[PNP Fin]])</f>
        <v>0</v>
      </c>
      <c r="N20" s="40">
        <f>IF(H_Avr[[#This Row],[Fin]]&lt;H_Avr[[#This Row],[début]],1,0)+H_Avr[[#This Row],[Fin]]</f>
        <v>0</v>
      </c>
      <c r="O20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0" s="4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0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0" s="4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0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0" s="4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0.1*(H_Avr[[#This Row],[Heures de nuit]]+IF(H_Avr[[#This Row],[majoration dim &amp; JF]]="non",0,H_Avr[[#This Row],[heures jour dimanche]]+H_Avr[[#This Row],[heures jour fériés]]))</f>
        <v>0</v>
      </c>
      <c r="J21" s="29">
        <f>(MOD(H_Avr[[#This Row],[Fin]]-H_Avr[[#This Row],[début]],1)-MOD(H_Avr[[#This Row],[PNP Fin]]-H_Avr[[#This Row],[PNP Début]],1))*24</f>
        <v>0</v>
      </c>
      <c r="K21" s="100" t="str">
        <f>IFERROR(VLOOKUP(H_Avr[[#This Row],[Service]],Codes[],4,0),"")</f>
        <v/>
      </c>
      <c r="L21" s="44">
        <f>IF(H_Avr[[#This Row],[PNP Début]]=0,0,IF(H_Avr[[#This Row],[PNP Début]]&lt;H_Avr[[#This Row],[début]],1,0)+H_Avr[[#This Row],[PNP Début]])</f>
        <v>0</v>
      </c>
      <c r="M21" s="45">
        <f>IF(H_Avr[[#This Row],[PNP Fin]]=0,0,IF(H_Avr[[#This Row],[PNP Fin]]&lt;H_Avr[[#This Row],[début]],1,0)+H_Avr[[#This Row],[PNP Fin]])</f>
        <v>0</v>
      </c>
      <c r="N21" s="45">
        <f>IF(H_Avr[[#This Row],[Fin]]&lt;H_Avr[[#This Row],[début]],1,0)+H_Avr[[#This Row],[Fin]]</f>
        <v>0</v>
      </c>
      <c r="O21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1" s="46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1" s="46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1" s="46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1" s="46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1" s="46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10"/>
      <c r="H22" s="10"/>
      <c r="I22" s="47">
        <f>0.1*(H_Avr[[#This Row],[Heures de nuit]]+IF(H_Avr[[#This Row],[majoration dim &amp; JF]]="non",0,H_Avr[[#This Row],[heures jour dimanche]]+H_Avr[[#This Row],[heures jour fériés]]))</f>
        <v>0</v>
      </c>
      <c r="J22" s="29">
        <f>(MOD(H_Avr[[#This Row],[Fin]]-H_Avr[[#This Row],[début]],1)-MOD(H_Avr[[#This Row],[PNP Fin]]-H_Avr[[#This Row],[PNP Début]],1))*24</f>
        <v>0</v>
      </c>
      <c r="K22" s="96" t="str">
        <f>IFERROR(VLOOKUP(H_Avr[[#This Row],[Service]],Codes[],4,0),"")</f>
        <v/>
      </c>
      <c r="L22" s="49">
        <f>IF(H_Avr[[#This Row],[PNP Début]]=0,0,IF(H_Avr[[#This Row],[PNP Début]]&lt;H_Avr[[#This Row],[début]],1,0)+H_Avr[[#This Row],[PNP Début]])</f>
        <v>0</v>
      </c>
      <c r="M22" s="50">
        <f>IF(H_Avr[[#This Row],[PNP Fin]]=0,0,IF(H_Avr[[#This Row],[PNP Fin]]&lt;H_Avr[[#This Row],[début]],1,0)+H_Avr[[#This Row],[PNP Fin]])</f>
        <v>0</v>
      </c>
      <c r="N22" s="50">
        <f>IF(H_Avr[[#This Row],[Fin]]&lt;H_Avr[[#This Row],[début]],1,0)+H_Avr[[#This Row],[Fin]]</f>
        <v>0</v>
      </c>
      <c r="O22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2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10"/>
      <c r="H23" s="10"/>
      <c r="I23" s="47">
        <f>0.1*(H_Avr[[#This Row],[Heures de nuit]]+IF(H_Avr[[#This Row],[majoration dim &amp; JF]]="non",0,H_Avr[[#This Row],[heures jour dimanche]]+H_Avr[[#This Row],[heures jour fériés]]))</f>
        <v>0</v>
      </c>
      <c r="J23" s="29">
        <f>(MOD(H_Avr[[#This Row],[Fin]]-H_Avr[[#This Row],[début]],1)-MOD(H_Avr[[#This Row],[PNP Fin]]-H_Avr[[#This Row],[PNP Début]],1))*24</f>
        <v>0</v>
      </c>
      <c r="K23" s="96" t="str">
        <f>IFERROR(VLOOKUP(H_Avr[[#This Row],[Service]],Codes[],4,0),"")</f>
        <v/>
      </c>
      <c r="L23" s="49">
        <f>IF(H_Avr[[#This Row],[PNP Début]]=0,0,IF(H_Avr[[#This Row],[PNP Début]]&lt;H_Avr[[#This Row],[début]],1,0)+H_Avr[[#This Row],[PNP Début]])</f>
        <v>0</v>
      </c>
      <c r="M23" s="50">
        <f>IF(H_Avr[[#This Row],[PNP Fin]]=0,0,IF(H_Avr[[#This Row],[PNP Fin]]&lt;H_Avr[[#This Row],[début]],1,0)+H_Avr[[#This Row],[PNP Fin]])</f>
        <v>0</v>
      </c>
      <c r="N23" s="50">
        <f>IF(H_Avr[[#This Row],[Fin]]&lt;H_Avr[[#This Row],[début]],1,0)+H_Avr[[#This Row],[Fin]]</f>
        <v>0</v>
      </c>
      <c r="O23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3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0.1*(H_Avr[[#This Row],[Heures de nuit]]+IF(H_Avr[[#This Row],[majoration dim &amp; JF]]="non",0,H_Avr[[#This Row],[heures jour dimanche]]+H_Avr[[#This Row],[heures jour fériés]]))</f>
        <v>0</v>
      </c>
      <c r="J24" s="29">
        <f>(MOD(H_Avr[[#This Row],[Fin]]-H_Avr[[#This Row],[début]],1)-MOD(H_Avr[[#This Row],[PNP Fin]]-H_Avr[[#This Row],[PNP Début]],1))*24</f>
        <v>0</v>
      </c>
      <c r="K24" s="96" t="str">
        <f>IFERROR(VLOOKUP(H_Avr[[#This Row],[Service]],Codes[],4,0),"")</f>
        <v/>
      </c>
      <c r="L24" s="49">
        <f>IF(H_Avr[[#This Row],[PNP Début]]=0,0,IF(H_Avr[[#This Row],[PNP Début]]&lt;H_Avr[[#This Row],[début]],1,0)+H_Avr[[#This Row],[PNP Début]])</f>
        <v>0</v>
      </c>
      <c r="M24" s="50">
        <f>IF(H_Avr[[#This Row],[PNP Fin]]=0,0,IF(H_Avr[[#This Row],[PNP Fin]]&lt;H_Avr[[#This Row],[début]],1,0)+H_Avr[[#This Row],[PNP Fin]])</f>
        <v>0</v>
      </c>
      <c r="N24" s="50">
        <f>IF(H_Avr[[#This Row],[Fin]]&lt;H_Avr[[#This Row],[début]],1,0)+H_Avr[[#This Row],[Fin]]</f>
        <v>0</v>
      </c>
      <c r="O24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4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0.1*(H_Avr[[#This Row],[Heures de nuit]]+IF(H_Avr[[#This Row],[majoration dim &amp; JF]]="non",0,H_Avr[[#This Row],[heures jour dimanche]]+H_Avr[[#This Row],[heures jour fériés]]))</f>
        <v>0</v>
      </c>
      <c r="J25" s="29">
        <f>(MOD(H_Avr[[#This Row],[Fin]]-H_Avr[[#This Row],[début]],1)-MOD(H_Avr[[#This Row],[PNP Fin]]-H_Avr[[#This Row],[PNP Début]],1))*24</f>
        <v>0</v>
      </c>
      <c r="K25" s="96" t="str">
        <f>IFERROR(VLOOKUP(H_Avr[[#This Row],[Service]],Codes[],4,0),"")</f>
        <v/>
      </c>
      <c r="L25" s="49">
        <f>IF(H_Avr[[#This Row],[PNP Début]]=0,0,IF(H_Avr[[#This Row],[PNP Début]]&lt;H_Avr[[#This Row],[début]],1,0)+H_Avr[[#This Row],[PNP Début]])</f>
        <v>0</v>
      </c>
      <c r="M25" s="50">
        <f>IF(H_Avr[[#This Row],[PNP Fin]]=0,0,IF(H_Avr[[#This Row],[PNP Fin]]&lt;H_Avr[[#This Row],[début]],1,0)+H_Avr[[#This Row],[PNP Fin]])</f>
        <v>0</v>
      </c>
      <c r="N25" s="50">
        <f>IF(H_Avr[[#This Row],[Fin]]&lt;H_Avr[[#This Row],[début]],1,0)+H_Avr[[#This Row],[Fin]]</f>
        <v>0</v>
      </c>
      <c r="O25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5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  <c r="W25" s="58"/>
    </row>
    <row r="26" spans="1:23" ht="14.4" customHeight="1" x14ac:dyDescent="0.3">
      <c r="A26" s="4"/>
      <c r="B26" s="1"/>
      <c r="C26" s="2"/>
      <c r="D26" s="2"/>
      <c r="E26" s="3"/>
      <c r="F26" s="3"/>
      <c r="G26" s="10"/>
      <c r="H26" s="10"/>
      <c r="I26" s="47">
        <f>0.1*(H_Avr[[#This Row],[Heures de nuit]]+IF(H_Avr[[#This Row],[majoration dim &amp; JF]]="non",0,H_Avr[[#This Row],[heures jour dimanche]]+H_Avr[[#This Row],[heures jour fériés]]))</f>
        <v>0</v>
      </c>
      <c r="J26" s="29">
        <f>(MOD(H_Avr[[#This Row],[Fin]]-H_Avr[[#This Row],[début]],1)-MOD(H_Avr[[#This Row],[PNP Fin]]-H_Avr[[#This Row],[PNP Début]],1))*24</f>
        <v>0</v>
      </c>
      <c r="K26" s="96" t="str">
        <f>IFERROR(VLOOKUP(H_Avr[[#This Row],[Service]],Codes[],4,0),"")</f>
        <v/>
      </c>
      <c r="L26" s="49">
        <f>IF(H_Avr[[#This Row],[PNP Début]]=0,0,IF(H_Avr[[#This Row],[PNP Début]]&lt;H_Avr[[#This Row],[début]],1,0)+H_Avr[[#This Row],[PNP Début]])</f>
        <v>0</v>
      </c>
      <c r="M26" s="50">
        <f>IF(H_Avr[[#This Row],[PNP Fin]]=0,0,IF(H_Avr[[#This Row],[PNP Fin]]&lt;H_Avr[[#This Row],[début]],1,0)+H_Avr[[#This Row],[PNP Fin]])</f>
        <v>0</v>
      </c>
      <c r="N26" s="50">
        <f>IF(H_Avr[[#This Row],[Fin]]&lt;H_Avr[[#This Row],[début]],1,0)+H_Avr[[#This Row],[Fin]]</f>
        <v>0</v>
      </c>
      <c r="O26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6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10"/>
      <c r="H27" s="10"/>
      <c r="I27" s="47">
        <f>0.1*(H_Avr[[#This Row],[Heures de nuit]]+IF(H_Avr[[#This Row],[majoration dim &amp; JF]]="non",0,H_Avr[[#This Row],[heures jour dimanche]]+H_Avr[[#This Row],[heures jour fériés]]))</f>
        <v>0</v>
      </c>
      <c r="J27" s="29">
        <f>(MOD(H_Avr[[#This Row],[Fin]]-H_Avr[[#This Row],[début]],1)-MOD(H_Avr[[#This Row],[PNP Fin]]-H_Avr[[#This Row],[PNP Début]],1))*24</f>
        <v>0</v>
      </c>
      <c r="K27" s="96" t="str">
        <f>IFERROR(VLOOKUP(H_Avr[[#This Row],[Service]],Codes[],4,0),"")</f>
        <v/>
      </c>
      <c r="L27" s="49">
        <f>IF(H_Avr[[#This Row],[PNP Début]]=0,0,IF(H_Avr[[#This Row],[PNP Début]]&lt;H_Avr[[#This Row],[début]],1,0)+H_Avr[[#This Row],[PNP Début]])</f>
        <v>0</v>
      </c>
      <c r="M27" s="50">
        <f>IF(H_Avr[[#This Row],[PNP Fin]]=0,0,IF(H_Avr[[#This Row],[PNP Fin]]&lt;H_Avr[[#This Row],[début]],1,0)+H_Avr[[#This Row],[PNP Fin]])</f>
        <v>0</v>
      </c>
      <c r="N27" s="50">
        <f>IF(H_Avr[[#This Row],[Fin]]&lt;H_Avr[[#This Row],[début]],1,0)+H_Avr[[#This Row],[Fin]]</f>
        <v>0</v>
      </c>
      <c r="O27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7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0.1*(H_Avr[[#This Row],[Heures de nuit]]+IF(H_Avr[[#This Row],[majoration dim &amp; JF]]="non",0,H_Avr[[#This Row],[heures jour dimanche]]+H_Avr[[#This Row],[heures jour fériés]]))</f>
        <v>0</v>
      </c>
      <c r="J28" s="29">
        <f>(MOD(H_Avr[[#This Row],[Fin]]-H_Avr[[#This Row],[début]],1)-MOD(H_Avr[[#This Row],[PNP Fin]]-H_Avr[[#This Row],[PNP Début]],1))*24</f>
        <v>0</v>
      </c>
      <c r="K28" s="96" t="str">
        <f>IFERROR(VLOOKUP(H_Avr[[#This Row],[Service]],Codes[],4,0),"")</f>
        <v/>
      </c>
      <c r="L28" s="49">
        <f>IF(H_Avr[[#This Row],[PNP Début]]=0,0,IF(H_Avr[[#This Row],[PNP Début]]&lt;H_Avr[[#This Row],[début]],1,0)+H_Avr[[#This Row],[PNP Début]])</f>
        <v>0</v>
      </c>
      <c r="M28" s="50">
        <f>IF(H_Avr[[#This Row],[PNP Fin]]=0,0,IF(H_Avr[[#This Row],[PNP Fin]]&lt;H_Avr[[#This Row],[début]],1,0)+H_Avr[[#This Row],[PNP Fin]])</f>
        <v>0</v>
      </c>
      <c r="N28" s="50">
        <f>IF(H_Avr[[#This Row],[Fin]]&lt;H_Avr[[#This Row],[début]],1,0)+H_Avr[[#This Row],[Fin]]</f>
        <v>0</v>
      </c>
      <c r="O28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8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0.1*(H_Avr[[#This Row],[Heures de nuit]]+IF(H_Avr[[#This Row],[majoration dim &amp; JF]]="non",0,H_Avr[[#This Row],[heures jour dimanche]]+H_Avr[[#This Row],[heures jour fériés]]))</f>
        <v>0</v>
      </c>
      <c r="J29" s="29">
        <f>(MOD(H_Avr[[#This Row],[Fin]]-H_Avr[[#This Row],[début]],1)-MOD(H_Avr[[#This Row],[PNP Fin]]-H_Avr[[#This Row],[PNP Début]],1))*24</f>
        <v>0</v>
      </c>
      <c r="K29" s="96" t="str">
        <f>IFERROR(VLOOKUP(H_Avr[[#This Row],[Service]],Codes[],4,0),"")</f>
        <v/>
      </c>
      <c r="L29" s="49">
        <f>IF(H_Avr[[#This Row],[PNP Début]]=0,0,IF(H_Avr[[#This Row],[PNP Début]]&lt;H_Avr[[#This Row],[début]],1,0)+H_Avr[[#This Row],[PNP Début]])</f>
        <v>0</v>
      </c>
      <c r="M29" s="50">
        <f>IF(H_Avr[[#This Row],[PNP Fin]]=0,0,IF(H_Avr[[#This Row],[PNP Fin]]&lt;H_Avr[[#This Row],[début]],1,0)+H_Avr[[#This Row],[PNP Fin]])</f>
        <v>0</v>
      </c>
      <c r="N29" s="50">
        <f>IF(H_Avr[[#This Row],[Fin]]&lt;H_Avr[[#This Row],[début]],1,0)+H_Avr[[#This Row],[Fin]]</f>
        <v>0</v>
      </c>
      <c r="O29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29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2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2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2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2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10"/>
      <c r="H30" s="10"/>
      <c r="I30" s="47">
        <f>0.1*(H_Avr[[#This Row],[Heures de nuit]]+IF(H_Avr[[#This Row],[majoration dim &amp; JF]]="non",0,H_Avr[[#This Row],[heures jour dimanche]]+H_Avr[[#This Row],[heures jour fériés]]))</f>
        <v>0</v>
      </c>
      <c r="J30" s="29">
        <f>(MOD(H_Avr[[#This Row],[Fin]]-H_Avr[[#This Row],[début]],1)-MOD(H_Avr[[#This Row],[PNP Fin]]-H_Avr[[#This Row],[PNP Début]],1))*24</f>
        <v>0</v>
      </c>
      <c r="K30" s="96" t="str">
        <f>IFERROR(VLOOKUP(H_Avr[[#This Row],[Service]],Codes[],4,0),"")</f>
        <v/>
      </c>
      <c r="L30" s="49">
        <f>IF(H_Avr[[#This Row],[PNP Début]]=0,0,IF(H_Avr[[#This Row],[PNP Début]]&lt;H_Avr[[#This Row],[début]],1,0)+H_Avr[[#This Row],[PNP Début]])</f>
        <v>0</v>
      </c>
      <c r="M30" s="50">
        <f>IF(H_Avr[[#This Row],[PNP Fin]]=0,0,IF(H_Avr[[#This Row],[PNP Fin]]&lt;H_Avr[[#This Row],[début]],1,0)+H_Avr[[#This Row],[PNP Fin]])</f>
        <v>0</v>
      </c>
      <c r="N30" s="50">
        <f>IF(H_Avr[[#This Row],[Fin]]&lt;H_Avr[[#This Row],[début]],1,0)+H_Avr[[#This Row],[Fin]]</f>
        <v>0</v>
      </c>
      <c r="O30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0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0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0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0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0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10"/>
      <c r="H31" s="10"/>
      <c r="I31" s="47">
        <f>0.1*(H_Avr[[#This Row],[Heures de nuit]]+IF(H_Avr[[#This Row],[majoration dim &amp; JF]]="non",0,H_Avr[[#This Row],[heures jour dimanche]]+H_Avr[[#This Row],[heures jour fériés]]))</f>
        <v>0</v>
      </c>
      <c r="J31" s="29">
        <f>(MOD(H_Avr[[#This Row],[Fin]]-H_Avr[[#This Row],[début]],1)-MOD(H_Avr[[#This Row],[PNP Fin]]-H_Avr[[#This Row],[PNP Début]],1))*24</f>
        <v>0</v>
      </c>
      <c r="K31" s="96" t="str">
        <f>IFERROR(VLOOKUP(H_Avr[[#This Row],[Service]],Codes[],4,0),"")</f>
        <v/>
      </c>
      <c r="L31" s="49">
        <f>IF(H_Avr[[#This Row],[PNP Début]]=0,0,IF(H_Avr[[#This Row],[PNP Début]]&lt;H_Avr[[#This Row],[début]],1,0)+H_Avr[[#This Row],[PNP Début]])</f>
        <v>0</v>
      </c>
      <c r="M31" s="50">
        <f>IF(H_Avr[[#This Row],[PNP Fin]]=0,0,IF(H_Avr[[#This Row],[PNP Fin]]&lt;H_Avr[[#This Row],[début]],1,0)+H_Avr[[#This Row],[PNP Fin]])</f>
        <v>0</v>
      </c>
      <c r="N31" s="50">
        <f>IF(H_Avr[[#This Row],[Fin]]&lt;H_Avr[[#This Row],[début]],1,0)+H_Avr[[#This Row],[Fin]]</f>
        <v>0</v>
      </c>
      <c r="O31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1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1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1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1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1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0.1*(H_Avr[[#This Row],[Heures de nuit]]+IF(H_Avr[[#This Row],[majoration dim &amp; JF]]="non",0,H_Avr[[#This Row],[heures jour dimanche]]+H_Avr[[#This Row],[heures jour fériés]]))</f>
        <v>0</v>
      </c>
      <c r="J32" s="29">
        <f>(MOD(H_Avr[[#This Row],[Fin]]-H_Avr[[#This Row],[début]],1)-MOD(H_Avr[[#This Row],[PNP Fin]]-H_Avr[[#This Row],[PNP Début]],1))*24</f>
        <v>0</v>
      </c>
      <c r="K32" s="96" t="str">
        <f>IFERROR(VLOOKUP(H_Avr[[#This Row],[Service]],Codes[],4,0),"")</f>
        <v/>
      </c>
      <c r="L32" s="49">
        <f>IF(H_Avr[[#This Row],[PNP Début]]=0,0,IF(H_Avr[[#This Row],[PNP Début]]&lt;H_Avr[[#This Row],[début]],1,0)+H_Avr[[#This Row],[PNP Début]])</f>
        <v>0</v>
      </c>
      <c r="M32" s="50">
        <f>IF(H_Avr[[#This Row],[PNP Fin]]=0,0,IF(H_Avr[[#This Row],[PNP Fin]]&lt;H_Avr[[#This Row],[début]],1,0)+H_Avr[[#This Row],[PNP Fin]])</f>
        <v>0</v>
      </c>
      <c r="N32" s="50">
        <f>IF(H_Avr[[#This Row],[Fin]]&lt;H_Avr[[#This Row],[début]],1,0)+H_Avr[[#This Row],[Fin]]</f>
        <v>0</v>
      </c>
      <c r="O32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2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0.1*(H_Avr[[#This Row],[Heures de nuit]]+IF(H_Avr[[#This Row],[majoration dim &amp; JF]]="non",0,H_Avr[[#This Row],[heures jour dimanche]]+H_Avr[[#This Row],[heures jour fériés]]))</f>
        <v>0</v>
      </c>
      <c r="J33" s="29">
        <f>(MOD(H_Avr[[#This Row],[Fin]]-H_Avr[[#This Row],[début]],1)-MOD(H_Avr[[#This Row],[PNP Fin]]-H_Avr[[#This Row],[PNP Début]],1))*24</f>
        <v>0</v>
      </c>
      <c r="K33" s="96" t="str">
        <f>IFERROR(VLOOKUP(H_Avr[[#This Row],[Service]],Codes[],4,0),"")</f>
        <v/>
      </c>
      <c r="L33" s="49">
        <f>IF(H_Avr[[#This Row],[PNP Début]]=0,0,IF(H_Avr[[#This Row],[PNP Début]]&lt;H_Avr[[#This Row],[début]],1,0)+H_Avr[[#This Row],[PNP Début]])</f>
        <v>0</v>
      </c>
      <c r="M33" s="50">
        <f>IF(H_Avr[[#This Row],[PNP Fin]]=0,0,IF(H_Avr[[#This Row],[PNP Fin]]&lt;H_Avr[[#This Row],[début]],1,0)+H_Avr[[#This Row],[PNP Fin]])</f>
        <v>0</v>
      </c>
      <c r="N33" s="50">
        <f>IF(H_Avr[[#This Row],[Fin]]&lt;H_Avr[[#This Row],[début]],1,0)+H_Avr[[#This Row],[Fin]]</f>
        <v>0</v>
      </c>
      <c r="O33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3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0.1*(H_Avr[[#This Row],[Heures de nuit]]+IF(H_Avr[[#This Row],[majoration dim &amp; JF]]="non",0,H_Avr[[#This Row],[heures jour dimanche]]+H_Avr[[#This Row],[heures jour fériés]]))</f>
        <v>0</v>
      </c>
      <c r="J34" s="29">
        <f>(MOD(H_Avr[[#This Row],[Fin]]-H_Avr[[#This Row],[début]],1)-MOD(H_Avr[[#This Row],[PNP Fin]]-H_Avr[[#This Row],[PNP Début]],1))*24</f>
        <v>0</v>
      </c>
      <c r="K34" s="96" t="str">
        <f>IFERROR(VLOOKUP(H_Avr[[#This Row],[Service]],Codes[],4,0),"")</f>
        <v/>
      </c>
      <c r="L34" s="49">
        <f>IF(H_Avr[[#This Row],[PNP Début]]=0,0,IF(H_Avr[[#This Row],[PNP Début]]&lt;H_Avr[[#This Row],[début]],1,0)+H_Avr[[#This Row],[PNP Début]])</f>
        <v>0</v>
      </c>
      <c r="M34" s="50">
        <f>IF(H_Avr[[#This Row],[PNP Fin]]=0,0,IF(H_Avr[[#This Row],[PNP Fin]]&lt;H_Avr[[#This Row],[début]],1,0)+H_Avr[[#This Row],[PNP Fin]])</f>
        <v>0</v>
      </c>
      <c r="N34" s="50">
        <f>IF(H_Avr[[#This Row],[Fin]]&lt;H_Avr[[#This Row],[début]],1,0)+H_Avr[[#This Row],[Fin]]</f>
        <v>0</v>
      </c>
      <c r="O34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4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0.1*(H_Avr[[#This Row],[Heures de nuit]]+IF(H_Avr[[#This Row],[majoration dim &amp; JF]]="non",0,H_Avr[[#This Row],[heures jour dimanche]]+H_Avr[[#This Row],[heures jour fériés]]))</f>
        <v>0</v>
      </c>
      <c r="J35" s="29">
        <f>(MOD(H_Avr[[#This Row],[Fin]]-H_Avr[[#This Row],[début]],1)-MOD(H_Avr[[#This Row],[PNP Fin]]-H_Avr[[#This Row],[PNP Début]],1))*24</f>
        <v>0</v>
      </c>
      <c r="K35" s="96" t="str">
        <f>IFERROR(VLOOKUP(H_Avr[[#This Row],[Service]],Codes[],4,0),"")</f>
        <v/>
      </c>
      <c r="L35" s="49">
        <f>IF(H_Avr[[#This Row],[PNP Début]]=0,0,IF(H_Avr[[#This Row],[PNP Début]]&lt;H_Avr[[#This Row],[début]],1,0)+H_Avr[[#This Row],[PNP Début]])</f>
        <v>0</v>
      </c>
      <c r="M35" s="50">
        <f>IF(H_Avr[[#This Row],[PNP Fin]]=0,0,IF(H_Avr[[#This Row],[PNP Fin]]&lt;H_Avr[[#This Row],[début]],1,0)+H_Avr[[#This Row],[PNP Fin]])</f>
        <v>0</v>
      </c>
      <c r="N35" s="50">
        <f>IF(H_Avr[[#This Row],[Fin]]&lt;H_Avr[[#This Row],[début]],1,0)+H_Avr[[#This Row],[Fin]]</f>
        <v>0</v>
      </c>
      <c r="O35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5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0.1*(H_Avr[[#This Row],[Heures de nuit]]+IF(H_Avr[[#This Row],[majoration dim &amp; JF]]="non",0,H_Avr[[#This Row],[heures jour dimanche]]+H_Avr[[#This Row],[heures jour fériés]]))</f>
        <v>0</v>
      </c>
      <c r="J36" s="29">
        <f>(MOD(H_Avr[[#This Row],[Fin]]-H_Avr[[#This Row],[début]],1)-MOD(H_Avr[[#This Row],[PNP Fin]]-H_Avr[[#This Row],[PNP Début]],1))*24</f>
        <v>0</v>
      </c>
      <c r="K36" s="96" t="str">
        <f>IFERROR(VLOOKUP(H_Avr[[#This Row],[Service]],Codes[],4,0),"")</f>
        <v/>
      </c>
      <c r="L36" s="49">
        <f>IF(H_Avr[[#This Row],[PNP Début]]=0,0,IF(H_Avr[[#This Row],[PNP Début]]&lt;H_Avr[[#This Row],[début]],1,0)+H_Avr[[#This Row],[PNP Début]])</f>
        <v>0</v>
      </c>
      <c r="M36" s="50">
        <f>IF(H_Avr[[#This Row],[PNP Fin]]=0,0,IF(H_Avr[[#This Row],[PNP Fin]]&lt;H_Avr[[#This Row],[début]],1,0)+H_Avr[[#This Row],[PNP Fin]])</f>
        <v>0</v>
      </c>
      <c r="N36" s="50">
        <f>IF(H_Avr[[#This Row],[Fin]]&lt;H_Avr[[#This Row],[début]],1,0)+H_Avr[[#This Row],[Fin]]</f>
        <v>0</v>
      </c>
      <c r="O36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6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0.1*(H_Avr[[#This Row],[Heures de nuit]]+IF(H_Avr[[#This Row],[majoration dim &amp; JF]]="non",0,H_Avr[[#This Row],[heures jour dimanche]]+H_Avr[[#This Row],[heures jour fériés]]))</f>
        <v>0</v>
      </c>
      <c r="J37" s="29">
        <f>(MOD(H_Avr[[#This Row],[Fin]]-H_Avr[[#This Row],[début]],1)-MOD(H_Avr[[#This Row],[PNP Fin]]-H_Avr[[#This Row],[PNP Début]],1))*24</f>
        <v>0</v>
      </c>
      <c r="K37" s="96" t="str">
        <f>IFERROR(VLOOKUP(H_Avr[[#This Row],[Service]],Codes[],4,0),"")</f>
        <v/>
      </c>
      <c r="L37" s="49">
        <f>IF(H_Avr[[#This Row],[PNP Début]]=0,0,IF(H_Avr[[#This Row],[PNP Début]]&lt;H_Avr[[#This Row],[début]],1,0)+H_Avr[[#This Row],[PNP Début]])</f>
        <v>0</v>
      </c>
      <c r="M37" s="50">
        <f>IF(H_Avr[[#This Row],[PNP Fin]]=0,0,IF(H_Avr[[#This Row],[PNP Fin]]&lt;H_Avr[[#This Row],[début]],1,0)+H_Avr[[#This Row],[PNP Fin]])</f>
        <v>0</v>
      </c>
      <c r="N37" s="50">
        <f>IF(H_Avr[[#This Row],[Fin]]&lt;H_Avr[[#This Row],[début]],1,0)+H_Avr[[#This Row],[Fin]]</f>
        <v>0</v>
      </c>
      <c r="O37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7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0.1*(H_Avr[[#This Row],[Heures de nuit]]+IF(H_Avr[[#This Row],[majoration dim &amp; JF]]="non",0,H_Avr[[#This Row],[heures jour dimanche]]+H_Avr[[#This Row],[heures jour fériés]]))</f>
        <v>0</v>
      </c>
      <c r="J38" s="29">
        <f>(MOD(H_Avr[[#This Row],[Fin]]-H_Avr[[#This Row],[début]],1)-MOD(H_Avr[[#This Row],[PNP Fin]]-H_Avr[[#This Row],[PNP Début]],1))*24</f>
        <v>0</v>
      </c>
      <c r="K38" s="96" t="str">
        <f>IFERROR(VLOOKUP(H_Avr[[#This Row],[Service]],Codes[],4,0),"")</f>
        <v/>
      </c>
      <c r="L38" s="49">
        <f>IF(H_Avr[[#This Row],[PNP Début]]=0,0,IF(H_Avr[[#This Row],[PNP Début]]&lt;H_Avr[[#This Row],[début]],1,0)+H_Avr[[#This Row],[PNP Début]])</f>
        <v>0</v>
      </c>
      <c r="M38" s="50">
        <f>IF(H_Avr[[#This Row],[PNP Fin]]=0,0,IF(H_Avr[[#This Row],[PNP Fin]]&lt;H_Avr[[#This Row],[début]],1,0)+H_Avr[[#This Row],[PNP Fin]])</f>
        <v>0</v>
      </c>
      <c r="N38" s="50">
        <f>IF(H_Avr[[#This Row],[Fin]]&lt;H_Avr[[#This Row],[début]],1,0)+H_Avr[[#This Row],[Fin]]</f>
        <v>0</v>
      </c>
      <c r="O38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8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0.1*(H_Avr[[#This Row],[Heures de nuit]]+IF(H_Avr[[#This Row],[majoration dim &amp; JF]]="non",0,H_Avr[[#This Row],[heures jour dimanche]]+H_Avr[[#This Row],[heures jour fériés]]))</f>
        <v>0</v>
      </c>
      <c r="J39" s="29">
        <f>(MOD(H_Avr[[#This Row],[Fin]]-H_Avr[[#This Row],[début]],1)-MOD(H_Avr[[#This Row],[PNP Fin]]-H_Avr[[#This Row],[PNP Début]],1))*24</f>
        <v>0</v>
      </c>
      <c r="K39" s="96" t="str">
        <f>IFERROR(VLOOKUP(H_Avr[[#This Row],[Service]],Codes[],4,0),"")</f>
        <v/>
      </c>
      <c r="L39" s="49">
        <f>IF(H_Avr[[#This Row],[PNP Début]]=0,0,IF(H_Avr[[#This Row],[PNP Début]]&lt;H_Avr[[#This Row],[début]],1,0)+H_Avr[[#This Row],[PNP Début]])</f>
        <v>0</v>
      </c>
      <c r="M39" s="50">
        <f>IF(H_Avr[[#This Row],[PNP Fin]]=0,0,IF(H_Avr[[#This Row],[PNP Fin]]&lt;H_Avr[[#This Row],[début]],1,0)+H_Avr[[#This Row],[PNP Fin]])</f>
        <v>0</v>
      </c>
      <c r="N39" s="50">
        <f>IF(H_Avr[[#This Row],[Fin]]&lt;H_Avr[[#This Row],[début]],1,0)+H_Avr[[#This Row],[Fin]]</f>
        <v>0</v>
      </c>
      <c r="O39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39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3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3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3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3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0.1*(H_Avr[[#This Row],[Heures de nuit]]+IF(H_Avr[[#This Row],[majoration dim &amp; JF]]="non",0,H_Avr[[#This Row],[heures jour dimanche]]+H_Avr[[#This Row],[heures jour fériés]]))</f>
        <v>0</v>
      </c>
      <c r="J40" s="29">
        <f>(MOD(H_Avr[[#This Row],[Fin]]-H_Avr[[#This Row],[début]],1)-MOD(H_Avr[[#This Row],[PNP Fin]]-H_Avr[[#This Row],[PNP Début]],1))*24</f>
        <v>0</v>
      </c>
      <c r="K40" s="96" t="str">
        <f>IFERROR(VLOOKUP(H_Avr[[#This Row],[Service]],Codes[],4,0),"")</f>
        <v/>
      </c>
      <c r="L40" s="49">
        <f>IF(H_Avr[[#This Row],[PNP Début]]=0,0,IF(H_Avr[[#This Row],[PNP Début]]&lt;H_Avr[[#This Row],[début]],1,0)+H_Avr[[#This Row],[PNP Début]])</f>
        <v>0</v>
      </c>
      <c r="M40" s="50">
        <f>IF(H_Avr[[#This Row],[PNP Fin]]=0,0,IF(H_Avr[[#This Row],[PNP Fin]]&lt;H_Avr[[#This Row],[début]],1,0)+H_Avr[[#This Row],[PNP Fin]])</f>
        <v>0</v>
      </c>
      <c r="N40" s="50">
        <f>IF(H_Avr[[#This Row],[Fin]]&lt;H_Avr[[#This Row],[début]],1,0)+H_Avr[[#This Row],[Fin]]</f>
        <v>0</v>
      </c>
      <c r="O40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0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0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0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0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0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0.1*(H_Avr[[#This Row],[Heures de nuit]]+IF(H_Avr[[#This Row],[majoration dim &amp; JF]]="non",0,H_Avr[[#This Row],[heures jour dimanche]]+H_Avr[[#This Row],[heures jour fériés]]))</f>
        <v>0</v>
      </c>
      <c r="J41" s="29">
        <f>(MOD(H_Avr[[#This Row],[Fin]]-H_Avr[[#This Row],[début]],1)-MOD(H_Avr[[#This Row],[PNP Fin]]-H_Avr[[#This Row],[PNP Début]],1))*24</f>
        <v>0</v>
      </c>
      <c r="K41" s="96" t="str">
        <f>IFERROR(VLOOKUP(H_Avr[[#This Row],[Service]],Codes[],4,0),"")</f>
        <v/>
      </c>
      <c r="L41" s="49">
        <f>IF(H_Avr[[#This Row],[PNP Début]]=0,0,IF(H_Avr[[#This Row],[PNP Début]]&lt;H_Avr[[#This Row],[début]],1,0)+H_Avr[[#This Row],[PNP Début]])</f>
        <v>0</v>
      </c>
      <c r="M41" s="50">
        <f>IF(H_Avr[[#This Row],[PNP Fin]]=0,0,IF(H_Avr[[#This Row],[PNP Fin]]&lt;H_Avr[[#This Row],[début]],1,0)+H_Avr[[#This Row],[PNP Fin]])</f>
        <v>0</v>
      </c>
      <c r="N41" s="50">
        <f>IF(H_Avr[[#This Row],[Fin]]&lt;H_Avr[[#This Row],[début]],1,0)+H_Avr[[#This Row],[Fin]]</f>
        <v>0</v>
      </c>
      <c r="O41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1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1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1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1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1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0.1*(H_Avr[[#This Row],[Heures de nuit]]+IF(H_Avr[[#This Row],[majoration dim &amp; JF]]="non",0,H_Avr[[#This Row],[heures jour dimanche]]+H_Avr[[#This Row],[heures jour fériés]]))</f>
        <v>0</v>
      </c>
      <c r="J42" s="29">
        <f>(MOD(H_Avr[[#This Row],[Fin]]-H_Avr[[#This Row],[début]],1)-MOD(H_Avr[[#This Row],[PNP Fin]]-H_Avr[[#This Row],[PNP Début]],1))*24</f>
        <v>0</v>
      </c>
      <c r="K42" s="96" t="str">
        <f>IFERROR(VLOOKUP(H_Avr[[#This Row],[Service]],Codes[],4,0),"")</f>
        <v/>
      </c>
      <c r="L42" s="49">
        <f>IF(H_Avr[[#This Row],[PNP Début]]=0,0,IF(H_Avr[[#This Row],[PNP Début]]&lt;H_Avr[[#This Row],[début]],1,0)+H_Avr[[#This Row],[PNP Début]])</f>
        <v>0</v>
      </c>
      <c r="M42" s="50">
        <f>IF(H_Avr[[#This Row],[PNP Fin]]=0,0,IF(H_Avr[[#This Row],[PNP Fin]]&lt;H_Avr[[#This Row],[début]],1,0)+H_Avr[[#This Row],[PNP Fin]])</f>
        <v>0</v>
      </c>
      <c r="N42" s="50">
        <f>IF(H_Avr[[#This Row],[Fin]]&lt;H_Avr[[#This Row],[début]],1,0)+H_Avr[[#This Row],[Fin]]</f>
        <v>0</v>
      </c>
      <c r="O42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2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2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2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0.1*(H_Avr[[#This Row],[Heures de nuit]]+IF(H_Avr[[#This Row],[majoration dim &amp; JF]]="non",0,H_Avr[[#This Row],[heures jour dimanche]]+H_Avr[[#This Row],[heures jour fériés]]))</f>
        <v>0</v>
      </c>
      <c r="J43" s="29">
        <f>(MOD(H_Avr[[#This Row],[Fin]]-H_Avr[[#This Row],[début]],1)-MOD(H_Avr[[#This Row],[PNP Fin]]-H_Avr[[#This Row],[PNP Début]],1))*24</f>
        <v>0</v>
      </c>
      <c r="K43" s="96" t="str">
        <f>IFERROR(VLOOKUP(H_Avr[[#This Row],[Service]],Codes[],4,0),"")</f>
        <v/>
      </c>
      <c r="L43" s="49">
        <f>IF(H_Avr[[#This Row],[PNP Début]]=0,0,IF(H_Avr[[#This Row],[PNP Début]]&lt;H_Avr[[#This Row],[début]],1,0)+H_Avr[[#This Row],[PNP Début]])</f>
        <v>0</v>
      </c>
      <c r="M43" s="50">
        <f>IF(H_Avr[[#This Row],[PNP Fin]]=0,0,IF(H_Avr[[#This Row],[PNP Fin]]&lt;H_Avr[[#This Row],[début]],1,0)+H_Avr[[#This Row],[PNP Fin]])</f>
        <v>0</v>
      </c>
      <c r="N43" s="50">
        <f>IF(H_Avr[[#This Row],[Fin]]&lt;H_Avr[[#This Row],[début]],1,0)+H_Avr[[#This Row],[Fin]]</f>
        <v>0</v>
      </c>
      <c r="O43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3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3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3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0.1*(H_Avr[[#This Row],[Heures de nuit]]+IF(H_Avr[[#This Row],[majoration dim &amp; JF]]="non",0,H_Avr[[#This Row],[heures jour dimanche]]+H_Avr[[#This Row],[heures jour fériés]]))</f>
        <v>0</v>
      </c>
      <c r="J44" s="29">
        <f>(MOD(H_Avr[[#This Row],[Fin]]-H_Avr[[#This Row],[début]],1)-MOD(H_Avr[[#This Row],[PNP Fin]]-H_Avr[[#This Row],[PNP Début]],1))*24</f>
        <v>0</v>
      </c>
      <c r="K44" s="96" t="str">
        <f>IFERROR(VLOOKUP(H_Avr[[#This Row],[Service]],Codes[],4,0),"")</f>
        <v/>
      </c>
      <c r="L44" s="49">
        <f>IF(H_Avr[[#This Row],[PNP Début]]=0,0,IF(H_Avr[[#This Row],[PNP Début]]&lt;H_Avr[[#This Row],[début]],1,0)+H_Avr[[#This Row],[PNP Début]])</f>
        <v>0</v>
      </c>
      <c r="M44" s="50">
        <f>IF(H_Avr[[#This Row],[PNP Fin]]=0,0,IF(H_Avr[[#This Row],[PNP Fin]]&lt;H_Avr[[#This Row],[début]],1,0)+H_Avr[[#This Row],[PNP Fin]])</f>
        <v>0</v>
      </c>
      <c r="N44" s="50">
        <f>IF(H_Avr[[#This Row],[Fin]]&lt;H_Avr[[#This Row],[début]],1,0)+H_Avr[[#This Row],[Fin]]</f>
        <v>0</v>
      </c>
      <c r="O44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4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4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4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0.1*(H_Avr[[#This Row],[Heures de nuit]]+IF(H_Avr[[#This Row],[majoration dim &amp; JF]]="non",0,H_Avr[[#This Row],[heures jour dimanche]]+H_Avr[[#This Row],[heures jour fériés]]))</f>
        <v>0</v>
      </c>
      <c r="J45" s="29">
        <f>(MOD(H_Avr[[#This Row],[Fin]]-H_Avr[[#This Row],[début]],1)-MOD(H_Avr[[#This Row],[PNP Fin]]-H_Avr[[#This Row],[PNP Début]],1))*24</f>
        <v>0</v>
      </c>
      <c r="K45" s="96" t="str">
        <f>IFERROR(VLOOKUP(H_Avr[[#This Row],[Service]],Codes[],4,0),"")</f>
        <v/>
      </c>
      <c r="L45" s="49">
        <f>IF(H_Avr[[#This Row],[PNP Début]]=0,0,IF(H_Avr[[#This Row],[PNP Début]]&lt;H_Avr[[#This Row],[début]],1,0)+H_Avr[[#This Row],[PNP Début]])</f>
        <v>0</v>
      </c>
      <c r="M45" s="50">
        <f>IF(H_Avr[[#This Row],[PNP Fin]]=0,0,IF(H_Avr[[#This Row],[PNP Fin]]&lt;H_Avr[[#This Row],[début]],1,0)+H_Avr[[#This Row],[PNP Fin]])</f>
        <v>0</v>
      </c>
      <c r="N45" s="50">
        <f>IF(H_Avr[[#This Row],[Fin]]&lt;H_Avr[[#This Row],[début]],1,0)+H_Avr[[#This Row],[Fin]]</f>
        <v>0</v>
      </c>
      <c r="O45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5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5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5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0.1*(H_Avr[[#This Row],[Heures de nuit]]+IF(H_Avr[[#This Row],[majoration dim &amp; JF]]="non",0,H_Avr[[#This Row],[heures jour dimanche]]+H_Avr[[#This Row],[heures jour fériés]]))</f>
        <v>0</v>
      </c>
      <c r="J46" s="29">
        <f>(MOD(H_Avr[[#This Row],[Fin]]-H_Avr[[#This Row],[début]],1)-MOD(H_Avr[[#This Row],[PNP Fin]]-H_Avr[[#This Row],[PNP Début]],1))*24</f>
        <v>0</v>
      </c>
      <c r="K46" s="96" t="str">
        <f>IFERROR(VLOOKUP(H_Avr[[#This Row],[Service]],Codes[],4,0),"")</f>
        <v/>
      </c>
      <c r="L46" s="49">
        <f>IF(H_Avr[[#This Row],[PNP Début]]=0,0,IF(H_Avr[[#This Row],[PNP Début]]&lt;H_Avr[[#This Row],[début]],1,0)+H_Avr[[#This Row],[PNP Début]])</f>
        <v>0</v>
      </c>
      <c r="M46" s="50">
        <f>IF(H_Avr[[#This Row],[PNP Fin]]=0,0,IF(H_Avr[[#This Row],[PNP Fin]]&lt;H_Avr[[#This Row],[début]],1,0)+H_Avr[[#This Row],[PNP Fin]])</f>
        <v>0</v>
      </c>
      <c r="N46" s="50">
        <f>IF(H_Avr[[#This Row],[Fin]]&lt;H_Avr[[#This Row],[début]],1,0)+H_Avr[[#This Row],[Fin]]</f>
        <v>0</v>
      </c>
      <c r="O46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6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6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6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0.1*(H_Avr[[#This Row],[Heures de nuit]]+IF(H_Avr[[#This Row],[majoration dim &amp; JF]]="non",0,H_Avr[[#This Row],[heures jour dimanche]]+H_Avr[[#This Row],[heures jour fériés]]))</f>
        <v>0</v>
      </c>
      <c r="J47" s="29">
        <f>(MOD(H_Avr[[#This Row],[Fin]]-H_Avr[[#This Row],[début]],1)-MOD(H_Avr[[#This Row],[PNP Fin]]-H_Avr[[#This Row],[PNP Début]],1))*24</f>
        <v>0</v>
      </c>
      <c r="K47" s="96" t="str">
        <f>IFERROR(VLOOKUP(H_Avr[[#This Row],[Service]],Codes[],4,0),"")</f>
        <v/>
      </c>
      <c r="L47" s="49">
        <f>IF(H_Avr[[#This Row],[PNP Début]]=0,0,IF(H_Avr[[#This Row],[PNP Début]]&lt;H_Avr[[#This Row],[début]],1,0)+H_Avr[[#This Row],[PNP Début]])</f>
        <v>0</v>
      </c>
      <c r="M47" s="50">
        <f>IF(H_Avr[[#This Row],[PNP Fin]]=0,0,IF(H_Avr[[#This Row],[PNP Fin]]&lt;H_Avr[[#This Row],[début]],1,0)+H_Avr[[#This Row],[PNP Fin]])</f>
        <v>0</v>
      </c>
      <c r="N47" s="50">
        <f>IF(H_Avr[[#This Row],[Fin]]&lt;H_Avr[[#This Row],[début]],1,0)+H_Avr[[#This Row],[Fin]]</f>
        <v>0</v>
      </c>
      <c r="O47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7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7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7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0.1*(H_Avr[[#This Row],[Heures de nuit]]+IF(H_Avr[[#This Row],[majoration dim &amp; JF]]="non",0,H_Avr[[#This Row],[heures jour dimanche]]+H_Avr[[#This Row],[heures jour fériés]]))</f>
        <v>0</v>
      </c>
      <c r="J48" s="29">
        <f>(MOD(H_Avr[[#This Row],[Fin]]-H_Avr[[#This Row],[début]],1)-MOD(H_Avr[[#This Row],[PNP Fin]]-H_Avr[[#This Row],[PNP Début]],1))*24</f>
        <v>0</v>
      </c>
      <c r="K48" s="96" t="str">
        <f>IFERROR(VLOOKUP(H_Avr[[#This Row],[Service]],Codes[],4,0),"")</f>
        <v/>
      </c>
      <c r="L48" s="49">
        <f>IF(H_Avr[[#This Row],[PNP Début]]=0,0,IF(H_Avr[[#This Row],[PNP Début]]&lt;H_Avr[[#This Row],[début]],1,0)+H_Avr[[#This Row],[PNP Début]])</f>
        <v>0</v>
      </c>
      <c r="M48" s="50">
        <f>IF(H_Avr[[#This Row],[PNP Fin]]=0,0,IF(H_Avr[[#This Row],[PNP Fin]]&lt;H_Avr[[#This Row],[début]],1,0)+H_Avr[[#This Row],[PNP Fin]])</f>
        <v>0</v>
      </c>
      <c r="N48" s="50">
        <f>IF(H_Avr[[#This Row],[Fin]]&lt;H_Avr[[#This Row],[début]],1,0)+H_Avr[[#This Row],[Fin]]</f>
        <v>0</v>
      </c>
      <c r="O48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8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8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8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0.1*(H_Avr[[#This Row],[Heures de nuit]]+IF(H_Avr[[#This Row],[majoration dim &amp; JF]]="non",0,H_Avr[[#This Row],[heures jour dimanche]]+H_Avr[[#This Row],[heures jour fériés]]))</f>
        <v>0</v>
      </c>
      <c r="J49" s="29">
        <f>(MOD(H_Avr[[#This Row],[Fin]]-H_Avr[[#This Row],[début]],1)-MOD(H_Avr[[#This Row],[PNP Fin]]-H_Avr[[#This Row],[PNP Début]],1))*24</f>
        <v>0</v>
      </c>
      <c r="K49" s="96" t="str">
        <f>IFERROR(VLOOKUP(H_Avr[[#This Row],[Service]],Codes[],4,0),"")</f>
        <v/>
      </c>
      <c r="L49" s="49">
        <f>IF(H_Avr[[#This Row],[PNP Début]]=0,0,IF(H_Avr[[#This Row],[PNP Début]]&lt;H_Avr[[#This Row],[début]],1,0)+H_Avr[[#This Row],[PNP Début]])</f>
        <v>0</v>
      </c>
      <c r="M49" s="50">
        <f>IF(H_Avr[[#This Row],[PNP Fin]]=0,0,IF(H_Avr[[#This Row],[PNP Fin]]&lt;H_Avr[[#This Row],[début]],1,0)+H_Avr[[#This Row],[PNP Fin]])</f>
        <v>0</v>
      </c>
      <c r="N49" s="50">
        <f>IF(H_Avr[[#This Row],[Fin]]&lt;H_Avr[[#This Row],[début]],1,0)+H_Avr[[#This Row],[Fin]]</f>
        <v>0</v>
      </c>
      <c r="O49" s="31">
        <f>IF(H_Avr[[#This Row],[Fin]]&lt;H_Avr[[#This Row],[début]],MAX(0,MIN(H_Avr[[#This Row],[Fin corrigée si nuit]],fin_nuit)-MAX(H_Avr[[#This Row],[début]],deb_nuit))*24,(MAX(deb_nuit,H_Avr[[#This Row],[Fin]])-MAX(deb_nuit,H_Avr[[#This Row],[début]])+MAX(MIN(fin_nuit-1,H_Avr[[#This Row],[Fin]])-MIN(fin_nuit-1,H_Avr[[#This Row],[début]]),0))*24)</f>
        <v>0</v>
      </c>
      <c r="P49" s="51">
        <f>(MAX(0,MIN(H_Avr[[#This Row],[Fin corrigée si nuit]],fin_nuit)-MAX(H_Avr[[#This Row],[début]],deb_nuit))-IF(H_Avr[[#This Row],[PNP Début]]=0,0,MIN(H_Avr[[#This Row],[PNP Fin corrigée]],fin_nuit)-MAX(H_Avr[[#This Row],[PNP Début corrigé]],deb_nuit)))*24</f>
        <v>0</v>
      </c>
      <c r="Q4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</f>
        <v>0</v>
      </c>
      <c r="R49" s="51">
        <f>(IF(WEEKDAY(H_Avr[[#This Row],[Date]],2)=7,MAX(0,MIN(fin_dimJF,H_Avr[[#This Row],[Fin corrigée si nuit]])-MAX(deb_dimJF,H_Avr[[#This Row],[début]])),0)+IF(WEEKDAY(H_Avr[[#This Row],[Date]],2)=6,MAX(0,H_Avr[[#This Row],[Fin corrigée si nuit]]-(1+deb_dimJF)),0))*24-
(IF(WEEKDAY(H_Avr[[#This Row],[Date]],2)=7,MAX(0,MIN(fin_dimJF,H_Avr[[#This Row],[PNP Fin corrigée]])-MAX(deb_dimJF,H_Avr[[#This Row],[PNP Début corrigé]])),0)+IF(WEEKDAY(H_Avr[[#This Row],[Date]],2)=6,MAX(0,H_Avr[[#This Row],[PNP Fin corrigée]]-(1+deb_dimJF)),0))*24</f>
        <v>0</v>
      </c>
      <c r="S4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</f>
        <v>0</v>
      </c>
      <c r="T49" s="51">
        <f>(IF(COUNTIF(JF,H_Avr[[#This Row],[Date]]),MAX(0,MIN(fin_dimJF,H_Avr[[#This Row],[Fin corrigée si nuit]])-MAX(deb_dimJF,H_Avr[[#This Row],[début]])),0)+IF(COUNTIF(JF,H_Avr[[#This Row],[Date]]+1),MAX(0,H_Avr[[#This Row],[Fin corrigée si nuit]]-(1+deb_dimJF)),0))*24-
(IF(COUNTIF(JF,H_Avr[[#This Row],[Date]]),MAX(0,MIN(fin_dimJF,H_Avr[[#This Row],[PNP Fin corrigée]])-MAX(deb_dimJF,H_Avr[[#This Row],[PNP Début corrigé]])),0)+IF(COUNTIF(JF,H_Avr[[#This Row],[Date]]+1),MAX(0,H_Avr[[#This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SUM(H_Avr[Majoration])</f>
        <v>0</v>
      </c>
      <c r="J50" s="54">
        <f>SUM(H_Avr[Heures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233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:K5" xr:uid="{00000000-0002-0000-0600-000000000000}">
      <formula1>42736</formula1>
    </dataValidation>
    <dataValidation type="time" allowBlank="1" showInputMessage="1" showErrorMessage="1" error="Tapez les heures sous le format_x000a_00:00" sqref="C13:H49" xr:uid="{00000000-0002-0000-06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6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print="0" autoLine="0" r:id="rId5">
            <anchor moveWithCells="1">
              <from>
                <xdr:col>9</xdr:col>
                <xdr:colOff>480060</xdr:colOff>
                <xdr:row>0</xdr:row>
                <xdr:rowOff>83820</xdr:rowOff>
              </from>
              <to>
                <xdr:col>9</xdr:col>
                <xdr:colOff>1264920</xdr:colOff>
                <xdr:row>3</xdr:row>
                <xdr:rowOff>198120</xdr:rowOff>
              </to>
            </anchor>
          </controlPr>
        </control>
      </mc:Choice>
      <mc:Fallback>
        <control shapeId="7169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6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Z60"/>
  <sheetViews>
    <sheetView topLeftCell="V5" zoomScale="80" zoomScaleNormal="80" zoomScalePageLayoutView="70" workbookViewId="0">
      <selection activeCell="W9" sqref="W9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27.554687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Mai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0</v>
      </c>
      <c r="V9" s="104" t="s">
        <v>113</v>
      </c>
      <c r="W9" s="105">
        <v>0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0</v>
      </c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0.1*(H_Mai[[#This Row],[Heures de nuit]]+IF(H_Mai[[#This Row],[majoration dim &amp; JF]]="non",0,H_Mai[[#This Row],[heures jour dimanche]]+H_Mai[[#This Row],[heures jour fériés]]))</f>
        <v>0</v>
      </c>
      <c r="J13" s="29">
        <f>(MOD(H_Mai[[#This Row],[Fin]]-H_Mai[[#This Row],[début]],1)-MOD(H_Mai[[#This Row],[PNP Fin]]-H_Mai[[#This Row],[PNP Début]],1))*24</f>
        <v>0</v>
      </c>
      <c r="K13" s="29" t="str">
        <f>IFERROR(VLOOKUP(H_Mai[[#This Row],[Service]],Codes[],4,0),"")</f>
        <v/>
      </c>
      <c r="L13" s="30">
        <f>IF(H_Mai[[#This Row],[PNP Début]]=0,0,IF(H_Mai[[#This Row],[PNP Début]]&lt;H_Mai[[#This Row],[début]],1,0)+H_Mai[[#This Row],[PNP Début]])</f>
        <v>0</v>
      </c>
      <c r="M13" s="30">
        <f>IF(H_Mai[[#This Row],[PNP Fin]]=0,0,IF(H_Mai[[#This Row],[PNP Fin]]&lt;H_Mai[[#This Row],[début]],1,0)+H_Mai[[#This Row],[PNP Fin]])</f>
        <v>0</v>
      </c>
      <c r="N13" s="30">
        <f>IF(H_Mai[[#This Row],[Fin]]&lt;H_Mai[[#This Row],[début]],1,0)+H_Mai[[#This Row],[Fin]]</f>
        <v>0</v>
      </c>
      <c r="O13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3" s="3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3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3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3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3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0.1*(H_Mai[[#This Row],[Heures de nuit]]+IF(H_Mai[[#This Row],[majoration dim &amp; JF]]="non",0,H_Mai[[#This Row],[heures jour dimanche]]+H_Mai[[#This Row],[heures jour fériés]]))</f>
        <v>0</v>
      </c>
      <c r="J14" s="29">
        <f>(MOD(H_Mai[[#This Row],[Fin]]-H_Mai[[#This Row],[début]],1)-MOD(H_Mai[[#This Row],[PNP Fin]]-H_Mai[[#This Row],[PNP Début]],1))*24</f>
        <v>0</v>
      </c>
      <c r="K14" s="29" t="str">
        <f>IFERROR(VLOOKUP(H_Mai[[#This Row],[Service]],Codes[],4,0),"")</f>
        <v/>
      </c>
      <c r="L14" s="30">
        <f>IF(H_Mai[[#This Row],[PNP Début]]=0,0,IF(H_Mai[[#This Row],[PNP Début]]&lt;H_Mai[[#This Row],[début]],1,0)+H_Mai[[#This Row],[PNP Début]])</f>
        <v>0</v>
      </c>
      <c r="M14" s="30">
        <f>IF(H_Mai[[#This Row],[PNP Fin]]=0,0,IF(H_Mai[[#This Row],[PNP Fin]]&lt;H_Mai[[#This Row],[début]],1,0)+H_Mai[[#This Row],[PNP Fin]])</f>
        <v>0</v>
      </c>
      <c r="N14" s="30">
        <f>IF(H_Mai[[#This Row],[Fin]]&lt;H_Mai[[#This Row],[début]],1,0)+H_Mai[[#This Row],[Fin]]</f>
        <v>0</v>
      </c>
      <c r="O14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4" s="3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4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4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4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4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0.1*(H_Mai[[#This Row],[Heures de nuit]]+IF(H_Mai[[#This Row],[majoration dim &amp; JF]]="non",0,H_Mai[[#This Row],[heures jour dimanche]]+H_Mai[[#This Row],[heures jour fériés]]))</f>
        <v>0</v>
      </c>
      <c r="J15" s="29">
        <f>(MOD(H_Mai[[#This Row],[Fin]]-H_Mai[[#This Row],[début]],1)-MOD(H_Mai[[#This Row],[PNP Fin]]-H_Mai[[#This Row],[PNP Début]],1))*24</f>
        <v>0</v>
      </c>
      <c r="K15" s="29" t="str">
        <f>IFERROR(VLOOKUP(H_Mai[[#This Row],[Service]],Codes[],4,0),"")</f>
        <v/>
      </c>
      <c r="L15" s="30">
        <f>IF(H_Mai[[#This Row],[PNP Début]]=0,0,IF(H_Mai[[#This Row],[PNP Début]]&lt;H_Mai[[#This Row],[début]],1,0)+H_Mai[[#This Row],[PNP Début]])</f>
        <v>0</v>
      </c>
      <c r="M15" s="30">
        <f>IF(H_Mai[[#This Row],[PNP Fin]]=0,0,IF(H_Mai[[#This Row],[PNP Fin]]&lt;H_Mai[[#This Row],[début]],1,0)+H_Mai[[#This Row],[PNP Fin]])</f>
        <v>0</v>
      </c>
      <c r="N15" s="30">
        <f>IF(H_Mai[[#This Row],[Fin]]&lt;H_Mai[[#This Row],[début]],1,0)+H_Mai[[#This Row],[Fin]]</f>
        <v>0</v>
      </c>
      <c r="O15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5" s="3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5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5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5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5" s="32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0.1*(H_Mai[[#This Row],[Heures de nuit]]+IF(H_Mai[[#This Row],[majoration dim &amp; JF]]="non",0,H_Mai[[#This Row],[heures jour dimanche]]+H_Mai[[#This Row],[heures jour fériés]]))</f>
        <v>0</v>
      </c>
      <c r="J16" s="33">
        <f>(MOD(H_Mai[[#This Row],[Fin]]-H_Mai[[#This Row],[début]],1)-MOD(H_Mai[[#This Row],[PNP Fin]]-H_Mai[[#This Row],[PNP Début]],1))*24</f>
        <v>0</v>
      </c>
      <c r="K16" s="33" t="str">
        <f>IFERROR(VLOOKUP(H_Mai[[#This Row],[Service]],Codes[],4,0),"")</f>
        <v/>
      </c>
      <c r="L16" s="30">
        <f>IF(H_Mai[[#This Row],[PNP Début]]=0,0,IF(H_Mai[[#This Row],[PNP Début]]&lt;H_Mai[[#This Row],[début]],1,0)+H_Mai[[#This Row],[PNP Début]])</f>
        <v>0</v>
      </c>
      <c r="M16" s="30">
        <f>IF(H_Mai[[#This Row],[PNP Fin]]=0,0,IF(H_Mai[[#This Row],[PNP Fin]]&lt;H_Mai[[#This Row],[début]],1,0)+H_Mai[[#This Row],[PNP Fin]])</f>
        <v>0</v>
      </c>
      <c r="N16" s="34">
        <f>IF(H_Mai[[#This Row],[Fin]]&lt;H_Mai[[#This Row],[début]],1,0)+H_Mai[[#This Row],[Fin]]</f>
        <v>0</v>
      </c>
      <c r="O16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6" s="35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6" s="35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6" s="3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6" s="36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6" s="36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16" s="104" t="s">
        <v>116</v>
      </c>
      <c r="W16" s="105">
        <f>'Avril 18'!Z16</f>
        <v>24.9</v>
      </c>
      <c r="X16" s="105">
        <f>I50</f>
        <v>0</v>
      </c>
      <c r="Y16" s="105">
        <f>IF(U9&lt;0,0,IF(U9&lt;&gt;"",U10,""))</f>
        <v>0</v>
      </c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0.1*(H_Mai[[#This Row],[Heures de nuit]]+IF(H_Mai[[#This Row],[majoration dim &amp; JF]]="non",0,H_Mai[[#This Row],[heures jour dimanche]]+H_Mai[[#This Row],[heures jour fériés]]))</f>
        <v>0</v>
      </c>
      <c r="J17" s="38">
        <f>(MOD(H_Mai[[#This Row],[Fin]]-H_Mai[[#This Row],[début]],1)-MOD(H_Mai[[#This Row],[PNP Fin]]-H_Mai[[#This Row],[PNP Début]],1))*24</f>
        <v>0</v>
      </c>
      <c r="K17" s="99" t="str">
        <f>IFERROR(VLOOKUP(H_Mai[[#This Row],[Service]],Codes[],4,0),"")</f>
        <v/>
      </c>
      <c r="L17" s="39">
        <f>IF(H_Mai[[#This Row],[PNP Début]]=0,0,IF(H_Mai[[#This Row],[PNP Début]]&lt;H_Mai[[#This Row],[début]],1,0)+H_Mai[[#This Row],[PNP Début]])</f>
        <v>0</v>
      </c>
      <c r="M17" s="40">
        <f>IF(H_Mai[[#This Row],[PNP Fin]]=0,0,IF(H_Mai[[#This Row],[PNP Fin]]&lt;H_Mai[[#This Row],[début]],1,0)+H_Mai[[#This Row],[PNP Fin]])</f>
        <v>0</v>
      </c>
      <c r="N17" s="40">
        <f>IF(H_Mai[[#This Row],[Fin]]&lt;H_Mai[[#This Row],[début]],1,0)+H_Mai[[#This Row],[Fin]]</f>
        <v>0</v>
      </c>
      <c r="O17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7" s="4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7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7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7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7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0.1*(H_Mai[[#This Row],[Heures de nuit]]+IF(H_Mai[[#This Row],[majoration dim &amp; JF]]="non",0,H_Mai[[#This Row],[heures jour dimanche]]+H_Mai[[#This Row],[heures jour fériés]]))</f>
        <v>0</v>
      </c>
      <c r="J18" s="38">
        <f>(MOD(H_Mai[[#This Row],[Fin]]-H_Mai[[#This Row],[début]],1)-MOD(H_Mai[[#This Row],[PNP Fin]]-H_Mai[[#This Row],[PNP Début]],1))*24</f>
        <v>0</v>
      </c>
      <c r="K18" s="99" t="str">
        <f>IFERROR(VLOOKUP(H_Mai[[#This Row],[Service]],Codes[],4,0),"")</f>
        <v/>
      </c>
      <c r="L18" s="39">
        <f>IF(H_Mai[[#This Row],[PNP Début]]=0,0,IF(H_Mai[[#This Row],[PNP Début]]&lt;H_Mai[[#This Row],[début]],1,0)+H_Mai[[#This Row],[PNP Début]])</f>
        <v>0</v>
      </c>
      <c r="M18" s="40">
        <f>IF(H_Mai[[#This Row],[PNP Fin]]=0,0,IF(H_Mai[[#This Row],[PNP Fin]]&lt;H_Mai[[#This Row],[début]],1,0)+H_Mai[[#This Row],[PNP Fin]])</f>
        <v>0</v>
      </c>
      <c r="N18" s="40">
        <f>IF(H_Mai[[#This Row],[Fin]]&lt;H_Mai[[#This Row],[début]],1,0)+H_Mai[[#This Row],[Fin]]</f>
        <v>0</v>
      </c>
      <c r="O18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8" s="4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8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8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8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8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0.1*(H_Mai[[#This Row],[Heures de nuit]]+IF(H_Mai[[#This Row],[majoration dim &amp; JF]]="non",0,H_Mai[[#This Row],[heures jour dimanche]]+H_Mai[[#This Row],[heures jour fériés]]))</f>
        <v>0</v>
      </c>
      <c r="J19" s="38">
        <f>(MOD(H_Mai[[#This Row],[Fin]]-H_Mai[[#This Row],[début]],1)-MOD(H_Mai[[#This Row],[PNP Fin]]-H_Mai[[#This Row],[PNP Début]],1))*24</f>
        <v>0</v>
      </c>
      <c r="K19" s="99" t="str">
        <f>IFERROR(VLOOKUP(H_Mai[[#This Row],[Service]],Codes[],4,0),"")</f>
        <v/>
      </c>
      <c r="L19" s="39">
        <f>IF(H_Mai[[#This Row],[PNP Début]]=0,0,IF(H_Mai[[#This Row],[PNP Début]]&lt;H_Mai[[#This Row],[début]],1,0)+H_Mai[[#This Row],[PNP Début]])</f>
        <v>0</v>
      </c>
      <c r="M19" s="40">
        <f>IF(H_Mai[[#This Row],[PNP Fin]]=0,0,IF(H_Mai[[#This Row],[PNP Fin]]&lt;H_Mai[[#This Row],[début]],1,0)+H_Mai[[#This Row],[PNP Fin]])</f>
        <v>0</v>
      </c>
      <c r="N19" s="40">
        <f>IF(H_Mai[[#This Row],[Fin]]&lt;H_Mai[[#This Row],[début]],1,0)+H_Mai[[#This Row],[Fin]]</f>
        <v>0</v>
      </c>
      <c r="O19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19" s="4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19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19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19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19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0.1*(H_Mai[[#This Row],[Heures de nuit]]+IF(H_Mai[[#This Row],[majoration dim &amp; JF]]="non",0,H_Mai[[#This Row],[heures jour dimanche]]+H_Mai[[#This Row],[heures jour fériés]]))</f>
        <v>0</v>
      </c>
      <c r="J20" s="38">
        <f>(MOD(H_Mai[[#This Row],[Fin]]-H_Mai[[#This Row],[début]],1)-MOD(H_Mai[[#This Row],[PNP Fin]]-H_Mai[[#This Row],[PNP Début]],1))*24</f>
        <v>0</v>
      </c>
      <c r="K20" s="99" t="str">
        <f>IFERROR(VLOOKUP(H_Mai[[#This Row],[Service]],Codes[],4,0),"")</f>
        <v/>
      </c>
      <c r="L20" s="39">
        <f>IF(H_Mai[[#This Row],[PNP Début]]=0,0,IF(H_Mai[[#This Row],[PNP Début]]&lt;H_Mai[[#This Row],[début]],1,0)+H_Mai[[#This Row],[PNP Début]])</f>
        <v>0</v>
      </c>
      <c r="M20" s="40">
        <f>IF(H_Mai[[#This Row],[PNP Fin]]=0,0,IF(H_Mai[[#This Row],[PNP Fin]]&lt;H_Mai[[#This Row],[début]],1,0)+H_Mai[[#This Row],[PNP Fin]])</f>
        <v>0</v>
      </c>
      <c r="N20" s="40">
        <f>IF(H_Mai[[#This Row],[Fin]]&lt;H_Mai[[#This Row],[début]],1,0)+H_Mai[[#This Row],[Fin]]</f>
        <v>0</v>
      </c>
      <c r="O20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0" s="4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0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0" s="4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0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0" s="4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0.1*(H_Mai[[#This Row],[Heures de nuit]]+IF(H_Mai[[#This Row],[majoration dim &amp; JF]]="non",0,H_Mai[[#This Row],[heures jour dimanche]]+H_Mai[[#This Row],[heures jour fériés]]))</f>
        <v>0</v>
      </c>
      <c r="J21" s="43">
        <f>(MOD(H_Mai[[#This Row],[Fin]]-H_Mai[[#This Row],[début]],1)-MOD(H_Mai[[#This Row],[PNP Fin]]-H_Mai[[#This Row],[PNP Début]],1))*24</f>
        <v>0</v>
      </c>
      <c r="K21" s="100" t="str">
        <f>IFERROR(VLOOKUP(H_Mai[[#This Row],[Service]],Codes[],4,0),"")</f>
        <v/>
      </c>
      <c r="L21" s="44">
        <f>IF(H_Mai[[#This Row],[PNP Début]]=0,0,IF(H_Mai[[#This Row],[PNP Début]]&lt;H_Mai[[#This Row],[début]],1,0)+H_Mai[[#This Row],[PNP Début]])</f>
        <v>0</v>
      </c>
      <c r="M21" s="45">
        <f>IF(H_Mai[[#This Row],[PNP Fin]]=0,0,IF(H_Mai[[#This Row],[PNP Fin]]&lt;H_Mai[[#This Row],[début]],1,0)+H_Mai[[#This Row],[PNP Fin]])</f>
        <v>0</v>
      </c>
      <c r="N21" s="45">
        <f>IF(H_Mai[[#This Row],[Fin]]&lt;H_Mai[[#This Row],[début]],1,0)+H_Mai[[#This Row],[Fin]]</f>
        <v>0</v>
      </c>
      <c r="O21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1" s="46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1" s="46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1" s="46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1" s="46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1" s="46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0.1*(H_Mai[[#This Row],[Heures de nuit]]+IF(H_Mai[[#This Row],[majoration dim &amp; JF]]="non",0,H_Mai[[#This Row],[heures jour dimanche]]+H_Mai[[#This Row],[heures jour fériés]]))</f>
        <v>0</v>
      </c>
      <c r="J22" s="48">
        <f>(MOD(H_Mai[[#This Row],[Fin]]-H_Mai[[#This Row],[début]],1)-MOD(H_Mai[[#This Row],[PNP Fin]]-H_Mai[[#This Row],[PNP Début]],1))*24</f>
        <v>0</v>
      </c>
      <c r="K22" s="96" t="str">
        <f>IFERROR(VLOOKUP(H_Mai[[#This Row],[Service]],Codes[],4,0),"")</f>
        <v/>
      </c>
      <c r="L22" s="49">
        <f>IF(H_Mai[[#This Row],[PNP Début]]=0,0,IF(H_Mai[[#This Row],[PNP Début]]&lt;H_Mai[[#This Row],[début]],1,0)+H_Mai[[#This Row],[PNP Début]])</f>
        <v>0</v>
      </c>
      <c r="M22" s="50">
        <f>IF(H_Mai[[#This Row],[PNP Fin]]=0,0,IF(H_Mai[[#This Row],[PNP Fin]]&lt;H_Mai[[#This Row],[début]],1,0)+H_Mai[[#This Row],[PNP Fin]])</f>
        <v>0</v>
      </c>
      <c r="N22" s="50">
        <f>IF(H_Mai[[#This Row],[Fin]]&lt;H_Mai[[#This Row],[début]],1,0)+H_Mai[[#This Row],[Fin]]</f>
        <v>0</v>
      </c>
      <c r="O22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2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0.1*(H_Mai[[#This Row],[Heures de nuit]]+IF(H_Mai[[#This Row],[majoration dim &amp; JF]]="non",0,H_Mai[[#This Row],[heures jour dimanche]]+H_Mai[[#This Row],[heures jour fériés]]))</f>
        <v>0</v>
      </c>
      <c r="J23" s="48">
        <f>(MOD(H_Mai[[#This Row],[Fin]]-H_Mai[[#This Row],[début]],1)-MOD(H_Mai[[#This Row],[PNP Fin]]-H_Mai[[#This Row],[PNP Début]],1))*24</f>
        <v>0</v>
      </c>
      <c r="K23" s="96" t="str">
        <f>IFERROR(VLOOKUP(H_Mai[[#This Row],[Service]],Codes[],4,0),"")</f>
        <v/>
      </c>
      <c r="L23" s="49">
        <f>IF(H_Mai[[#This Row],[PNP Début]]=0,0,IF(H_Mai[[#This Row],[PNP Début]]&lt;H_Mai[[#This Row],[début]],1,0)+H_Mai[[#This Row],[PNP Début]])</f>
        <v>0</v>
      </c>
      <c r="M23" s="50">
        <f>IF(H_Mai[[#This Row],[PNP Fin]]=0,0,IF(H_Mai[[#This Row],[PNP Fin]]&lt;H_Mai[[#This Row],[début]],1,0)+H_Mai[[#This Row],[PNP Fin]])</f>
        <v>0</v>
      </c>
      <c r="N23" s="50">
        <f>IF(H_Mai[[#This Row],[Fin]]&lt;H_Mai[[#This Row],[début]],1,0)+H_Mai[[#This Row],[Fin]]</f>
        <v>0</v>
      </c>
      <c r="O23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3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0.1*(H_Mai[[#This Row],[Heures de nuit]]+IF(H_Mai[[#This Row],[majoration dim &amp; JF]]="non",0,H_Mai[[#This Row],[heures jour dimanche]]+H_Mai[[#This Row],[heures jour fériés]]))</f>
        <v>0</v>
      </c>
      <c r="J24" s="48">
        <f>(MOD(H_Mai[[#This Row],[Fin]]-H_Mai[[#This Row],[début]],1)-MOD(H_Mai[[#This Row],[PNP Fin]]-H_Mai[[#This Row],[PNP Début]],1))*24</f>
        <v>0</v>
      </c>
      <c r="K24" s="96" t="str">
        <f>IFERROR(VLOOKUP(H_Mai[[#This Row],[Service]],Codes[],4,0),"")</f>
        <v/>
      </c>
      <c r="L24" s="49">
        <f>IF(H_Mai[[#This Row],[PNP Début]]=0,0,IF(H_Mai[[#This Row],[PNP Début]]&lt;H_Mai[[#This Row],[début]],1,0)+H_Mai[[#This Row],[PNP Début]])</f>
        <v>0</v>
      </c>
      <c r="M24" s="50">
        <f>IF(H_Mai[[#This Row],[PNP Fin]]=0,0,IF(H_Mai[[#This Row],[PNP Fin]]&lt;H_Mai[[#This Row],[début]],1,0)+H_Mai[[#This Row],[PNP Fin]])</f>
        <v>0</v>
      </c>
      <c r="N24" s="50">
        <f>IF(H_Mai[[#This Row],[Fin]]&lt;H_Mai[[#This Row],[début]],1,0)+H_Mai[[#This Row],[Fin]]</f>
        <v>0</v>
      </c>
      <c r="O24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4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0.1*(H_Mai[[#This Row],[Heures de nuit]]+IF(H_Mai[[#This Row],[majoration dim &amp; JF]]="non",0,H_Mai[[#This Row],[heures jour dimanche]]+H_Mai[[#This Row],[heures jour fériés]]))</f>
        <v>0</v>
      </c>
      <c r="J25" s="48">
        <f>(MOD(H_Mai[[#This Row],[Fin]]-H_Mai[[#This Row],[début]],1)-MOD(H_Mai[[#This Row],[PNP Fin]]-H_Mai[[#This Row],[PNP Début]],1))*24</f>
        <v>0</v>
      </c>
      <c r="K25" s="96" t="str">
        <f>IFERROR(VLOOKUP(H_Mai[[#This Row],[Service]],Codes[],4,0),"")</f>
        <v/>
      </c>
      <c r="L25" s="49">
        <f>IF(H_Mai[[#This Row],[PNP Début]]=0,0,IF(H_Mai[[#This Row],[PNP Début]]&lt;H_Mai[[#This Row],[début]],1,0)+H_Mai[[#This Row],[PNP Début]])</f>
        <v>0</v>
      </c>
      <c r="M25" s="50">
        <f>IF(H_Mai[[#This Row],[PNP Fin]]=0,0,IF(H_Mai[[#This Row],[PNP Fin]]&lt;H_Mai[[#This Row],[début]],1,0)+H_Mai[[#This Row],[PNP Fin]])</f>
        <v>0</v>
      </c>
      <c r="N25" s="50">
        <f>IF(H_Mai[[#This Row],[Fin]]&lt;H_Mai[[#This Row],[début]],1,0)+H_Mai[[#This Row],[Fin]]</f>
        <v>0</v>
      </c>
      <c r="O25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5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0.1*(H_Mai[[#This Row],[Heures de nuit]]+IF(H_Mai[[#This Row],[majoration dim &amp; JF]]="non",0,H_Mai[[#This Row],[heures jour dimanche]]+H_Mai[[#This Row],[heures jour fériés]]))</f>
        <v>0</v>
      </c>
      <c r="J26" s="48">
        <f>(MOD(H_Mai[[#This Row],[Fin]]-H_Mai[[#This Row],[début]],1)-MOD(H_Mai[[#This Row],[PNP Fin]]-H_Mai[[#This Row],[PNP Début]],1))*24</f>
        <v>0</v>
      </c>
      <c r="K26" s="96" t="str">
        <f>IFERROR(VLOOKUP(H_Mai[[#This Row],[Service]],Codes[],4,0),"")</f>
        <v/>
      </c>
      <c r="L26" s="49">
        <f>IF(H_Mai[[#This Row],[PNP Début]]=0,0,IF(H_Mai[[#This Row],[PNP Début]]&lt;H_Mai[[#This Row],[début]],1,0)+H_Mai[[#This Row],[PNP Début]])</f>
        <v>0</v>
      </c>
      <c r="M26" s="50">
        <f>IF(H_Mai[[#This Row],[PNP Fin]]=0,0,IF(H_Mai[[#This Row],[PNP Fin]]&lt;H_Mai[[#This Row],[début]],1,0)+H_Mai[[#This Row],[PNP Fin]])</f>
        <v>0</v>
      </c>
      <c r="N26" s="50">
        <f>IF(H_Mai[[#This Row],[Fin]]&lt;H_Mai[[#This Row],[début]],1,0)+H_Mai[[#This Row],[Fin]]</f>
        <v>0</v>
      </c>
      <c r="O26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6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0.1*(H_Mai[[#This Row],[Heures de nuit]]+IF(H_Mai[[#This Row],[majoration dim &amp; JF]]="non",0,H_Mai[[#This Row],[heures jour dimanche]]+H_Mai[[#This Row],[heures jour fériés]]))</f>
        <v>0</v>
      </c>
      <c r="J27" s="48">
        <f>(MOD(H_Mai[[#This Row],[Fin]]-H_Mai[[#This Row],[début]],1)-MOD(H_Mai[[#This Row],[PNP Fin]]-H_Mai[[#This Row],[PNP Début]],1))*24</f>
        <v>0</v>
      </c>
      <c r="K27" s="96" t="str">
        <f>IFERROR(VLOOKUP(H_Mai[[#This Row],[Service]],Codes[],4,0),"")</f>
        <v/>
      </c>
      <c r="L27" s="49">
        <f>IF(H_Mai[[#This Row],[PNP Début]]=0,0,IF(H_Mai[[#This Row],[PNP Début]]&lt;H_Mai[[#This Row],[début]],1,0)+H_Mai[[#This Row],[PNP Début]])</f>
        <v>0</v>
      </c>
      <c r="M27" s="50">
        <f>IF(H_Mai[[#This Row],[PNP Fin]]=0,0,IF(H_Mai[[#This Row],[PNP Fin]]&lt;H_Mai[[#This Row],[début]],1,0)+H_Mai[[#This Row],[PNP Fin]])</f>
        <v>0</v>
      </c>
      <c r="N27" s="50">
        <f>IF(H_Mai[[#This Row],[Fin]]&lt;H_Mai[[#This Row],[début]],1,0)+H_Mai[[#This Row],[Fin]]</f>
        <v>0</v>
      </c>
      <c r="O27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7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0.1*(H_Mai[[#This Row],[Heures de nuit]]+IF(H_Mai[[#This Row],[majoration dim &amp; JF]]="non",0,H_Mai[[#This Row],[heures jour dimanche]]+H_Mai[[#This Row],[heures jour fériés]]))</f>
        <v>0</v>
      </c>
      <c r="J28" s="48">
        <f>(MOD(H_Mai[[#This Row],[Fin]]-H_Mai[[#This Row],[début]],1)-MOD(H_Mai[[#This Row],[PNP Fin]]-H_Mai[[#This Row],[PNP Début]],1))*24</f>
        <v>0</v>
      </c>
      <c r="K28" s="96" t="str">
        <f>IFERROR(VLOOKUP(H_Mai[[#This Row],[Service]],Codes[],4,0),"")</f>
        <v/>
      </c>
      <c r="L28" s="49">
        <f>IF(H_Mai[[#This Row],[PNP Début]]=0,0,IF(H_Mai[[#This Row],[PNP Début]]&lt;H_Mai[[#This Row],[début]],1,0)+H_Mai[[#This Row],[PNP Début]])</f>
        <v>0</v>
      </c>
      <c r="M28" s="50">
        <f>IF(H_Mai[[#This Row],[PNP Fin]]=0,0,IF(H_Mai[[#This Row],[PNP Fin]]&lt;H_Mai[[#This Row],[début]],1,0)+H_Mai[[#This Row],[PNP Fin]])</f>
        <v>0</v>
      </c>
      <c r="N28" s="50">
        <f>IF(H_Mai[[#This Row],[Fin]]&lt;H_Mai[[#This Row],[début]],1,0)+H_Mai[[#This Row],[Fin]]</f>
        <v>0</v>
      </c>
      <c r="O28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8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0.1*(H_Mai[[#This Row],[Heures de nuit]]+IF(H_Mai[[#This Row],[majoration dim &amp; JF]]="non",0,H_Mai[[#This Row],[heures jour dimanche]]+H_Mai[[#This Row],[heures jour fériés]]))</f>
        <v>0</v>
      </c>
      <c r="J29" s="48">
        <f>(MOD(H_Mai[[#This Row],[Fin]]-H_Mai[[#This Row],[début]],1)-MOD(H_Mai[[#This Row],[PNP Fin]]-H_Mai[[#This Row],[PNP Début]],1))*24</f>
        <v>0</v>
      </c>
      <c r="K29" s="96" t="str">
        <f>IFERROR(VLOOKUP(H_Mai[[#This Row],[Service]],Codes[],4,0),"")</f>
        <v/>
      </c>
      <c r="L29" s="49">
        <f>IF(H_Mai[[#This Row],[PNP Début]]=0,0,IF(H_Mai[[#This Row],[PNP Début]]&lt;H_Mai[[#This Row],[début]],1,0)+H_Mai[[#This Row],[PNP Début]])</f>
        <v>0</v>
      </c>
      <c r="M29" s="50">
        <f>IF(H_Mai[[#This Row],[PNP Fin]]=0,0,IF(H_Mai[[#This Row],[PNP Fin]]&lt;H_Mai[[#This Row],[début]],1,0)+H_Mai[[#This Row],[PNP Fin]])</f>
        <v>0</v>
      </c>
      <c r="N29" s="50">
        <f>IF(H_Mai[[#This Row],[Fin]]&lt;H_Mai[[#This Row],[début]],1,0)+H_Mai[[#This Row],[Fin]]</f>
        <v>0</v>
      </c>
      <c r="O29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29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2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2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2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2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0.1*(H_Mai[[#This Row],[Heures de nuit]]+IF(H_Mai[[#This Row],[majoration dim &amp; JF]]="non",0,H_Mai[[#This Row],[heures jour dimanche]]+H_Mai[[#This Row],[heures jour fériés]]))</f>
        <v>0</v>
      </c>
      <c r="J30" s="48">
        <f>(MOD(H_Mai[[#This Row],[Fin]]-H_Mai[[#This Row],[début]],1)-MOD(H_Mai[[#This Row],[PNP Fin]]-H_Mai[[#This Row],[PNP Début]],1))*24</f>
        <v>0</v>
      </c>
      <c r="K30" s="96" t="str">
        <f>IFERROR(VLOOKUP(H_Mai[[#This Row],[Service]],Codes[],4,0),"")</f>
        <v/>
      </c>
      <c r="L30" s="49">
        <f>IF(H_Mai[[#This Row],[PNP Début]]=0,0,IF(H_Mai[[#This Row],[PNP Début]]&lt;H_Mai[[#This Row],[début]],1,0)+H_Mai[[#This Row],[PNP Début]])</f>
        <v>0</v>
      </c>
      <c r="M30" s="50">
        <f>IF(H_Mai[[#This Row],[PNP Fin]]=0,0,IF(H_Mai[[#This Row],[PNP Fin]]&lt;H_Mai[[#This Row],[début]],1,0)+H_Mai[[#This Row],[PNP Fin]])</f>
        <v>0</v>
      </c>
      <c r="N30" s="50">
        <f>IF(H_Mai[[#This Row],[Fin]]&lt;H_Mai[[#This Row],[début]],1,0)+H_Mai[[#This Row],[Fin]]</f>
        <v>0</v>
      </c>
      <c r="O30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0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0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0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0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0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0.1*(H_Mai[[#This Row],[Heures de nuit]]+IF(H_Mai[[#This Row],[majoration dim &amp; JF]]="non",0,H_Mai[[#This Row],[heures jour dimanche]]+H_Mai[[#This Row],[heures jour fériés]]))</f>
        <v>0</v>
      </c>
      <c r="J31" s="48">
        <f>(MOD(H_Mai[[#This Row],[Fin]]-H_Mai[[#This Row],[début]],1)-MOD(H_Mai[[#This Row],[PNP Fin]]-H_Mai[[#This Row],[PNP Début]],1))*24</f>
        <v>0</v>
      </c>
      <c r="K31" s="96" t="str">
        <f>IFERROR(VLOOKUP(H_Mai[[#This Row],[Service]],Codes[],4,0),"")</f>
        <v/>
      </c>
      <c r="L31" s="49">
        <f>IF(H_Mai[[#This Row],[PNP Début]]=0,0,IF(H_Mai[[#This Row],[PNP Début]]&lt;H_Mai[[#This Row],[début]],1,0)+H_Mai[[#This Row],[PNP Début]])</f>
        <v>0</v>
      </c>
      <c r="M31" s="50">
        <f>IF(H_Mai[[#This Row],[PNP Fin]]=0,0,IF(H_Mai[[#This Row],[PNP Fin]]&lt;H_Mai[[#This Row],[début]],1,0)+H_Mai[[#This Row],[PNP Fin]])</f>
        <v>0</v>
      </c>
      <c r="N31" s="50">
        <f>IF(H_Mai[[#This Row],[Fin]]&lt;H_Mai[[#This Row],[début]],1,0)+H_Mai[[#This Row],[Fin]]</f>
        <v>0</v>
      </c>
      <c r="O31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1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1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1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1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1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0.1*(H_Mai[[#This Row],[Heures de nuit]]+IF(H_Mai[[#This Row],[majoration dim &amp; JF]]="non",0,H_Mai[[#This Row],[heures jour dimanche]]+H_Mai[[#This Row],[heures jour fériés]]))</f>
        <v>0</v>
      </c>
      <c r="J32" s="48">
        <f>(MOD(H_Mai[[#This Row],[Fin]]-H_Mai[[#This Row],[début]],1)-MOD(H_Mai[[#This Row],[PNP Fin]]-H_Mai[[#This Row],[PNP Début]],1))*24</f>
        <v>0</v>
      </c>
      <c r="K32" s="96" t="str">
        <f>IFERROR(VLOOKUP(H_Mai[[#This Row],[Service]],Codes[],4,0),"")</f>
        <v/>
      </c>
      <c r="L32" s="49">
        <f>IF(H_Mai[[#This Row],[PNP Début]]=0,0,IF(H_Mai[[#This Row],[PNP Début]]&lt;H_Mai[[#This Row],[début]],1,0)+H_Mai[[#This Row],[PNP Début]])</f>
        <v>0</v>
      </c>
      <c r="M32" s="50">
        <f>IF(H_Mai[[#This Row],[PNP Fin]]=0,0,IF(H_Mai[[#This Row],[PNP Fin]]&lt;H_Mai[[#This Row],[début]],1,0)+H_Mai[[#This Row],[PNP Fin]])</f>
        <v>0</v>
      </c>
      <c r="N32" s="50">
        <f>IF(H_Mai[[#This Row],[Fin]]&lt;H_Mai[[#This Row],[début]],1,0)+H_Mai[[#This Row],[Fin]]</f>
        <v>0</v>
      </c>
      <c r="O32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2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0.1*(H_Mai[[#This Row],[Heures de nuit]]+IF(H_Mai[[#This Row],[majoration dim &amp; JF]]="non",0,H_Mai[[#This Row],[heures jour dimanche]]+H_Mai[[#This Row],[heures jour fériés]]))</f>
        <v>0</v>
      </c>
      <c r="J33" s="48">
        <f>(MOD(H_Mai[[#This Row],[Fin]]-H_Mai[[#This Row],[début]],1)-MOD(H_Mai[[#This Row],[PNP Fin]]-H_Mai[[#This Row],[PNP Début]],1))*24</f>
        <v>0</v>
      </c>
      <c r="K33" s="96" t="str">
        <f>IFERROR(VLOOKUP(H_Mai[[#This Row],[Service]],Codes[],4,0),"")</f>
        <v/>
      </c>
      <c r="L33" s="49">
        <f>IF(H_Mai[[#This Row],[PNP Début]]=0,0,IF(H_Mai[[#This Row],[PNP Début]]&lt;H_Mai[[#This Row],[début]],1,0)+H_Mai[[#This Row],[PNP Début]])</f>
        <v>0</v>
      </c>
      <c r="M33" s="50">
        <f>IF(H_Mai[[#This Row],[PNP Fin]]=0,0,IF(H_Mai[[#This Row],[PNP Fin]]&lt;H_Mai[[#This Row],[début]],1,0)+H_Mai[[#This Row],[PNP Fin]])</f>
        <v>0</v>
      </c>
      <c r="N33" s="50">
        <f>IF(H_Mai[[#This Row],[Fin]]&lt;H_Mai[[#This Row],[début]],1,0)+H_Mai[[#This Row],[Fin]]</f>
        <v>0</v>
      </c>
      <c r="O33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3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0.1*(H_Mai[[#This Row],[Heures de nuit]]+IF(H_Mai[[#This Row],[majoration dim &amp; JF]]="non",0,H_Mai[[#This Row],[heures jour dimanche]]+H_Mai[[#This Row],[heures jour fériés]]))</f>
        <v>0</v>
      </c>
      <c r="J34" s="48">
        <f>(MOD(H_Mai[[#This Row],[Fin]]-H_Mai[[#This Row],[début]],1)-MOD(H_Mai[[#This Row],[PNP Fin]]-H_Mai[[#This Row],[PNP Début]],1))*24</f>
        <v>0</v>
      </c>
      <c r="K34" s="96" t="str">
        <f>IFERROR(VLOOKUP(H_Mai[[#This Row],[Service]],Codes[],4,0),"")</f>
        <v/>
      </c>
      <c r="L34" s="49">
        <f>IF(H_Mai[[#This Row],[PNP Début]]=0,0,IF(H_Mai[[#This Row],[PNP Début]]&lt;H_Mai[[#This Row],[début]],1,0)+H_Mai[[#This Row],[PNP Début]])</f>
        <v>0</v>
      </c>
      <c r="M34" s="50">
        <f>IF(H_Mai[[#This Row],[PNP Fin]]=0,0,IF(H_Mai[[#This Row],[PNP Fin]]&lt;H_Mai[[#This Row],[début]],1,0)+H_Mai[[#This Row],[PNP Fin]])</f>
        <v>0</v>
      </c>
      <c r="N34" s="50">
        <f>IF(H_Mai[[#This Row],[Fin]]&lt;H_Mai[[#This Row],[début]],1,0)+H_Mai[[#This Row],[Fin]]</f>
        <v>0</v>
      </c>
      <c r="O34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4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0.1*(H_Mai[[#This Row],[Heures de nuit]]+IF(H_Mai[[#This Row],[majoration dim &amp; JF]]="non",0,H_Mai[[#This Row],[heures jour dimanche]]+H_Mai[[#This Row],[heures jour fériés]]))</f>
        <v>0</v>
      </c>
      <c r="J35" s="48">
        <f>(MOD(H_Mai[[#This Row],[Fin]]-H_Mai[[#This Row],[début]],1)-MOD(H_Mai[[#This Row],[PNP Fin]]-H_Mai[[#This Row],[PNP Début]],1))*24</f>
        <v>0</v>
      </c>
      <c r="K35" s="96" t="str">
        <f>IFERROR(VLOOKUP(H_Mai[[#This Row],[Service]],Codes[],4,0),"")</f>
        <v/>
      </c>
      <c r="L35" s="49">
        <f>IF(H_Mai[[#This Row],[PNP Début]]=0,0,IF(H_Mai[[#This Row],[PNP Début]]&lt;H_Mai[[#This Row],[début]],1,0)+H_Mai[[#This Row],[PNP Début]])</f>
        <v>0</v>
      </c>
      <c r="M35" s="50">
        <f>IF(H_Mai[[#This Row],[PNP Fin]]=0,0,IF(H_Mai[[#This Row],[PNP Fin]]&lt;H_Mai[[#This Row],[début]],1,0)+H_Mai[[#This Row],[PNP Fin]])</f>
        <v>0</v>
      </c>
      <c r="N35" s="50">
        <f>IF(H_Mai[[#This Row],[Fin]]&lt;H_Mai[[#This Row],[début]],1,0)+H_Mai[[#This Row],[Fin]]</f>
        <v>0</v>
      </c>
      <c r="O35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5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0.1*(H_Mai[[#This Row],[Heures de nuit]]+IF(H_Mai[[#This Row],[majoration dim &amp; JF]]="non",0,H_Mai[[#This Row],[heures jour dimanche]]+H_Mai[[#This Row],[heures jour fériés]]))</f>
        <v>0</v>
      </c>
      <c r="J36" s="48">
        <f>(MOD(H_Mai[[#This Row],[Fin]]-H_Mai[[#This Row],[début]],1)-MOD(H_Mai[[#This Row],[PNP Fin]]-H_Mai[[#This Row],[PNP Début]],1))*24</f>
        <v>0</v>
      </c>
      <c r="K36" s="96" t="str">
        <f>IFERROR(VLOOKUP(H_Mai[[#This Row],[Service]],Codes[],4,0),"")</f>
        <v/>
      </c>
      <c r="L36" s="49">
        <f>IF(H_Mai[[#This Row],[PNP Début]]=0,0,IF(H_Mai[[#This Row],[PNP Début]]&lt;H_Mai[[#This Row],[début]],1,0)+H_Mai[[#This Row],[PNP Début]])</f>
        <v>0</v>
      </c>
      <c r="M36" s="50">
        <f>IF(H_Mai[[#This Row],[PNP Fin]]=0,0,IF(H_Mai[[#This Row],[PNP Fin]]&lt;H_Mai[[#This Row],[début]],1,0)+H_Mai[[#This Row],[PNP Fin]])</f>
        <v>0</v>
      </c>
      <c r="N36" s="50">
        <f>IF(H_Mai[[#This Row],[Fin]]&lt;H_Mai[[#This Row],[début]],1,0)+H_Mai[[#This Row],[Fin]]</f>
        <v>0</v>
      </c>
      <c r="O36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6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0.1*(H_Mai[[#This Row],[Heures de nuit]]+IF(H_Mai[[#This Row],[majoration dim &amp; JF]]="non",0,H_Mai[[#This Row],[heures jour dimanche]]+H_Mai[[#This Row],[heures jour fériés]]))</f>
        <v>0</v>
      </c>
      <c r="J37" s="48">
        <f>(MOD(H_Mai[[#This Row],[Fin]]-H_Mai[[#This Row],[début]],1)-MOD(H_Mai[[#This Row],[PNP Fin]]-H_Mai[[#This Row],[PNP Début]],1))*24</f>
        <v>0</v>
      </c>
      <c r="K37" s="96" t="str">
        <f>IFERROR(VLOOKUP(H_Mai[[#This Row],[Service]],Codes[],4,0),"")</f>
        <v/>
      </c>
      <c r="L37" s="49">
        <f>IF(H_Mai[[#This Row],[PNP Début]]=0,0,IF(H_Mai[[#This Row],[PNP Début]]&lt;H_Mai[[#This Row],[début]],1,0)+H_Mai[[#This Row],[PNP Début]])</f>
        <v>0</v>
      </c>
      <c r="M37" s="50">
        <f>IF(H_Mai[[#This Row],[PNP Fin]]=0,0,IF(H_Mai[[#This Row],[PNP Fin]]&lt;H_Mai[[#This Row],[début]],1,0)+H_Mai[[#This Row],[PNP Fin]])</f>
        <v>0</v>
      </c>
      <c r="N37" s="50">
        <f>IF(H_Mai[[#This Row],[Fin]]&lt;H_Mai[[#This Row],[début]],1,0)+H_Mai[[#This Row],[Fin]]</f>
        <v>0</v>
      </c>
      <c r="O37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7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0.1*(H_Mai[[#This Row],[Heures de nuit]]+IF(H_Mai[[#This Row],[majoration dim &amp; JF]]="non",0,H_Mai[[#This Row],[heures jour dimanche]]+H_Mai[[#This Row],[heures jour fériés]]))</f>
        <v>0</v>
      </c>
      <c r="J38" s="48">
        <f>(MOD(H_Mai[[#This Row],[Fin]]-H_Mai[[#This Row],[début]],1)-MOD(H_Mai[[#This Row],[PNP Fin]]-H_Mai[[#This Row],[PNP Début]],1))*24</f>
        <v>0</v>
      </c>
      <c r="K38" s="96" t="str">
        <f>IFERROR(VLOOKUP(H_Mai[[#This Row],[Service]],Codes[],4,0),"")</f>
        <v/>
      </c>
      <c r="L38" s="49">
        <f>IF(H_Mai[[#This Row],[PNP Début]]=0,0,IF(H_Mai[[#This Row],[PNP Début]]&lt;H_Mai[[#This Row],[début]],1,0)+H_Mai[[#This Row],[PNP Début]])</f>
        <v>0</v>
      </c>
      <c r="M38" s="50">
        <f>IF(H_Mai[[#This Row],[PNP Fin]]=0,0,IF(H_Mai[[#This Row],[PNP Fin]]&lt;H_Mai[[#This Row],[début]],1,0)+H_Mai[[#This Row],[PNP Fin]])</f>
        <v>0</v>
      </c>
      <c r="N38" s="50">
        <f>IF(H_Mai[[#This Row],[Fin]]&lt;H_Mai[[#This Row],[début]],1,0)+H_Mai[[#This Row],[Fin]]</f>
        <v>0</v>
      </c>
      <c r="O38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8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0.1*(H_Mai[[#This Row],[Heures de nuit]]+IF(H_Mai[[#This Row],[majoration dim &amp; JF]]="non",0,H_Mai[[#This Row],[heures jour dimanche]]+H_Mai[[#This Row],[heures jour fériés]]))</f>
        <v>0</v>
      </c>
      <c r="J39" s="48">
        <f>(MOD(H_Mai[[#This Row],[Fin]]-H_Mai[[#This Row],[début]],1)-MOD(H_Mai[[#This Row],[PNP Fin]]-H_Mai[[#This Row],[PNP Début]],1))*24</f>
        <v>0</v>
      </c>
      <c r="K39" s="96" t="str">
        <f>IFERROR(VLOOKUP(H_Mai[[#This Row],[Service]],Codes[],4,0),"")</f>
        <v/>
      </c>
      <c r="L39" s="49">
        <f>IF(H_Mai[[#This Row],[PNP Début]]=0,0,IF(H_Mai[[#This Row],[PNP Début]]&lt;H_Mai[[#This Row],[début]],1,0)+H_Mai[[#This Row],[PNP Début]])</f>
        <v>0</v>
      </c>
      <c r="M39" s="50">
        <f>IF(H_Mai[[#This Row],[PNP Fin]]=0,0,IF(H_Mai[[#This Row],[PNP Fin]]&lt;H_Mai[[#This Row],[début]],1,0)+H_Mai[[#This Row],[PNP Fin]])</f>
        <v>0</v>
      </c>
      <c r="N39" s="50">
        <f>IF(H_Mai[[#This Row],[Fin]]&lt;H_Mai[[#This Row],[début]],1,0)+H_Mai[[#This Row],[Fin]]</f>
        <v>0</v>
      </c>
      <c r="O39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39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3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3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3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3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0.1*(H_Mai[[#This Row],[Heures de nuit]]+IF(H_Mai[[#This Row],[majoration dim &amp; JF]]="non",0,H_Mai[[#This Row],[heures jour dimanche]]+H_Mai[[#This Row],[heures jour fériés]]))</f>
        <v>0</v>
      </c>
      <c r="J40" s="48">
        <f>(MOD(H_Mai[[#This Row],[Fin]]-H_Mai[[#This Row],[début]],1)-MOD(H_Mai[[#This Row],[PNP Fin]]-H_Mai[[#This Row],[PNP Début]],1))*24</f>
        <v>0</v>
      </c>
      <c r="K40" s="96" t="str">
        <f>IFERROR(VLOOKUP(H_Mai[[#This Row],[Service]],Codes[],4,0),"")</f>
        <v/>
      </c>
      <c r="L40" s="49">
        <f>IF(H_Mai[[#This Row],[PNP Début]]=0,0,IF(H_Mai[[#This Row],[PNP Début]]&lt;H_Mai[[#This Row],[début]],1,0)+H_Mai[[#This Row],[PNP Début]])</f>
        <v>0</v>
      </c>
      <c r="M40" s="50">
        <f>IF(H_Mai[[#This Row],[PNP Fin]]=0,0,IF(H_Mai[[#This Row],[PNP Fin]]&lt;H_Mai[[#This Row],[début]],1,0)+H_Mai[[#This Row],[PNP Fin]])</f>
        <v>0</v>
      </c>
      <c r="N40" s="50">
        <f>IF(H_Mai[[#This Row],[Fin]]&lt;H_Mai[[#This Row],[début]],1,0)+H_Mai[[#This Row],[Fin]]</f>
        <v>0</v>
      </c>
      <c r="O40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0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0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0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0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0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0.1*(H_Mai[[#This Row],[Heures de nuit]]+IF(H_Mai[[#This Row],[majoration dim &amp; JF]]="non",0,H_Mai[[#This Row],[heures jour dimanche]]+H_Mai[[#This Row],[heures jour fériés]]))</f>
        <v>0</v>
      </c>
      <c r="J41" s="48">
        <f>(MOD(H_Mai[[#This Row],[Fin]]-H_Mai[[#This Row],[début]],1)-MOD(H_Mai[[#This Row],[PNP Fin]]-H_Mai[[#This Row],[PNP Début]],1))*24</f>
        <v>0</v>
      </c>
      <c r="K41" s="96" t="str">
        <f>IFERROR(VLOOKUP(H_Mai[[#This Row],[Service]],Codes[],4,0),"")</f>
        <v/>
      </c>
      <c r="L41" s="49">
        <f>IF(H_Mai[[#This Row],[PNP Début]]=0,0,IF(H_Mai[[#This Row],[PNP Début]]&lt;H_Mai[[#This Row],[début]],1,0)+H_Mai[[#This Row],[PNP Début]])</f>
        <v>0</v>
      </c>
      <c r="M41" s="50">
        <f>IF(H_Mai[[#This Row],[PNP Fin]]=0,0,IF(H_Mai[[#This Row],[PNP Fin]]&lt;H_Mai[[#This Row],[début]],1,0)+H_Mai[[#This Row],[PNP Fin]])</f>
        <v>0</v>
      </c>
      <c r="N41" s="50">
        <f>IF(H_Mai[[#This Row],[Fin]]&lt;H_Mai[[#This Row],[début]],1,0)+H_Mai[[#This Row],[Fin]]</f>
        <v>0</v>
      </c>
      <c r="O41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1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1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1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1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1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0.1*(H_Mai[[#This Row],[Heures de nuit]]+IF(H_Mai[[#This Row],[majoration dim &amp; JF]]="non",0,H_Mai[[#This Row],[heures jour dimanche]]+H_Mai[[#This Row],[heures jour fériés]]))</f>
        <v>0</v>
      </c>
      <c r="J42" s="48">
        <f>(MOD(H_Mai[[#This Row],[Fin]]-H_Mai[[#This Row],[début]],1)-MOD(H_Mai[[#This Row],[PNP Fin]]-H_Mai[[#This Row],[PNP Début]],1))*24</f>
        <v>0</v>
      </c>
      <c r="K42" s="96" t="str">
        <f>IFERROR(VLOOKUP(H_Mai[[#This Row],[Service]],Codes[],4,0),"")</f>
        <v/>
      </c>
      <c r="L42" s="49">
        <f>IF(H_Mai[[#This Row],[PNP Début]]=0,0,IF(H_Mai[[#This Row],[PNP Début]]&lt;H_Mai[[#This Row],[début]],1,0)+H_Mai[[#This Row],[PNP Début]])</f>
        <v>0</v>
      </c>
      <c r="M42" s="50">
        <f>IF(H_Mai[[#This Row],[PNP Fin]]=0,0,IF(H_Mai[[#This Row],[PNP Fin]]&lt;H_Mai[[#This Row],[début]],1,0)+H_Mai[[#This Row],[PNP Fin]])</f>
        <v>0</v>
      </c>
      <c r="N42" s="50">
        <f>IF(H_Mai[[#This Row],[Fin]]&lt;H_Mai[[#This Row],[début]],1,0)+H_Mai[[#This Row],[Fin]]</f>
        <v>0</v>
      </c>
      <c r="O42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2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2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2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0.1*(H_Mai[[#This Row],[Heures de nuit]]+IF(H_Mai[[#This Row],[majoration dim &amp; JF]]="non",0,H_Mai[[#This Row],[heures jour dimanche]]+H_Mai[[#This Row],[heures jour fériés]]))</f>
        <v>0</v>
      </c>
      <c r="J43" s="48">
        <f>(MOD(H_Mai[[#This Row],[Fin]]-H_Mai[[#This Row],[début]],1)-MOD(H_Mai[[#This Row],[PNP Fin]]-H_Mai[[#This Row],[PNP Début]],1))*24</f>
        <v>0</v>
      </c>
      <c r="K43" s="96" t="str">
        <f>IFERROR(VLOOKUP(H_Mai[[#This Row],[Service]],Codes[],4,0),"")</f>
        <v/>
      </c>
      <c r="L43" s="49">
        <f>IF(H_Mai[[#This Row],[PNP Début]]=0,0,IF(H_Mai[[#This Row],[PNP Début]]&lt;H_Mai[[#This Row],[début]],1,0)+H_Mai[[#This Row],[PNP Début]])</f>
        <v>0</v>
      </c>
      <c r="M43" s="50">
        <f>IF(H_Mai[[#This Row],[PNP Fin]]=0,0,IF(H_Mai[[#This Row],[PNP Fin]]&lt;H_Mai[[#This Row],[début]],1,0)+H_Mai[[#This Row],[PNP Fin]])</f>
        <v>0</v>
      </c>
      <c r="N43" s="50">
        <f>IF(H_Mai[[#This Row],[Fin]]&lt;H_Mai[[#This Row],[début]],1,0)+H_Mai[[#This Row],[Fin]]</f>
        <v>0</v>
      </c>
      <c r="O43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3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3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3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0.1*(H_Mai[[#This Row],[Heures de nuit]]+IF(H_Mai[[#This Row],[majoration dim &amp; JF]]="non",0,H_Mai[[#This Row],[heures jour dimanche]]+H_Mai[[#This Row],[heures jour fériés]]))</f>
        <v>0</v>
      </c>
      <c r="J44" s="48">
        <f>(MOD(H_Mai[[#This Row],[Fin]]-H_Mai[[#This Row],[début]],1)-MOD(H_Mai[[#This Row],[PNP Fin]]-H_Mai[[#This Row],[PNP Début]],1))*24</f>
        <v>0</v>
      </c>
      <c r="K44" s="96" t="str">
        <f>IFERROR(VLOOKUP(H_Mai[[#This Row],[Service]],Codes[],4,0),"")</f>
        <v/>
      </c>
      <c r="L44" s="49">
        <f>IF(H_Mai[[#This Row],[PNP Début]]=0,0,IF(H_Mai[[#This Row],[PNP Début]]&lt;H_Mai[[#This Row],[début]],1,0)+H_Mai[[#This Row],[PNP Début]])</f>
        <v>0</v>
      </c>
      <c r="M44" s="50">
        <f>IF(H_Mai[[#This Row],[PNP Fin]]=0,0,IF(H_Mai[[#This Row],[PNP Fin]]&lt;H_Mai[[#This Row],[début]],1,0)+H_Mai[[#This Row],[PNP Fin]])</f>
        <v>0</v>
      </c>
      <c r="N44" s="50">
        <f>IF(H_Mai[[#This Row],[Fin]]&lt;H_Mai[[#This Row],[début]],1,0)+H_Mai[[#This Row],[Fin]]</f>
        <v>0</v>
      </c>
      <c r="O44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4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4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4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0.1*(H_Mai[[#This Row],[Heures de nuit]]+IF(H_Mai[[#This Row],[majoration dim &amp; JF]]="non",0,H_Mai[[#This Row],[heures jour dimanche]]+H_Mai[[#This Row],[heures jour fériés]]))</f>
        <v>0</v>
      </c>
      <c r="J45" s="48">
        <f>(MOD(H_Mai[[#This Row],[Fin]]-H_Mai[[#This Row],[début]],1)-MOD(H_Mai[[#This Row],[PNP Fin]]-H_Mai[[#This Row],[PNP Début]],1))*24</f>
        <v>0</v>
      </c>
      <c r="K45" s="96" t="str">
        <f>IFERROR(VLOOKUP(H_Mai[[#This Row],[Service]],Codes[],4,0),"")</f>
        <v/>
      </c>
      <c r="L45" s="49">
        <f>IF(H_Mai[[#This Row],[PNP Début]]=0,0,IF(H_Mai[[#This Row],[PNP Début]]&lt;H_Mai[[#This Row],[début]],1,0)+H_Mai[[#This Row],[PNP Début]])</f>
        <v>0</v>
      </c>
      <c r="M45" s="50">
        <f>IF(H_Mai[[#This Row],[PNP Fin]]=0,0,IF(H_Mai[[#This Row],[PNP Fin]]&lt;H_Mai[[#This Row],[début]],1,0)+H_Mai[[#This Row],[PNP Fin]])</f>
        <v>0</v>
      </c>
      <c r="N45" s="50">
        <f>IF(H_Mai[[#This Row],[Fin]]&lt;H_Mai[[#This Row],[début]],1,0)+H_Mai[[#This Row],[Fin]]</f>
        <v>0</v>
      </c>
      <c r="O45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5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5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5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0.1*(H_Mai[[#This Row],[Heures de nuit]]+IF(H_Mai[[#This Row],[majoration dim &amp; JF]]="non",0,H_Mai[[#This Row],[heures jour dimanche]]+H_Mai[[#This Row],[heures jour fériés]]))</f>
        <v>0</v>
      </c>
      <c r="J46" s="48">
        <f>(MOD(H_Mai[[#This Row],[Fin]]-H_Mai[[#This Row],[début]],1)-MOD(H_Mai[[#This Row],[PNP Fin]]-H_Mai[[#This Row],[PNP Début]],1))*24</f>
        <v>0</v>
      </c>
      <c r="K46" s="96" t="str">
        <f>IFERROR(VLOOKUP(H_Mai[[#This Row],[Service]],Codes[],4,0),"")</f>
        <v/>
      </c>
      <c r="L46" s="49">
        <f>IF(H_Mai[[#This Row],[PNP Début]]=0,0,IF(H_Mai[[#This Row],[PNP Début]]&lt;H_Mai[[#This Row],[début]],1,0)+H_Mai[[#This Row],[PNP Début]])</f>
        <v>0</v>
      </c>
      <c r="M46" s="50">
        <f>IF(H_Mai[[#This Row],[PNP Fin]]=0,0,IF(H_Mai[[#This Row],[PNP Fin]]&lt;H_Mai[[#This Row],[début]],1,0)+H_Mai[[#This Row],[PNP Fin]])</f>
        <v>0</v>
      </c>
      <c r="N46" s="50">
        <f>IF(H_Mai[[#This Row],[Fin]]&lt;H_Mai[[#This Row],[début]],1,0)+H_Mai[[#This Row],[Fin]]</f>
        <v>0</v>
      </c>
      <c r="O46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6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6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6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0.1*(H_Mai[[#This Row],[Heures de nuit]]+IF(H_Mai[[#This Row],[majoration dim &amp; JF]]="non",0,H_Mai[[#This Row],[heures jour dimanche]]+H_Mai[[#This Row],[heures jour fériés]]))</f>
        <v>0</v>
      </c>
      <c r="J47" s="48">
        <f>(MOD(H_Mai[[#This Row],[Fin]]-H_Mai[[#This Row],[début]],1)-MOD(H_Mai[[#This Row],[PNP Fin]]-H_Mai[[#This Row],[PNP Début]],1))*24</f>
        <v>0</v>
      </c>
      <c r="K47" s="96" t="str">
        <f>IFERROR(VLOOKUP(H_Mai[[#This Row],[Service]],Codes[],4,0),"")</f>
        <v/>
      </c>
      <c r="L47" s="49">
        <f>IF(H_Mai[[#This Row],[PNP Début]]=0,0,IF(H_Mai[[#This Row],[PNP Début]]&lt;H_Mai[[#This Row],[début]],1,0)+H_Mai[[#This Row],[PNP Début]])</f>
        <v>0</v>
      </c>
      <c r="M47" s="50">
        <f>IF(H_Mai[[#This Row],[PNP Fin]]=0,0,IF(H_Mai[[#This Row],[PNP Fin]]&lt;H_Mai[[#This Row],[début]],1,0)+H_Mai[[#This Row],[PNP Fin]])</f>
        <v>0</v>
      </c>
      <c r="N47" s="50">
        <f>IF(H_Mai[[#This Row],[Fin]]&lt;H_Mai[[#This Row],[début]],1,0)+H_Mai[[#This Row],[Fin]]</f>
        <v>0</v>
      </c>
      <c r="O47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7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7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7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0.1*(H_Mai[[#This Row],[Heures de nuit]]+IF(H_Mai[[#This Row],[majoration dim &amp; JF]]="non",0,H_Mai[[#This Row],[heures jour dimanche]]+H_Mai[[#This Row],[heures jour fériés]]))</f>
        <v>0</v>
      </c>
      <c r="J48" s="48">
        <f>(MOD(H_Mai[[#This Row],[Fin]]-H_Mai[[#This Row],[début]],1)-MOD(H_Mai[[#This Row],[PNP Fin]]-H_Mai[[#This Row],[PNP Début]],1))*24</f>
        <v>0</v>
      </c>
      <c r="K48" s="96" t="str">
        <f>IFERROR(VLOOKUP(H_Mai[[#This Row],[Service]],Codes[],4,0),"")</f>
        <v/>
      </c>
      <c r="L48" s="49">
        <f>IF(H_Mai[[#This Row],[PNP Début]]=0,0,IF(H_Mai[[#This Row],[PNP Début]]&lt;H_Mai[[#This Row],[début]],1,0)+H_Mai[[#This Row],[PNP Début]])</f>
        <v>0</v>
      </c>
      <c r="M48" s="50">
        <f>IF(H_Mai[[#This Row],[PNP Fin]]=0,0,IF(H_Mai[[#This Row],[PNP Fin]]&lt;H_Mai[[#This Row],[début]],1,0)+H_Mai[[#This Row],[PNP Fin]])</f>
        <v>0</v>
      </c>
      <c r="N48" s="50">
        <f>IF(H_Mai[[#This Row],[Fin]]&lt;H_Mai[[#This Row],[début]],1,0)+H_Mai[[#This Row],[Fin]]</f>
        <v>0</v>
      </c>
      <c r="O48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8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8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8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0.1*(H_Mai[[#This Row],[Heures de nuit]]+IF(H_Mai[[#This Row],[majoration dim &amp; JF]]="non",0,H_Mai[[#This Row],[heures jour dimanche]]+H_Mai[[#This Row],[heures jour fériés]]))</f>
        <v>0</v>
      </c>
      <c r="J49" s="48">
        <f>(MOD(H_Mai[[#This Row],[Fin]]-H_Mai[[#This Row],[début]],1)-MOD(H_Mai[[#This Row],[PNP Fin]]-H_Mai[[#This Row],[PNP Début]],1))*24</f>
        <v>0</v>
      </c>
      <c r="K49" s="96" t="str">
        <f>IFERROR(VLOOKUP(H_Mai[[#This Row],[Service]],Codes[],4,0),"")</f>
        <v/>
      </c>
      <c r="L49" s="49">
        <f>IF(H_Mai[[#This Row],[PNP Début]]=0,0,IF(H_Mai[[#This Row],[PNP Début]]&lt;H_Mai[[#This Row],[début]],1,0)+H_Mai[[#This Row],[PNP Début]])</f>
        <v>0</v>
      </c>
      <c r="M49" s="50">
        <f>IF(H_Mai[[#This Row],[PNP Fin]]=0,0,IF(H_Mai[[#This Row],[PNP Fin]]&lt;H_Mai[[#This Row],[début]],1,0)+H_Mai[[#This Row],[PNP Fin]])</f>
        <v>0</v>
      </c>
      <c r="N49" s="50">
        <f>IF(H_Mai[[#This Row],[Fin]]&lt;H_Mai[[#This Row],[début]],1,0)+H_Mai[[#This Row],[Fin]]</f>
        <v>0</v>
      </c>
      <c r="O49" s="31">
        <f>IF(H_Mai[[#This Row],[Fin]]&lt;H_Mai[[#This Row],[début]],MAX(0,MIN(H_Mai[[#This Row],[Fin corrigée si nuit]],fin_nuit)-MAX(H_Mai[[#This Row],[début]],deb_nuit))*24,(MAX(deb_nuit,H_Mai[[#This Row],[Fin]])-MAX(deb_nuit,H_Mai[[#This Row],[début]])+MAX(MIN(fin_nuit-1,H_Mai[[#This Row],[Fin]])-MIN(fin_nuit-1,H_Mai[[#This Row],[début]]),0))*24)</f>
        <v>0</v>
      </c>
      <c r="P49" s="51">
        <f>(MAX(0,MIN(H_Mai[[#This Row],[Fin corrigée si nuit]],fin_nuit)-MAX(H_Mai[[#This Row],[début]],deb_nuit))-IF(H_Mai[[#This Row],[PNP Début]]=0,0,MIN(H_Mai[[#This Row],[PNP Fin corrigée]],fin_nuit)-MAX(H_Mai[[#This Row],[PNP Début corrigé]],deb_nuit)))*24</f>
        <v>0</v>
      </c>
      <c r="Q4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</f>
        <v>0</v>
      </c>
      <c r="R49" s="51">
        <f>(IF(WEEKDAY(H_Mai[[#This Row],[Date]],2)=7,MAX(0,MIN(fin_dimJF,H_Mai[[#This Row],[Fin corrigée si nuit]])-MAX(deb_dimJF,H_Mai[[#This Row],[début]])),0)+IF(WEEKDAY(H_Mai[[#This Row],[Date]],2)=6,MAX(0,H_Mai[[#This Row],[Fin corrigée si nuit]]-(1+deb_dimJF)),0))*24-
(IF(WEEKDAY(H_Mai[[#This Row],[Date]],2)=7,MAX(0,MIN(fin_dimJF,H_Mai[[#This Row],[PNP Fin corrigée]])-MAX(deb_dimJF,H_Mai[[#This Row],[PNP Début corrigé]])),0)+IF(WEEKDAY(H_Mai[[#This Row],[Date]],2)=6,MAX(0,H_Mai[[#This Row],[PNP Fin corrigée]]-(1+deb_dimJF)),0))*24</f>
        <v>0</v>
      </c>
      <c r="S4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</f>
        <v>0</v>
      </c>
      <c r="T49" s="51">
        <f>(IF(COUNTIF(JF,H_Mai[[#This Row],[Date]]),MAX(0,MIN(fin_dimJF,H_Mai[[#This Row],[Fin corrigée si nuit]])-MAX(deb_dimJF,H_Mai[[#This Row],[début]])),0)+IF(COUNTIF(JF,H_Mai[[#This Row],[Date]]+1),MAX(0,H_Mai[[#This Row],[Fin corrigée si nuit]]-(1+deb_dimJF)),0))*24-
(IF(COUNTIF(JF,H_Mai[[#This Row],[Date]]),MAX(0,MIN(fin_dimJF,H_Mai[[#This Row],[PNP Fin corrigée]])-MAX(deb_dimJF,H_Mai[[#This Row],[PNP Début corrigé]])),0)+IF(COUNTIF(JF,H_Mai[[#This Row],[Date]]+1),MAX(0,H_Mai[[#This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SUM(H_Mai[Majoration])</f>
        <v>0</v>
      </c>
      <c r="J50" s="54">
        <f>SUM(H_Mai[Heures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207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700-000000000000}"/>
    <dataValidation type="time" allowBlank="1" showInputMessage="1" showErrorMessage="1" error="Tapez les heures sous le format_x000a_00:00" sqref="C13:H49" xr:uid="{00000000-0002-0000-07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K5" xr:uid="{00000000-0002-0000-0700-000002000000}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print="0" autoLine="0" r:id="rId5">
            <anchor moveWithCells="1">
              <from>
                <xdr:col>9</xdr:col>
                <xdr:colOff>472440</xdr:colOff>
                <xdr:row>0</xdr:row>
                <xdr:rowOff>83820</xdr:rowOff>
              </from>
              <to>
                <xdr:col>9</xdr:col>
                <xdr:colOff>1264920</xdr:colOff>
                <xdr:row>3</xdr:row>
                <xdr:rowOff>198120</xdr:rowOff>
              </to>
            </anchor>
          </controlPr>
        </control>
      </mc:Choice>
      <mc:Fallback>
        <control shapeId="8193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7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Z60"/>
  <sheetViews>
    <sheetView topLeftCell="H1" zoomScale="80" zoomScaleNormal="80" zoomScalePageLayoutView="40" workbookViewId="0">
      <selection activeCell="Z13" sqref="Z13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28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Juin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U9" s="227">
        <f>W9-W10</f>
        <v>0</v>
      </c>
      <c r="V9" s="104" t="s">
        <v>113</v>
      </c>
      <c r="W9" s="105">
        <v>0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U10" s="227">
        <f>U9</f>
        <v>0</v>
      </c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0.1*(H_Juin[[#This Row],[Heures de nuit]]+IF(H_Juin[[#This Row],[majoration dim &amp; JF]]="non",0,H_Juin[[#This Row],[heures jour dimanche]]+H_Juin[[#This Row],[heures jour fériés]]))</f>
        <v>0</v>
      </c>
      <c r="J13" s="29">
        <f>(MOD(H_Juin[[#This Row],[Fin]]-H_Juin[[#This Row],[début]],1)-MOD(H_Juin[[#This Row],[PNP Fin]]-H_Juin[[#This Row],[PNP Début]],1))*24</f>
        <v>0</v>
      </c>
      <c r="K13" s="29" t="str">
        <f>IFERROR(VLOOKUP(H_Juin[[#This Row],[Service]],Codes[],4,0),"")</f>
        <v/>
      </c>
      <c r="L13" s="30">
        <f>IF(H_Juin[[#This Row],[PNP Début]]=0,0,IF(H_Juin[[#This Row],[PNP Début]]&lt;H_Juin[[#This Row],[début]],1,0)+H_Juin[[#This Row],[PNP Début]])</f>
        <v>0</v>
      </c>
      <c r="M13" s="30">
        <f>IF(H_Juin[[#This Row],[PNP Fin]]=0,0,IF(H_Juin[[#This Row],[PNP Fin]]&lt;H_Juin[[#This Row],[début]],1,0)+H_Juin[[#This Row],[PNP Fin]])</f>
        <v>0</v>
      </c>
      <c r="N13" s="30">
        <f>IF(H_Juin[[#This Row],[Fin]]&lt;H_Juin[[#This Row],[début]],1,0)+H_Juin[[#This Row],[Fin]]</f>
        <v>0</v>
      </c>
      <c r="O13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3" s="31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3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3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3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3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0.1*(H_Juin[[#This Row],[Heures de nuit]]+IF(H_Juin[[#This Row],[majoration dim &amp; JF]]="non",0,H_Juin[[#This Row],[heures jour dimanche]]+H_Juin[[#This Row],[heures jour fériés]]))</f>
        <v>0</v>
      </c>
      <c r="J14" s="29">
        <f>(MOD(H_Juin[[#This Row],[Fin]]-H_Juin[[#This Row],[début]],1)-MOD(H_Juin[[#This Row],[PNP Fin]]-H_Juin[[#This Row],[PNP Début]],1))*24</f>
        <v>0</v>
      </c>
      <c r="K14" s="29" t="str">
        <f>IFERROR(VLOOKUP(H_Juin[[#This Row],[Service]],Codes[],4,0),"")</f>
        <v/>
      </c>
      <c r="L14" s="30">
        <f>IF(H_Juin[[#This Row],[PNP Début]]=0,0,IF(H_Juin[[#This Row],[PNP Début]]&lt;H_Juin[[#This Row],[début]],1,0)+H_Juin[[#This Row],[PNP Début]])</f>
        <v>0</v>
      </c>
      <c r="M14" s="30">
        <f>IF(H_Juin[[#This Row],[PNP Fin]]=0,0,IF(H_Juin[[#This Row],[PNP Fin]]&lt;H_Juin[[#This Row],[début]],1,0)+H_Juin[[#This Row],[PNP Fin]])</f>
        <v>0</v>
      </c>
      <c r="N14" s="30">
        <f>IF(H_Juin[[#This Row],[Fin]]&lt;H_Juin[[#This Row],[début]],1,0)+H_Juin[[#This Row],[Fin]]</f>
        <v>0</v>
      </c>
      <c r="O14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4" s="31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4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4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4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4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0.1*(H_Juin[[#This Row],[Heures de nuit]]+IF(H_Juin[[#This Row],[majoration dim &amp; JF]]="non",0,H_Juin[[#This Row],[heures jour dimanche]]+H_Juin[[#This Row],[heures jour fériés]]))</f>
        <v>0</v>
      </c>
      <c r="J15" s="29">
        <f>(MOD(H_Juin[[#This Row],[Fin]]-H_Juin[[#This Row],[début]],1)-MOD(H_Juin[[#This Row],[PNP Fin]]-H_Juin[[#This Row],[PNP Début]],1))*24</f>
        <v>0</v>
      </c>
      <c r="K15" s="29" t="str">
        <f>IFERROR(VLOOKUP(H_Juin[[#This Row],[Service]],Codes[],4,0),"")</f>
        <v/>
      </c>
      <c r="L15" s="30">
        <f>IF(H_Juin[[#This Row],[PNP Début]]=0,0,IF(H_Juin[[#This Row],[PNP Début]]&lt;H_Juin[[#This Row],[début]],1,0)+H_Juin[[#This Row],[PNP Début]])</f>
        <v>0</v>
      </c>
      <c r="M15" s="30">
        <f>IF(H_Juin[[#This Row],[PNP Fin]]=0,0,IF(H_Juin[[#This Row],[PNP Fin]]&lt;H_Juin[[#This Row],[début]],1,0)+H_Juin[[#This Row],[PNP Fin]])</f>
        <v>0</v>
      </c>
      <c r="N15" s="30">
        <f>IF(H_Juin[[#This Row],[Fin]]&lt;H_Juin[[#This Row],[début]],1,0)+H_Juin[[#This Row],[Fin]]</f>
        <v>0</v>
      </c>
      <c r="O15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5" s="31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5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5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5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5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0.1*(H_Juin[[#This Row],[Heures de nuit]]+IF(H_Juin[[#This Row],[majoration dim &amp; JF]]="non",0,H_Juin[[#This Row],[heures jour dimanche]]+H_Juin[[#This Row],[heures jour fériés]]))</f>
        <v>0</v>
      </c>
      <c r="J16" s="33">
        <f>(MOD(H_Juin[[#This Row],[Fin]]-H_Juin[[#This Row],[début]],1)-MOD(H_Juin[[#This Row],[PNP Fin]]-H_Juin[[#This Row],[PNP Début]],1))*24</f>
        <v>0</v>
      </c>
      <c r="K16" s="33" t="str">
        <f>IFERROR(VLOOKUP(H_Juin[[#This Row],[Service]],Codes[],4,0),"")</f>
        <v/>
      </c>
      <c r="L16" s="30">
        <f>IF(H_Juin[[#This Row],[PNP Début]]=0,0,IF(H_Juin[[#This Row],[PNP Début]]&lt;H_Juin[[#This Row],[début]],1,0)+H_Juin[[#This Row],[PNP Début]])</f>
        <v>0</v>
      </c>
      <c r="M16" s="30">
        <f>IF(H_Juin[[#This Row],[PNP Fin]]=0,0,IF(H_Juin[[#This Row],[PNP Fin]]&lt;H_Juin[[#This Row],[début]],1,0)+H_Juin[[#This Row],[PNP Fin]])</f>
        <v>0</v>
      </c>
      <c r="N16" s="30">
        <f>IF(H_Juin[[#This Row],[Fin]]&lt;H_Juin[[#This Row],[début]],1,0)+H_Juin[[#This Row],[Fin]]</f>
        <v>0</v>
      </c>
      <c r="O16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6" s="31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6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6" s="31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6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6" s="31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16" s="104" t="s">
        <v>116</v>
      </c>
      <c r="W16" s="105">
        <f>'Mai 18'!Z16</f>
        <v>24.9</v>
      </c>
      <c r="X16" s="105">
        <f>I50</f>
        <v>0</v>
      </c>
      <c r="Y16" s="105">
        <f>IF(U9&lt;0,0,IF(U9&lt;&gt;"",U10,""))</f>
        <v>0</v>
      </c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0.1*(H_Juin[[#This Row],[Heures de nuit]]+IF(H_Juin[[#This Row],[majoration dim &amp; JF]]="non",0,H_Juin[[#This Row],[heures jour dimanche]]+H_Juin[[#This Row],[heures jour fériés]]))</f>
        <v>0</v>
      </c>
      <c r="J17" s="38">
        <f>(MOD(H_Juin[[#This Row],[Fin]]-H_Juin[[#This Row],[début]],1)-MOD(H_Juin[[#This Row],[PNP Fin]]-H_Juin[[#This Row],[PNP Début]],1))*24</f>
        <v>0</v>
      </c>
      <c r="K17" s="99" t="str">
        <f>IFERROR(VLOOKUP(H_Juin[[#This Row],[Service]],Codes[],4,0),"")</f>
        <v/>
      </c>
      <c r="L17" s="171">
        <f>IF(H_Juin[[#This Row],[PNP Début]]=0,0,IF(H_Juin[[#This Row],[PNP Début]]&lt;H_Juin[[#This Row],[début]],1,0)+H_Juin[[#This Row],[PNP Début]])</f>
        <v>0</v>
      </c>
      <c r="M17" s="171">
        <f>IF(H_Juin[[#This Row],[PNP Fin]]=0,0,IF(H_Juin[[#This Row],[PNP Fin]]&lt;H_Juin[[#This Row],[début]],1,0)+H_Juin[[#This Row],[PNP Fin]])</f>
        <v>0</v>
      </c>
      <c r="N17" s="171">
        <f>IF(H_Juin[[#This Row],[Fin]]&lt;H_Juin[[#This Row],[début]],1,0)+H_Juin[[#This Row],[Fin]]</f>
        <v>0</v>
      </c>
      <c r="O17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7" s="170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7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7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7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7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0.1*(H_Juin[[#This Row],[Heures de nuit]]+IF(H_Juin[[#This Row],[majoration dim &amp; JF]]="non",0,H_Juin[[#This Row],[heures jour dimanche]]+H_Juin[[#This Row],[heures jour fériés]]))</f>
        <v>0</v>
      </c>
      <c r="J18" s="38">
        <f>(MOD(H_Juin[[#This Row],[Fin]]-H_Juin[[#This Row],[début]],1)-MOD(H_Juin[[#This Row],[PNP Fin]]-H_Juin[[#This Row],[PNP Début]],1))*24</f>
        <v>0</v>
      </c>
      <c r="K18" s="99" t="str">
        <f>IFERROR(VLOOKUP(H_Juin[[#This Row],[Service]],Codes[],4,0),"")</f>
        <v/>
      </c>
      <c r="L18" s="171">
        <f>IF(H_Juin[[#This Row],[PNP Début]]=0,0,IF(H_Juin[[#This Row],[PNP Début]]&lt;H_Juin[[#This Row],[début]],1,0)+H_Juin[[#This Row],[PNP Début]])</f>
        <v>0</v>
      </c>
      <c r="M18" s="171">
        <f>IF(H_Juin[[#This Row],[PNP Fin]]=0,0,IF(H_Juin[[#This Row],[PNP Fin]]&lt;H_Juin[[#This Row],[début]],1,0)+H_Juin[[#This Row],[PNP Fin]])</f>
        <v>0</v>
      </c>
      <c r="N18" s="171">
        <f>IF(H_Juin[[#This Row],[Fin]]&lt;H_Juin[[#This Row],[début]],1,0)+H_Juin[[#This Row],[Fin]]</f>
        <v>0</v>
      </c>
      <c r="O18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8" s="170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8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8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8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8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19" spans="1:23" x14ac:dyDescent="0.3">
      <c r="A19" s="4">
        <v>43101</v>
      </c>
      <c r="B19" s="1"/>
      <c r="C19" s="2"/>
      <c r="D19" s="2"/>
      <c r="E19" s="3"/>
      <c r="F19" s="3"/>
      <c r="G19" s="9"/>
      <c r="H19" s="9"/>
      <c r="I19" s="37">
        <f>0.1*(H_Juin[[#This Row],[Heures de nuit]]+IF(H_Juin[[#This Row],[majoration dim &amp; JF]]="non",0,H_Juin[[#This Row],[heures jour dimanche]]+H_Juin[[#This Row],[heures jour fériés]]))</f>
        <v>0</v>
      </c>
      <c r="J19" s="38">
        <f>(MOD(H_Juin[[#This Row],[Fin]]-H_Juin[[#This Row],[début]],1)-MOD(H_Juin[[#This Row],[PNP Fin]]-H_Juin[[#This Row],[PNP Début]],1))*24</f>
        <v>0</v>
      </c>
      <c r="K19" s="99" t="str">
        <f>IFERROR(VLOOKUP(H_Juin[[#This Row],[Service]],Codes[],4,0),"")</f>
        <v/>
      </c>
      <c r="L19" s="171">
        <f>IF(H_Juin[[#This Row],[PNP Début]]=0,0,IF(H_Juin[[#This Row],[PNP Début]]&lt;H_Juin[[#This Row],[début]],1,0)+H_Juin[[#This Row],[PNP Début]])</f>
        <v>0</v>
      </c>
      <c r="M19" s="171">
        <f>IF(H_Juin[[#This Row],[PNP Fin]]=0,0,IF(H_Juin[[#This Row],[PNP Fin]]&lt;H_Juin[[#This Row],[début]],1,0)+H_Juin[[#This Row],[PNP Fin]])</f>
        <v>0</v>
      </c>
      <c r="N19" s="171">
        <f>IF(H_Juin[[#This Row],[Fin]]&lt;H_Juin[[#This Row],[début]],1,0)+H_Juin[[#This Row],[Fin]]</f>
        <v>0</v>
      </c>
      <c r="O19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19" s="170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19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19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19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19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>
        <v>43102</v>
      </c>
      <c r="B20" s="1"/>
      <c r="C20" s="2"/>
      <c r="D20" s="2"/>
      <c r="E20" s="9"/>
      <c r="F20" s="9"/>
      <c r="G20" s="9"/>
      <c r="H20" s="9"/>
      <c r="I20" s="37">
        <f>0.1*(H_Juin[[#This Row],[Heures de nuit]]+IF(H_Juin[[#This Row],[majoration dim &amp; JF]]="non",0,H_Juin[[#This Row],[heures jour dimanche]]+H_Juin[[#This Row],[heures jour fériés]]))</f>
        <v>0</v>
      </c>
      <c r="J20" s="38">
        <f>(MOD(H_Juin[[#This Row],[Fin]]-H_Juin[[#This Row],[début]],1)-MOD(H_Juin[[#This Row],[PNP Fin]]-H_Juin[[#This Row],[PNP Début]],1))*24</f>
        <v>0</v>
      </c>
      <c r="K20" s="99" t="str">
        <f>IFERROR(VLOOKUP(H_Juin[[#This Row],[Service]],Codes[],4,0),"")</f>
        <v/>
      </c>
      <c r="L20" s="171">
        <f>IF(H_Juin[[#This Row],[PNP Début]]=0,0,IF(H_Juin[[#This Row],[PNP Début]]&lt;H_Juin[[#This Row],[début]],1,0)+H_Juin[[#This Row],[PNP Début]])</f>
        <v>0</v>
      </c>
      <c r="M20" s="171">
        <f>IF(H_Juin[[#This Row],[PNP Fin]]=0,0,IF(H_Juin[[#This Row],[PNP Fin]]&lt;H_Juin[[#This Row],[début]],1,0)+H_Juin[[#This Row],[PNP Fin]])</f>
        <v>0</v>
      </c>
      <c r="N20" s="171">
        <f>IF(H_Juin[[#This Row],[Fin]]&lt;H_Juin[[#This Row],[début]],1,0)+H_Juin[[#This Row],[Fin]]</f>
        <v>0</v>
      </c>
      <c r="O20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0" s="170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0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0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0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0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0.1*(H_Juin[[#This Row],[Heures de nuit]]+IF(H_Juin[[#This Row],[majoration dim &amp; JF]]="non",0,H_Juin[[#This Row],[heures jour dimanche]]+H_Juin[[#This Row],[heures jour fériés]]))</f>
        <v>0</v>
      </c>
      <c r="J21" s="43">
        <f>(MOD(H_Juin[[#This Row],[Fin]]-H_Juin[[#This Row],[début]],1)-MOD(H_Juin[[#This Row],[PNP Fin]]-H_Juin[[#This Row],[PNP Début]],1))*24</f>
        <v>0</v>
      </c>
      <c r="K21" s="100" t="str">
        <f>IFERROR(VLOOKUP(H_Juin[[#This Row],[Service]],Codes[],4,0),"")</f>
        <v/>
      </c>
      <c r="L21" s="171">
        <f>IF(H_Juin[[#This Row],[PNP Début]]=0,0,IF(H_Juin[[#This Row],[PNP Début]]&lt;H_Juin[[#This Row],[début]],1,0)+H_Juin[[#This Row],[PNP Début]])</f>
        <v>0</v>
      </c>
      <c r="M21" s="171">
        <f>IF(H_Juin[[#This Row],[PNP Fin]]=0,0,IF(H_Juin[[#This Row],[PNP Fin]]&lt;H_Juin[[#This Row],[début]],1,0)+H_Juin[[#This Row],[PNP Fin]])</f>
        <v>0</v>
      </c>
      <c r="N21" s="171">
        <f>IF(H_Juin[[#This Row],[Fin]]&lt;H_Juin[[#This Row],[début]],1,0)+H_Juin[[#This Row],[Fin]]</f>
        <v>0</v>
      </c>
      <c r="O21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1" s="170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1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1" s="170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1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1" s="170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0.1*(H_Juin[[#This Row],[Heures de nuit]]+IF(H_Juin[[#This Row],[majoration dim &amp; JF]]="non",0,H_Juin[[#This Row],[heures jour dimanche]]+H_Juin[[#This Row],[heures jour fériés]]))</f>
        <v>0</v>
      </c>
      <c r="J22" s="48">
        <f>(MOD(H_Juin[[#This Row],[Fin]]-H_Juin[[#This Row],[début]],1)-MOD(H_Juin[[#This Row],[PNP Fin]]-H_Juin[[#This Row],[PNP Début]],1))*24</f>
        <v>0</v>
      </c>
      <c r="K22" s="96" t="str">
        <f>IFERROR(VLOOKUP(H_Juin[[#This Row],[Service]],Codes[],4,0),"")</f>
        <v/>
      </c>
      <c r="L22" s="30">
        <f>IF(H_Juin[[#This Row],[PNP Début]]=0,0,IF(H_Juin[[#This Row],[PNP Début]]&lt;H_Juin[[#This Row],[début]],1,0)+H_Juin[[#This Row],[PNP Début]])</f>
        <v>0</v>
      </c>
      <c r="M22" s="30">
        <f>IF(H_Juin[[#This Row],[PNP Fin]]=0,0,IF(H_Juin[[#This Row],[PNP Fin]]&lt;H_Juin[[#This Row],[début]],1,0)+H_Juin[[#This Row],[PNP Fin]])</f>
        <v>0</v>
      </c>
      <c r="N22" s="30">
        <f>IF(H_Juin[[#This Row],[Fin]]&lt;H_Juin[[#This Row],[début]],1,0)+H_Juin[[#This Row],[Fin]]</f>
        <v>0</v>
      </c>
      <c r="O22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2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0.1*(H_Juin[[#This Row],[Heures de nuit]]+IF(H_Juin[[#This Row],[majoration dim &amp; JF]]="non",0,H_Juin[[#This Row],[heures jour dimanche]]+H_Juin[[#This Row],[heures jour fériés]]))</f>
        <v>0</v>
      </c>
      <c r="J23" s="48">
        <f>(MOD(H_Juin[[#This Row],[Fin]]-H_Juin[[#This Row],[début]],1)-MOD(H_Juin[[#This Row],[PNP Fin]]-H_Juin[[#This Row],[PNP Début]],1))*24</f>
        <v>0</v>
      </c>
      <c r="K23" s="96" t="str">
        <f>IFERROR(VLOOKUP(H_Juin[[#This Row],[Service]],Codes[],4,0),"")</f>
        <v/>
      </c>
      <c r="L23" s="30">
        <f>IF(H_Juin[[#This Row],[PNP Début]]=0,0,IF(H_Juin[[#This Row],[PNP Début]]&lt;H_Juin[[#This Row],[début]],1,0)+H_Juin[[#This Row],[PNP Début]])</f>
        <v>0</v>
      </c>
      <c r="M23" s="30">
        <f>IF(H_Juin[[#This Row],[PNP Fin]]=0,0,IF(H_Juin[[#This Row],[PNP Fin]]&lt;H_Juin[[#This Row],[début]],1,0)+H_Juin[[#This Row],[PNP Fin]])</f>
        <v>0</v>
      </c>
      <c r="N23" s="30">
        <f>IF(H_Juin[[#This Row],[Fin]]&lt;H_Juin[[#This Row],[début]],1,0)+H_Juin[[#This Row],[Fin]]</f>
        <v>0</v>
      </c>
      <c r="O23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3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0.1*(H_Juin[[#This Row],[Heures de nuit]]+IF(H_Juin[[#This Row],[majoration dim &amp; JF]]="non",0,H_Juin[[#This Row],[heures jour dimanche]]+H_Juin[[#This Row],[heures jour fériés]]))</f>
        <v>0</v>
      </c>
      <c r="J24" s="48">
        <f>(MOD(H_Juin[[#This Row],[Fin]]-H_Juin[[#This Row],[début]],1)-MOD(H_Juin[[#This Row],[PNP Fin]]-H_Juin[[#This Row],[PNP Début]],1))*24</f>
        <v>0</v>
      </c>
      <c r="K24" s="96" t="str">
        <f>IFERROR(VLOOKUP(H_Juin[[#This Row],[Service]],Codes[],4,0),"")</f>
        <v/>
      </c>
      <c r="L24" s="30">
        <f>IF(H_Juin[[#This Row],[PNP Début]]=0,0,IF(H_Juin[[#This Row],[PNP Début]]&lt;H_Juin[[#This Row],[début]],1,0)+H_Juin[[#This Row],[PNP Début]])</f>
        <v>0</v>
      </c>
      <c r="M24" s="30">
        <f>IF(H_Juin[[#This Row],[PNP Fin]]=0,0,IF(H_Juin[[#This Row],[PNP Fin]]&lt;H_Juin[[#This Row],[début]],1,0)+H_Juin[[#This Row],[PNP Fin]])</f>
        <v>0</v>
      </c>
      <c r="N24" s="30">
        <f>IF(H_Juin[[#This Row],[Fin]]&lt;H_Juin[[#This Row],[début]],1,0)+H_Juin[[#This Row],[Fin]]</f>
        <v>0</v>
      </c>
      <c r="O24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4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0.1*(H_Juin[[#This Row],[Heures de nuit]]+IF(H_Juin[[#This Row],[majoration dim &amp; JF]]="non",0,H_Juin[[#This Row],[heures jour dimanche]]+H_Juin[[#This Row],[heures jour fériés]]))</f>
        <v>0</v>
      </c>
      <c r="J25" s="48">
        <f>(MOD(H_Juin[[#This Row],[Fin]]-H_Juin[[#This Row],[début]],1)-MOD(H_Juin[[#This Row],[PNP Fin]]-H_Juin[[#This Row],[PNP Début]],1))*24</f>
        <v>0</v>
      </c>
      <c r="K25" s="96" t="str">
        <f>IFERROR(VLOOKUP(H_Juin[[#This Row],[Service]],Codes[],4,0),"")</f>
        <v/>
      </c>
      <c r="L25" s="30">
        <f>IF(H_Juin[[#This Row],[PNP Début]]=0,0,IF(H_Juin[[#This Row],[PNP Début]]&lt;H_Juin[[#This Row],[début]],1,0)+H_Juin[[#This Row],[PNP Début]])</f>
        <v>0</v>
      </c>
      <c r="M25" s="30">
        <f>IF(H_Juin[[#This Row],[PNP Fin]]=0,0,IF(H_Juin[[#This Row],[PNP Fin]]&lt;H_Juin[[#This Row],[début]],1,0)+H_Juin[[#This Row],[PNP Fin]])</f>
        <v>0</v>
      </c>
      <c r="N25" s="30">
        <f>IF(H_Juin[[#This Row],[Fin]]&lt;H_Juin[[#This Row],[début]],1,0)+H_Juin[[#This Row],[Fin]]</f>
        <v>0</v>
      </c>
      <c r="O25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5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0.1*(H_Juin[[#This Row],[Heures de nuit]]+IF(H_Juin[[#This Row],[majoration dim &amp; JF]]="non",0,H_Juin[[#This Row],[heures jour dimanche]]+H_Juin[[#This Row],[heures jour fériés]]))</f>
        <v>0</v>
      </c>
      <c r="J26" s="48">
        <f>(MOD(H_Juin[[#This Row],[Fin]]-H_Juin[[#This Row],[début]],1)-MOD(H_Juin[[#This Row],[PNP Fin]]-H_Juin[[#This Row],[PNP Début]],1))*24</f>
        <v>0</v>
      </c>
      <c r="K26" s="96" t="str">
        <f>IFERROR(VLOOKUP(H_Juin[[#This Row],[Service]],Codes[],4,0),"")</f>
        <v/>
      </c>
      <c r="L26" s="30">
        <f>IF(H_Juin[[#This Row],[PNP Début]]=0,0,IF(H_Juin[[#This Row],[PNP Début]]&lt;H_Juin[[#This Row],[début]],1,0)+H_Juin[[#This Row],[PNP Début]])</f>
        <v>0</v>
      </c>
      <c r="M26" s="30">
        <f>IF(H_Juin[[#This Row],[PNP Fin]]=0,0,IF(H_Juin[[#This Row],[PNP Fin]]&lt;H_Juin[[#This Row],[début]],1,0)+H_Juin[[#This Row],[PNP Fin]])</f>
        <v>0</v>
      </c>
      <c r="N26" s="30">
        <f>IF(H_Juin[[#This Row],[Fin]]&lt;H_Juin[[#This Row],[début]],1,0)+H_Juin[[#This Row],[Fin]]</f>
        <v>0</v>
      </c>
      <c r="O26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6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0.1*(H_Juin[[#This Row],[Heures de nuit]]+IF(H_Juin[[#This Row],[majoration dim &amp; JF]]="non",0,H_Juin[[#This Row],[heures jour dimanche]]+H_Juin[[#This Row],[heures jour fériés]]))</f>
        <v>0</v>
      </c>
      <c r="J27" s="48">
        <f>(MOD(H_Juin[[#This Row],[Fin]]-H_Juin[[#This Row],[début]],1)-MOD(H_Juin[[#This Row],[PNP Fin]]-H_Juin[[#This Row],[PNP Début]],1))*24</f>
        <v>0</v>
      </c>
      <c r="K27" s="96" t="str">
        <f>IFERROR(VLOOKUP(H_Juin[[#This Row],[Service]],Codes[],4,0),"")</f>
        <v/>
      </c>
      <c r="L27" s="30">
        <f>IF(H_Juin[[#This Row],[PNP Début]]=0,0,IF(H_Juin[[#This Row],[PNP Début]]&lt;H_Juin[[#This Row],[début]],1,0)+H_Juin[[#This Row],[PNP Début]])</f>
        <v>0</v>
      </c>
      <c r="M27" s="30">
        <f>IF(H_Juin[[#This Row],[PNP Fin]]=0,0,IF(H_Juin[[#This Row],[PNP Fin]]&lt;H_Juin[[#This Row],[début]],1,0)+H_Juin[[#This Row],[PNP Fin]])</f>
        <v>0</v>
      </c>
      <c r="N27" s="30">
        <f>IF(H_Juin[[#This Row],[Fin]]&lt;H_Juin[[#This Row],[début]],1,0)+H_Juin[[#This Row],[Fin]]</f>
        <v>0</v>
      </c>
      <c r="O27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7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0.1*(H_Juin[[#This Row],[Heures de nuit]]+IF(H_Juin[[#This Row],[majoration dim &amp; JF]]="non",0,H_Juin[[#This Row],[heures jour dimanche]]+H_Juin[[#This Row],[heures jour fériés]]))</f>
        <v>0</v>
      </c>
      <c r="J28" s="48">
        <f>(MOD(H_Juin[[#This Row],[Fin]]-H_Juin[[#This Row],[début]],1)-MOD(H_Juin[[#This Row],[PNP Fin]]-H_Juin[[#This Row],[PNP Début]],1))*24</f>
        <v>0</v>
      </c>
      <c r="K28" s="96" t="str">
        <f>IFERROR(VLOOKUP(H_Juin[[#This Row],[Service]],Codes[],4,0),"")</f>
        <v/>
      </c>
      <c r="L28" s="30">
        <f>IF(H_Juin[[#This Row],[PNP Début]]=0,0,IF(H_Juin[[#This Row],[PNP Début]]&lt;H_Juin[[#This Row],[début]],1,0)+H_Juin[[#This Row],[PNP Début]])</f>
        <v>0</v>
      </c>
      <c r="M28" s="30">
        <f>IF(H_Juin[[#This Row],[PNP Fin]]=0,0,IF(H_Juin[[#This Row],[PNP Fin]]&lt;H_Juin[[#This Row],[début]],1,0)+H_Juin[[#This Row],[PNP Fin]])</f>
        <v>0</v>
      </c>
      <c r="N28" s="30">
        <f>IF(H_Juin[[#This Row],[Fin]]&lt;H_Juin[[#This Row],[début]],1,0)+H_Juin[[#This Row],[Fin]]</f>
        <v>0</v>
      </c>
      <c r="O28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8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0.1*(H_Juin[[#This Row],[Heures de nuit]]+IF(H_Juin[[#This Row],[majoration dim &amp; JF]]="non",0,H_Juin[[#This Row],[heures jour dimanche]]+H_Juin[[#This Row],[heures jour fériés]]))</f>
        <v>0</v>
      </c>
      <c r="J29" s="48">
        <f>(MOD(H_Juin[[#This Row],[Fin]]-H_Juin[[#This Row],[début]],1)-MOD(H_Juin[[#This Row],[PNP Fin]]-H_Juin[[#This Row],[PNP Début]],1))*24</f>
        <v>0</v>
      </c>
      <c r="K29" s="96" t="str">
        <f>IFERROR(VLOOKUP(H_Juin[[#This Row],[Service]],Codes[],4,0),"")</f>
        <v/>
      </c>
      <c r="L29" s="30">
        <f>IF(H_Juin[[#This Row],[PNP Début]]=0,0,IF(H_Juin[[#This Row],[PNP Début]]&lt;H_Juin[[#This Row],[début]],1,0)+H_Juin[[#This Row],[PNP Début]])</f>
        <v>0</v>
      </c>
      <c r="M29" s="30">
        <f>IF(H_Juin[[#This Row],[PNP Fin]]=0,0,IF(H_Juin[[#This Row],[PNP Fin]]&lt;H_Juin[[#This Row],[début]],1,0)+H_Juin[[#This Row],[PNP Fin]])</f>
        <v>0</v>
      </c>
      <c r="N29" s="30">
        <f>IF(H_Juin[[#This Row],[Fin]]&lt;H_Juin[[#This Row],[début]],1,0)+H_Juin[[#This Row],[Fin]]</f>
        <v>0</v>
      </c>
      <c r="O29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29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2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2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2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2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0.1*(H_Juin[[#This Row],[Heures de nuit]]+IF(H_Juin[[#This Row],[majoration dim &amp; JF]]="non",0,H_Juin[[#This Row],[heures jour dimanche]]+H_Juin[[#This Row],[heures jour fériés]]))</f>
        <v>0</v>
      </c>
      <c r="J30" s="48">
        <f>(MOD(H_Juin[[#This Row],[Fin]]-H_Juin[[#This Row],[début]],1)-MOD(H_Juin[[#This Row],[PNP Fin]]-H_Juin[[#This Row],[PNP Début]],1))*24</f>
        <v>0</v>
      </c>
      <c r="K30" s="96" t="str">
        <f>IFERROR(VLOOKUP(H_Juin[[#This Row],[Service]],Codes[],4,0),"")</f>
        <v/>
      </c>
      <c r="L30" s="30">
        <f>IF(H_Juin[[#This Row],[PNP Début]]=0,0,IF(H_Juin[[#This Row],[PNP Début]]&lt;H_Juin[[#This Row],[début]],1,0)+H_Juin[[#This Row],[PNP Début]])</f>
        <v>0</v>
      </c>
      <c r="M30" s="30">
        <f>IF(H_Juin[[#This Row],[PNP Fin]]=0,0,IF(H_Juin[[#This Row],[PNP Fin]]&lt;H_Juin[[#This Row],[début]],1,0)+H_Juin[[#This Row],[PNP Fin]])</f>
        <v>0</v>
      </c>
      <c r="N30" s="30">
        <f>IF(H_Juin[[#This Row],[Fin]]&lt;H_Juin[[#This Row],[début]],1,0)+H_Juin[[#This Row],[Fin]]</f>
        <v>0</v>
      </c>
      <c r="O30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0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0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0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0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0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0.1*(H_Juin[[#This Row],[Heures de nuit]]+IF(H_Juin[[#This Row],[majoration dim &amp; JF]]="non",0,H_Juin[[#This Row],[heures jour dimanche]]+H_Juin[[#This Row],[heures jour fériés]]))</f>
        <v>0</v>
      </c>
      <c r="J31" s="48">
        <f>(MOD(H_Juin[[#This Row],[Fin]]-H_Juin[[#This Row],[début]],1)-MOD(H_Juin[[#This Row],[PNP Fin]]-H_Juin[[#This Row],[PNP Début]],1))*24</f>
        <v>0</v>
      </c>
      <c r="K31" s="96" t="str">
        <f>IFERROR(VLOOKUP(H_Juin[[#This Row],[Service]],Codes[],4,0),"")</f>
        <v/>
      </c>
      <c r="L31" s="30">
        <f>IF(H_Juin[[#This Row],[PNP Début]]=0,0,IF(H_Juin[[#This Row],[PNP Début]]&lt;H_Juin[[#This Row],[début]],1,0)+H_Juin[[#This Row],[PNP Début]])</f>
        <v>0</v>
      </c>
      <c r="M31" s="30">
        <f>IF(H_Juin[[#This Row],[PNP Fin]]=0,0,IF(H_Juin[[#This Row],[PNP Fin]]&lt;H_Juin[[#This Row],[début]],1,0)+H_Juin[[#This Row],[PNP Fin]])</f>
        <v>0</v>
      </c>
      <c r="N31" s="30">
        <f>IF(H_Juin[[#This Row],[Fin]]&lt;H_Juin[[#This Row],[début]],1,0)+H_Juin[[#This Row],[Fin]]</f>
        <v>0</v>
      </c>
      <c r="O31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1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1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1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1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1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0.1*(H_Juin[[#This Row],[Heures de nuit]]+IF(H_Juin[[#This Row],[majoration dim &amp; JF]]="non",0,H_Juin[[#This Row],[heures jour dimanche]]+H_Juin[[#This Row],[heures jour fériés]]))</f>
        <v>0</v>
      </c>
      <c r="J32" s="48">
        <f>(MOD(H_Juin[[#This Row],[Fin]]-H_Juin[[#This Row],[début]],1)-MOD(H_Juin[[#This Row],[PNP Fin]]-H_Juin[[#This Row],[PNP Début]],1))*24</f>
        <v>0</v>
      </c>
      <c r="K32" s="96" t="str">
        <f>IFERROR(VLOOKUP(H_Juin[[#This Row],[Service]],Codes[],4,0),"")</f>
        <v/>
      </c>
      <c r="L32" s="30">
        <f>IF(H_Juin[[#This Row],[PNP Début]]=0,0,IF(H_Juin[[#This Row],[PNP Début]]&lt;H_Juin[[#This Row],[début]],1,0)+H_Juin[[#This Row],[PNP Début]])</f>
        <v>0</v>
      </c>
      <c r="M32" s="30">
        <f>IF(H_Juin[[#This Row],[PNP Fin]]=0,0,IF(H_Juin[[#This Row],[PNP Fin]]&lt;H_Juin[[#This Row],[début]],1,0)+H_Juin[[#This Row],[PNP Fin]])</f>
        <v>0</v>
      </c>
      <c r="N32" s="30">
        <f>IF(H_Juin[[#This Row],[Fin]]&lt;H_Juin[[#This Row],[début]],1,0)+H_Juin[[#This Row],[Fin]]</f>
        <v>0</v>
      </c>
      <c r="O32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2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0.1*(H_Juin[[#This Row],[Heures de nuit]]+IF(H_Juin[[#This Row],[majoration dim &amp; JF]]="non",0,H_Juin[[#This Row],[heures jour dimanche]]+H_Juin[[#This Row],[heures jour fériés]]))</f>
        <v>0</v>
      </c>
      <c r="J33" s="48">
        <f>(MOD(H_Juin[[#This Row],[Fin]]-H_Juin[[#This Row],[début]],1)-MOD(H_Juin[[#This Row],[PNP Fin]]-H_Juin[[#This Row],[PNP Début]],1))*24</f>
        <v>0</v>
      </c>
      <c r="K33" s="96" t="str">
        <f>IFERROR(VLOOKUP(H_Juin[[#This Row],[Service]],Codes[],4,0),"")</f>
        <v/>
      </c>
      <c r="L33" s="30">
        <f>IF(H_Juin[[#This Row],[PNP Début]]=0,0,IF(H_Juin[[#This Row],[PNP Début]]&lt;H_Juin[[#This Row],[début]],1,0)+H_Juin[[#This Row],[PNP Début]])</f>
        <v>0</v>
      </c>
      <c r="M33" s="30">
        <f>IF(H_Juin[[#This Row],[PNP Fin]]=0,0,IF(H_Juin[[#This Row],[PNP Fin]]&lt;H_Juin[[#This Row],[début]],1,0)+H_Juin[[#This Row],[PNP Fin]])</f>
        <v>0</v>
      </c>
      <c r="N33" s="30">
        <f>IF(H_Juin[[#This Row],[Fin]]&lt;H_Juin[[#This Row],[début]],1,0)+H_Juin[[#This Row],[Fin]]</f>
        <v>0</v>
      </c>
      <c r="O33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3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0.1*(H_Juin[[#This Row],[Heures de nuit]]+IF(H_Juin[[#This Row],[majoration dim &amp; JF]]="non",0,H_Juin[[#This Row],[heures jour dimanche]]+H_Juin[[#This Row],[heures jour fériés]]))</f>
        <v>0</v>
      </c>
      <c r="J34" s="48">
        <f>(MOD(H_Juin[[#This Row],[Fin]]-H_Juin[[#This Row],[début]],1)-MOD(H_Juin[[#This Row],[PNP Fin]]-H_Juin[[#This Row],[PNP Début]],1))*24</f>
        <v>0</v>
      </c>
      <c r="K34" s="96" t="str">
        <f>IFERROR(VLOOKUP(H_Juin[[#This Row],[Service]],Codes[],4,0),"")</f>
        <v/>
      </c>
      <c r="L34" s="30">
        <f>IF(H_Juin[[#This Row],[PNP Début]]=0,0,IF(H_Juin[[#This Row],[PNP Début]]&lt;H_Juin[[#This Row],[début]],1,0)+H_Juin[[#This Row],[PNP Début]])</f>
        <v>0</v>
      </c>
      <c r="M34" s="30">
        <f>IF(H_Juin[[#This Row],[PNP Fin]]=0,0,IF(H_Juin[[#This Row],[PNP Fin]]&lt;H_Juin[[#This Row],[début]],1,0)+H_Juin[[#This Row],[PNP Fin]])</f>
        <v>0</v>
      </c>
      <c r="N34" s="30">
        <f>IF(H_Juin[[#This Row],[Fin]]&lt;H_Juin[[#This Row],[début]],1,0)+H_Juin[[#This Row],[Fin]]</f>
        <v>0</v>
      </c>
      <c r="O34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4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0.1*(H_Juin[[#This Row],[Heures de nuit]]+IF(H_Juin[[#This Row],[majoration dim &amp; JF]]="non",0,H_Juin[[#This Row],[heures jour dimanche]]+H_Juin[[#This Row],[heures jour fériés]]))</f>
        <v>0</v>
      </c>
      <c r="J35" s="48">
        <f>(MOD(H_Juin[[#This Row],[Fin]]-H_Juin[[#This Row],[début]],1)-MOD(H_Juin[[#This Row],[PNP Fin]]-H_Juin[[#This Row],[PNP Début]],1))*24</f>
        <v>0</v>
      </c>
      <c r="K35" s="96" t="str">
        <f>IFERROR(VLOOKUP(H_Juin[[#This Row],[Service]],Codes[],4,0),"")</f>
        <v/>
      </c>
      <c r="L35" s="30">
        <f>IF(H_Juin[[#This Row],[PNP Début]]=0,0,IF(H_Juin[[#This Row],[PNP Début]]&lt;H_Juin[[#This Row],[début]],1,0)+H_Juin[[#This Row],[PNP Début]])</f>
        <v>0</v>
      </c>
      <c r="M35" s="30">
        <f>IF(H_Juin[[#This Row],[PNP Fin]]=0,0,IF(H_Juin[[#This Row],[PNP Fin]]&lt;H_Juin[[#This Row],[début]],1,0)+H_Juin[[#This Row],[PNP Fin]])</f>
        <v>0</v>
      </c>
      <c r="N35" s="30">
        <f>IF(H_Juin[[#This Row],[Fin]]&lt;H_Juin[[#This Row],[début]],1,0)+H_Juin[[#This Row],[Fin]]</f>
        <v>0</v>
      </c>
      <c r="O35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5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0.1*(H_Juin[[#This Row],[Heures de nuit]]+IF(H_Juin[[#This Row],[majoration dim &amp; JF]]="non",0,H_Juin[[#This Row],[heures jour dimanche]]+H_Juin[[#This Row],[heures jour fériés]]))</f>
        <v>0</v>
      </c>
      <c r="J36" s="48">
        <f>(MOD(H_Juin[[#This Row],[Fin]]-H_Juin[[#This Row],[début]],1)-MOD(H_Juin[[#This Row],[PNP Fin]]-H_Juin[[#This Row],[PNP Début]],1))*24</f>
        <v>0</v>
      </c>
      <c r="K36" s="96" t="str">
        <f>IFERROR(VLOOKUP(H_Juin[[#This Row],[Service]],Codes[],4,0),"")</f>
        <v/>
      </c>
      <c r="L36" s="30">
        <f>IF(H_Juin[[#This Row],[PNP Début]]=0,0,IF(H_Juin[[#This Row],[PNP Début]]&lt;H_Juin[[#This Row],[début]],1,0)+H_Juin[[#This Row],[PNP Début]])</f>
        <v>0</v>
      </c>
      <c r="M36" s="30">
        <f>IF(H_Juin[[#This Row],[PNP Fin]]=0,0,IF(H_Juin[[#This Row],[PNP Fin]]&lt;H_Juin[[#This Row],[début]],1,0)+H_Juin[[#This Row],[PNP Fin]])</f>
        <v>0</v>
      </c>
      <c r="N36" s="30">
        <f>IF(H_Juin[[#This Row],[Fin]]&lt;H_Juin[[#This Row],[début]],1,0)+H_Juin[[#This Row],[Fin]]</f>
        <v>0</v>
      </c>
      <c r="O36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6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0.1*(H_Juin[[#This Row],[Heures de nuit]]+IF(H_Juin[[#This Row],[majoration dim &amp; JF]]="non",0,H_Juin[[#This Row],[heures jour dimanche]]+H_Juin[[#This Row],[heures jour fériés]]))</f>
        <v>0</v>
      </c>
      <c r="J37" s="48">
        <f>(MOD(H_Juin[[#This Row],[Fin]]-H_Juin[[#This Row],[début]],1)-MOD(H_Juin[[#This Row],[PNP Fin]]-H_Juin[[#This Row],[PNP Début]],1))*24</f>
        <v>0</v>
      </c>
      <c r="K37" s="96" t="str">
        <f>IFERROR(VLOOKUP(H_Juin[[#This Row],[Service]],Codes[],4,0),"")</f>
        <v/>
      </c>
      <c r="L37" s="30">
        <f>IF(H_Juin[[#This Row],[PNP Début]]=0,0,IF(H_Juin[[#This Row],[PNP Début]]&lt;H_Juin[[#This Row],[début]],1,0)+H_Juin[[#This Row],[PNP Début]])</f>
        <v>0</v>
      </c>
      <c r="M37" s="30">
        <f>IF(H_Juin[[#This Row],[PNP Fin]]=0,0,IF(H_Juin[[#This Row],[PNP Fin]]&lt;H_Juin[[#This Row],[début]],1,0)+H_Juin[[#This Row],[PNP Fin]])</f>
        <v>0</v>
      </c>
      <c r="N37" s="30">
        <f>IF(H_Juin[[#This Row],[Fin]]&lt;H_Juin[[#This Row],[début]],1,0)+H_Juin[[#This Row],[Fin]]</f>
        <v>0</v>
      </c>
      <c r="O37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7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0.1*(H_Juin[[#This Row],[Heures de nuit]]+IF(H_Juin[[#This Row],[majoration dim &amp; JF]]="non",0,H_Juin[[#This Row],[heures jour dimanche]]+H_Juin[[#This Row],[heures jour fériés]]))</f>
        <v>0</v>
      </c>
      <c r="J38" s="48">
        <f>(MOD(H_Juin[[#This Row],[Fin]]-H_Juin[[#This Row],[début]],1)-MOD(H_Juin[[#This Row],[PNP Fin]]-H_Juin[[#This Row],[PNP Début]],1))*24</f>
        <v>0</v>
      </c>
      <c r="K38" s="96" t="str">
        <f>IFERROR(VLOOKUP(H_Juin[[#This Row],[Service]],Codes[],4,0),"")</f>
        <v/>
      </c>
      <c r="L38" s="30">
        <f>IF(H_Juin[[#This Row],[PNP Début]]=0,0,IF(H_Juin[[#This Row],[PNP Début]]&lt;H_Juin[[#This Row],[début]],1,0)+H_Juin[[#This Row],[PNP Début]])</f>
        <v>0</v>
      </c>
      <c r="M38" s="30">
        <f>IF(H_Juin[[#This Row],[PNP Fin]]=0,0,IF(H_Juin[[#This Row],[PNP Fin]]&lt;H_Juin[[#This Row],[début]],1,0)+H_Juin[[#This Row],[PNP Fin]])</f>
        <v>0</v>
      </c>
      <c r="N38" s="30">
        <f>IF(H_Juin[[#This Row],[Fin]]&lt;H_Juin[[#This Row],[début]],1,0)+H_Juin[[#This Row],[Fin]]</f>
        <v>0</v>
      </c>
      <c r="O38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8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0.1*(H_Juin[[#This Row],[Heures de nuit]]+IF(H_Juin[[#This Row],[majoration dim &amp; JF]]="non",0,H_Juin[[#This Row],[heures jour dimanche]]+H_Juin[[#This Row],[heures jour fériés]]))</f>
        <v>0</v>
      </c>
      <c r="J39" s="48">
        <f>(MOD(H_Juin[[#This Row],[Fin]]-H_Juin[[#This Row],[début]],1)-MOD(H_Juin[[#This Row],[PNP Fin]]-H_Juin[[#This Row],[PNP Début]],1))*24</f>
        <v>0</v>
      </c>
      <c r="K39" s="96" t="str">
        <f>IFERROR(VLOOKUP(H_Juin[[#This Row],[Service]],Codes[],4,0),"")</f>
        <v/>
      </c>
      <c r="L39" s="30">
        <f>IF(H_Juin[[#This Row],[PNP Début]]=0,0,IF(H_Juin[[#This Row],[PNP Début]]&lt;H_Juin[[#This Row],[début]],1,0)+H_Juin[[#This Row],[PNP Début]])</f>
        <v>0</v>
      </c>
      <c r="M39" s="30">
        <f>IF(H_Juin[[#This Row],[PNP Fin]]=0,0,IF(H_Juin[[#This Row],[PNP Fin]]&lt;H_Juin[[#This Row],[début]],1,0)+H_Juin[[#This Row],[PNP Fin]])</f>
        <v>0</v>
      </c>
      <c r="N39" s="30">
        <f>IF(H_Juin[[#This Row],[Fin]]&lt;H_Juin[[#This Row],[début]],1,0)+H_Juin[[#This Row],[Fin]]</f>
        <v>0</v>
      </c>
      <c r="O39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39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3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3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3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3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0.1*(H_Juin[[#This Row],[Heures de nuit]]+IF(H_Juin[[#This Row],[majoration dim &amp; JF]]="non",0,H_Juin[[#This Row],[heures jour dimanche]]+H_Juin[[#This Row],[heures jour fériés]]))</f>
        <v>0</v>
      </c>
      <c r="J40" s="48">
        <f>(MOD(H_Juin[[#This Row],[Fin]]-H_Juin[[#This Row],[début]],1)-MOD(H_Juin[[#This Row],[PNP Fin]]-H_Juin[[#This Row],[PNP Début]],1))*24</f>
        <v>0</v>
      </c>
      <c r="K40" s="96" t="str">
        <f>IFERROR(VLOOKUP(H_Juin[[#This Row],[Service]],Codes[],4,0),"")</f>
        <v/>
      </c>
      <c r="L40" s="30">
        <f>IF(H_Juin[[#This Row],[PNP Début]]=0,0,IF(H_Juin[[#This Row],[PNP Début]]&lt;H_Juin[[#This Row],[début]],1,0)+H_Juin[[#This Row],[PNP Début]])</f>
        <v>0</v>
      </c>
      <c r="M40" s="30">
        <f>IF(H_Juin[[#This Row],[PNP Fin]]=0,0,IF(H_Juin[[#This Row],[PNP Fin]]&lt;H_Juin[[#This Row],[début]],1,0)+H_Juin[[#This Row],[PNP Fin]])</f>
        <v>0</v>
      </c>
      <c r="N40" s="30">
        <f>IF(H_Juin[[#This Row],[Fin]]&lt;H_Juin[[#This Row],[début]],1,0)+H_Juin[[#This Row],[Fin]]</f>
        <v>0</v>
      </c>
      <c r="O40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0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0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0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0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0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0.1*(H_Juin[[#This Row],[Heures de nuit]]+IF(H_Juin[[#This Row],[majoration dim &amp; JF]]="non",0,H_Juin[[#This Row],[heures jour dimanche]]+H_Juin[[#This Row],[heures jour fériés]]))</f>
        <v>0</v>
      </c>
      <c r="J41" s="48">
        <f>(MOD(H_Juin[[#This Row],[Fin]]-H_Juin[[#This Row],[début]],1)-MOD(H_Juin[[#This Row],[PNP Fin]]-H_Juin[[#This Row],[PNP Début]],1))*24</f>
        <v>0</v>
      </c>
      <c r="K41" s="96" t="str">
        <f>IFERROR(VLOOKUP(H_Juin[[#This Row],[Service]],Codes[],4,0),"")</f>
        <v/>
      </c>
      <c r="L41" s="30">
        <f>IF(H_Juin[[#This Row],[PNP Début]]=0,0,IF(H_Juin[[#This Row],[PNP Début]]&lt;H_Juin[[#This Row],[début]],1,0)+H_Juin[[#This Row],[PNP Début]])</f>
        <v>0</v>
      </c>
      <c r="M41" s="30">
        <f>IF(H_Juin[[#This Row],[PNP Fin]]=0,0,IF(H_Juin[[#This Row],[PNP Fin]]&lt;H_Juin[[#This Row],[début]],1,0)+H_Juin[[#This Row],[PNP Fin]])</f>
        <v>0</v>
      </c>
      <c r="N41" s="30">
        <f>IF(H_Juin[[#This Row],[Fin]]&lt;H_Juin[[#This Row],[début]],1,0)+H_Juin[[#This Row],[Fin]]</f>
        <v>0</v>
      </c>
      <c r="O41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1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1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1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1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1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0.1*(H_Juin[[#This Row],[Heures de nuit]]+IF(H_Juin[[#This Row],[majoration dim &amp; JF]]="non",0,H_Juin[[#This Row],[heures jour dimanche]]+H_Juin[[#This Row],[heures jour fériés]]))</f>
        <v>0</v>
      </c>
      <c r="J42" s="48">
        <f>(MOD(H_Juin[[#This Row],[Fin]]-H_Juin[[#This Row],[début]],1)-MOD(H_Juin[[#This Row],[PNP Fin]]-H_Juin[[#This Row],[PNP Début]],1))*24</f>
        <v>0</v>
      </c>
      <c r="K42" s="96" t="str">
        <f>IFERROR(VLOOKUP(H_Juin[[#This Row],[Service]],Codes[],4,0),"")</f>
        <v/>
      </c>
      <c r="L42" s="30">
        <f>IF(H_Juin[[#This Row],[PNP Début]]=0,0,IF(H_Juin[[#This Row],[PNP Début]]&lt;H_Juin[[#This Row],[début]],1,0)+H_Juin[[#This Row],[PNP Début]])</f>
        <v>0</v>
      </c>
      <c r="M42" s="30">
        <f>IF(H_Juin[[#This Row],[PNP Fin]]=0,0,IF(H_Juin[[#This Row],[PNP Fin]]&lt;H_Juin[[#This Row],[début]],1,0)+H_Juin[[#This Row],[PNP Fin]])</f>
        <v>0</v>
      </c>
      <c r="N42" s="30">
        <f>IF(H_Juin[[#This Row],[Fin]]&lt;H_Juin[[#This Row],[début]],1,0)+H_Juin[[#This Row],[Fin]]</f>
        <v>0</v>
      </c>
      <c r="O42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2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2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2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0.1*(H_Juin[[#This Row],[Heures de nuit]]+IF(H_Juin[[#This Row],[majoration dim &amp; JF]]="non",0,H_Juin[[#This Row],[heures jour dimanche]]+H_Juin[[#This Row],[heures jour fériés]]))</f>
        <v>0</v>
      </c>
      <c r="J43" s="48">
        <f>(MOD(H_Juin[[#This Row],[Fin]]-H_Juin[[#This Row],[début]],1)-MOD(H_Juin[[#This Row],[PNP Fin]]-H_Juin[[#This Row],[PNP Début]],1))*24</f>
        <v>0</v>
      </c>
      <c r="K43" s="96" t="str">
        <f>IFERROR(VLOOKUP(H_Juin[[#This Row],[Service]],Codes[],4,0),"")</f>
        <v/>
      </c>
      <c r="L43" s="30">
        <f>IF(H_Juin[[#This Row],[PNP Début]]=0,0,IF(H_Juin[[#This Row],[PNP Début]]&lt;H_Juin[[#This Row],[début]],1,0)+H_Juin[[#This Row],[PNP Début]])</f>
        <v>0</v>
      </c>
      <c r="M43" s="30">
        <f>IF(H_Juin[[#This Row],[PNP Fin]]=0,0,IF(H_Juin[[#This Row],[PNP Fin]]&lt;H_Juin[[#This Row],[début]],1,0)+H_Juin[[#This Row],[PNP Fin]])</f>
        <v>0</v>
      </c>
      <c r="N43" s="30">
        <f>IF(H_Juin[[#This Row],[Fin]]&lt;H_Juin[[#This Row],[début]],1,0)+H_Juin[[#This Row],[Fin]]</f>
        <v>0</v>
      </c>
      <c r="O43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3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3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3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0.1*(H_Juin[[#This Row],[Heures de nuit]]+IF(H_Juin[[#This Row],[majoration dim &amp; JF]]="non",0,H_Juin[[#This Row],[heures jour dimanche]]+H_Juin[[#This Row],[heures jour fériés]]))</f>
        <v>0</v>
      </c>
      <c r="J44" s="48">
        <f>(MOD(H_Juin[[#This Row],[Fin]]-H_Juin[[#This Row],[début]],1)-MOD(H_Juin[[#This Row],[PNP Fin]]-H_Juin[[#This Row],[PNP Début]],1))*24</f>
        <v>0</v>
      </c>
      <c r="K44" s="96" t="str">
        <f>IFERROR(VLOOKUP(H_Juin[[#This Row],[Service]],Codes[],4,0),"")</f>
        <v/>
      </c>
      <c r="L44" s="30">
        <f>IF(H_Juin[[#This Row],[PNP Début]]=0,0,IF(H_Juin[[#This Row],[PNP Début]]&lt;H_Juin[[#This Row],[début]],1,0)+H_Juin[[#This Row],[PNP Début]])</f>
        <v>0</v>
      </c>
      <c r="M44" s="30">
        <f>IF(H_Juin[[#This Row],[PNP Fin]]=0,0,IF(H_Juin[[#This Row],[PNP Fin]]&lt;H_Juin[[#This Row],[début]],1,0)+H_Juin[[#This Row],[PNP Fin]])</f>
        <v>0</v>
      </c>
      <c r="N44" s="30">
        <f>IF(H_Juin[[#This Row],[Fin]]&lt;H_Juin[[#This Row],[début]],1,0)+H_Juin[[#This Row],[Fin]]</f>
        <v>0</v>
      </c>
      <c r="O44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4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4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4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0.1*(H_Juin[[#This Row],[Heures de nuit]]+IF(H_Juin[[#This Row],[majoration dim &amp; JF]]="non",0,H_Juin[[#This Row],[heures jour dimanche]]+H_Juin[[#This Row],[heures jour fériés]]))</f>
        <v>0</v>
      </c>
      <c r="J45" s="48">
        <f>(MOD(H_Juin[[#This Row],[Fin]]-H_Juin[[#This Row],[début]],1)-MOD(H_Juin[[#This Row],[PNP Fin]]-H_Juin[[#This Row],[PNP Début]],1))*24</f>
        <v>0</v>
      </c>
      <c r="K45" s="96" t="str">
        <f>IFERROR(VLOOKUP(H_Juin[[#This Row],[Service]],Codes[],4,0),"")</f>
        <v/>
      </c>
      <c r="L45" s="30">
        <f>IF(H_Juin[[#This Row],[PNP Début]]=0,0,IF(H_Juin[[#This Row],[PNP Début]]&lt;H_Juin[[#This Row],[début]],1,0)+H_Juin[[#This Row],[PNP Début]])</f>
        <v>0</v>
      </c>
      <c r="M45" s="30">
        <f>IF(H_Juin[[#This Row],[PNP Fin]]=0,0,IF(H_Juin[[#This Row],[PNP Fin]]&lt;H_Juin[[#This Row],[début]],1,0)+H_Juin[[#This Row],[PNP Fin]])</f>
        <v>0</v>
      </c>
      <c r="N45" s="30">
        <f>IF(H_Juin[[#This Row],[Fin]]&lt;H_Juin[[#This Row],[début]],1,0)+H_Juin[[#This Row],[Fin]]</f>
        <v>0</v>
      </c>
      <c r="O45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5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5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5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0.1*(H_Juin[[#This Row],[Heures de nuit]]+IF(H_Juin[[#This Row],[majoration dim &amp; JF]]="non",0,H_Juin[[#This Row],[heures jour dimanche]]+H_Juin[[#This Row],[heures jour fériés]]))</f>
        <v>0</v>
      </c>
      <c r="J46" s="48">
        <f>(MOD(H_Juin[[#This Row],[Fin]]-H_Juin[[#This Row],[début]],1)-MOD(H_Juin[[#This Row],[PNP Fin]]-H_Juin[[#This Row],[PNP Début]],1))*24</f>
        <v>0</v>
      </c>
      <c r="K46" s="96" t="str">
        <f>IFERROR(VLOOKUP(H_Juin[[#This Row],[Service]],Codes[],4,0),"")</f>
        <v/>
      </c>
      <c r="L46" s="30">
        <f>IF(H_Juin[[#This Row],[PNP Début]]=0,0,IF(H_Juin[[#This Row],[PNP Début]]&lt;H_Juin[[#This Row],[début]],1,0)+H_Juin[[#This Row],[PNP Début]])</f>
        <v>0</v>
      </c>
      <c r="M46" s="30">
        <f>IF(H_Juin[[#This Row],[PNP Fin]]=0,0,IF(H_Juin[[#This Row],[PNP Fin]]&lt;H_Juin[[#This Row],[début]],1,0)+H_Juin[[#This Row],[PNP Fin]])</f>
        <v>0</v>
      </c>
      <c r="N46" s="30">
        <f>IF(H_Juin[[#This Row],[Fin]]&lt;H_Juin[[#This Row],[début]],1,0)+H_Juin[[#This Row],[Fin]]</f>
        <v>0</v>
      </c>
      <c r="O46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6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6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6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0.1*(H_Juin[[#This Row],[Heures de nuit]]+IF(H_Juin[[#This Row],[majoration dim &amp; JF]]="non",0,H_Juin[[#This Row],[heures jour dimanche]]+H_Juin[[#This Row],[heures jour fériés]]))</f>
        <v>0</v>
      </c>
      <c r="J47" s="48">
        <f>(MOD(H_Juin[[#This Row],[Fin]]-H_Juin[[#This Row],[début]],1)-MOD(H_Juin[[#This Row],[PNP Fin]]-H_Juin[[#This Row],[PNP Début]],1))*24</f>
        <v>0</v>
      </c>
      <c r="K47" s="96" t="str">
        <f>IFERROR(VLOOKUP(H_Juin[[#This Row],[Service]],Codes[],4,0),"")</f>
        <v/>
      </c>
      <c r="L47" s="30">
        <f>IF(H_Juin[[#This Row],[PNP Début]]=0,0,IF(H_Juin[[#This Row],[PNP Début]]&lt;H_Juin[[#This Row],[début]],1,0)+H_Juin[[#This Row],[PNP Début]])</f>
        <v>0</v>
      </c>
      <c r="M47" s="30">
        <f>IF(H_Juin[[#This Row],[PNP Fin]]=0,0,IF(H_Juin[[#This Row],[PNP Fin]]&lt;H_Juin[[#This Row],[début]],1,0)+H_Juin[[#This Row],[PNP Fin]])</f>
        <v>0</v>
      </c>
      <c r="N47" s="30">
        <f>IF(H_Juin[[#This Row],[Fin]]&lt;H_Juin[[#This Row],[début]],1,0)+H_Juin[[#This Row],[Fin]]</f>
        <v>0</v>
      </c>
      <c r="O47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7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7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7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0.1*(H_Juin[[#This Row],[Heures de nuit]]+IF(H_Juin[[#This Row],[majoration dim &amp; JF]]="non",0,H_Juin[[#This Row],[heures jour dimanche]]+H_Juin[[#This Row],[heures jour fériés]]))</f>
        <v>0</v>
      </c>
      <c r="J48" s="48">
        <f>(MOD(H_Juin[[#This Row],[Fin]]-H_Juin[[#This Row],[début]],1)-MOD(H_Juin[[#This Row],[PNP Fin]]-H_Juin[[#This Row],[PNP Début]],1))*24</f>
        <v>0</v>
      </c>
      <c r="K48" s="96" t="str">
        <f>IFERROR(VLOOKUP(H_Juin[[#This Row],[Service]],Codes[],4,0),"")</f>
        <v/>
      </c>
      <c r="L48" s="30">
        <f>IF(H_Juin[[#This Row],[PNP Début]]=0,0,IF(H_Juin[[#This Row],[PNP Début]]&lt;H_Juin[[#This Row],[début]],1,0)+H_Juin[[#This Row],[PNP Début]])</f>
        <v>0</v>
      </c>
      <c r="M48" s="30">
        <f>IF(H_Juin[[#This Row],[PNP Fin]]=0,0,IF(H_Juin[[#This Row],[PNP Fin]]&lt;H_Juin[[#This Row],[début]],1,0)+H_Juin[[#This Row],[PNP Fin]])</f>
        <v>0</v>
      </c>
      <c r="N48" s="30">
        <f>IF(H_Juin[[#This Row],[Fin]]&lt;H_Juin[[#This Row],[début]],1,0)+H_Juin[[#This Row],[Fin]]</f>
        <v>0</v>
      </c>
      <c r="O48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8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8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8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0.1*(H_Juin[[#This Row],[Heures de nuit]]+IF(H_Juin[[#This Row],[majoration dim &amp; JF]]="non",0,H_Juin[[#This Row],[heures jour dimanche]]+H_Juin[[#This Row],[heures jour fériés]]))</f>
        <v>0</v>
      </c>
      <c r="J49" s="48">
        <f>(MOD(H_Juin[[#This Row],[Fin]]-H_Juin[[#This Row],[début]],1)-MOD(H_Juin[[#This Row],[PNP Fin]]-H_Juin[[#This Row],[PNP Début]],1))*24</f>
        <v>0</v>
      </c>
      <c r="K49" s="96" t="str">
        <f>IFERROR(VLOOKUP(H_Juin[[#This Row],[Service]],Codes[],4,0),"")</f>
        <v/>
      </c>
      <c r="L49" s="30">
        <f>IF(H_Juin[[#This Row],[PNP Début]]=0,0,IF(H_Juin[[#This Row],[PNP Début]]&lt;H_Juin[[#This Row],[début]],1,0)+H_Juin[[#This Row],[PNP Début]])</f>
        <v>0</v>
      </c>
      <c r="M49" s="30">
        <f>IF(H_Juin[[#This Row],[PNP Fin]]=0,0,IF(H_Juin[[#This Row],[PNP Fin]]&lt;H_Juin[[#This Row],[début]],1,0)+H_Juin[[#This Row],[PNP Fin]])</f>
        <v>0</v>
      </c>
      <c r="N49" s="30">
        <f>IF(H_Juin[[#This Row],[Fin]]&lt;H_Juin[[#This Row],[début]],1,0)+H_Juin[[#This Row],[Fin]]</f>
        <v>0</v>
      </c>
      <c r="O49" s="31">
        <f>IF(H_Juin[[#This Row],[Fin]]&lt;H_Juin[[#This Row],[début]],MAX(0,MIN(H_Juin[[#This Row],[Fin corrigée si nuit]],fin_nuit)-MAX(H_Juin[[#This Row],[début]],deb_nuit))*24,(MAX(deb_nuit,H_Juin[[#This Row],[Fin]])-MAX(deb_nuit,H_Juin[[#This Row],[début]])+MAX(MIN(fin_nuit-1,H_Juin[[#This Row],[Fin]])-MIN(fin_nuit-1,H_Juin[[#This Row],[début]]),0))*24)</f>
        <v>0</v>
      </c>
      <c r="P49" s="159">
        <f>(MAX(0,MIN(H_Juin[[#This Row],[Fin corrigée si nuit]],fin_nuit)-MAX(H_Juin[[#This Row],[début]],deb_nuit))-IF(H_Juin[[#This Row],[PNP Début]]=0,0,MIN(H_Juin[[#This Row],[PNP Fin corrigée]],fin_nuit)-MAX(H_Juin[[#This Row],[PNP Début corrigé]],deb_nuit)))*24</f>
        <v>0</v>
      </c>
      <c r="Q4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</f>
        <v>0</v>
      </c>
      <c r="R49" s="159">
        <f>(IF(WEEKDAY(H_Juin[[#This Row],[Date]],2)=7,MAX(0,MIN(fin_dimJF,H_Juin[[#This Row],[Fin corrigée si nuit]])-MAX(deb_dimJF,H_Juin[[#This Row],[début]])),0)+IF(WEEKDAY(H_Juin[[#This Row],[Date]],2)=6,MAX(0,H_Juin[[#This Row],[Fin corrigée si nuit]]-(1+deb_dimJF)),0))*24-
(IF(WEEKDAY(H_Juin[[#This Row],[Date]],2)=7,MAX(0,MIN(fin_dimJF,H_Juin[[#This Row],[PNP Fin corrigée]])-MAX(deb_dimJF,H_Juin[[#This Row],[PNP Début corrigé]])),0)+IF(WEEKDAY(H_Juin[[#This Row],[Date]],2)=6,MAX(0,H_Juin[[#This Row],[PNP Fin corrigée]]-(1+deb_dimJF)),0))*24</f>
        <v>0</v>
      </c>
      <c r="S4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</f>
        <v>0</v>
      </c>
      <c r="T49" s="159">
        <f>(IF(COUNTIF(JF,H_Juin[[#This Row],[Date]]),MAX(0,MIN(fin_dimJF,H_Juin[[#This Row],[Fin corrigée si nuit]])-MAX(deb_dimJF,H_Juin[[#This Row],[début]])),0)+IF(COUNTIF(JF,H_Juin[[#This Row],[Date]]+1),MAX(0,H_Juin[[#This Row],[Fin corrigée si nuit]]-(1+deb_dimJF)),0))*24-
(IF(COUNTIF(JF,H_Juin[[#This Row],[Date]]),MAX(0,MIN(fin_dimJF,H_Juin[[#This Row],[PNP Fin corrigée]])-MAX(deb_dimJF,H_Juin[[#This Row],[PNP Début corrigé]])),0)+IF(COUNTIF(JF,H_Juin[[#This Row],[Date]]+1),MAX(0,H_Juin[[#This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SUM(H_Juin[Majoration])</f>
        <v>0</v>
      </c>
      <c r="J50" s="54">
        <f>SUM(H_Juin[Heures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181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:K5" xr:uid="{00000000-0002-0000-0800-000000000000}">
      <formula1>42736</formula1>
    </dataValidation>
    <dataValidation type="time" allowBlank="1" showInputMessage="1" showErrorMessage="1" error="Tapez les heures sous le format_x000a_00:00" sqref="C13:H49" xr:uid="{00000000-0002-0000-08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8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print="0" autoLine="0" r:id="rId5">
            <anchor moveWithCells="1">
              <from>
                <xdr:col>9</xdr:col>
                <xdr:colOff>480060</xdr:colOff>
                <xdr:row>0</xdr:row>
                <xdr:rowOff>83820</xdr:rowOff>
              </from>
              <to>
                <xdr:col>9</xdr:col>
                <xdr:colOff>1272540</xdr:colOff>
                <xdr:row>3</xdr:row>
                <xdr:rowOff>198120</xdr:rowOff>
              </to>
            </anchor>
          </controlPr>
        </control>
      </mc:Choice>
      <mc:Fallback>
        <control shapeId="921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8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Z60"/>
  <sheetViews>
    <sheetView topLeftCell="A8" zoomScale="80" zoomScaleNormal="80" zoomScalePageLayoutView="55" workbookViewId="0">
      <selection activeCell="V23" sqref="V23:W23"/>
    </sheetView>
  </sheetViews>
  <sheetFormatPr baseColWidth="10" defaultRowHeight="14.4" x14ac:dyDescent="0.3"/>
  <cols>
    <col min="1" max="1" width="20.1093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29.4414062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Juillet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0.1*(H_Juil[[#This Row],[Heures de nuit]]+IF(H_Juil[[#This Row],[majoration dim &amp; JF]]="non",0,H_Juil[[#This Row],[heures jour dimanche]]+H_Juil[[#This Row],[heures jour fériés]]))</f>
        <v>0</v>
      </c>
      <c r="J13" s="29">
        <f>(MOD(H_Juil[[#This Row],[Fin]]-H_Juil[[#This Row],[début]],1)-MOD(H_Juil[[#This Row],[PNP Fin]]-H_Juil[[#This Row],[PNP Début]],1))*24</f>
        <v>0</v>
      </c>
      <c r="K13" s="29" t="str">
        <f>IFERROR(VLOOKUP(H_Juil[[#This Row],[Service]],Codes[],4,0),"")</f>
        <v/>
      </c>
      <c r="L13" s="30">
        <f>IF(H_Juil[[#This Row],[PNP Début]]=0,0,IF(H_Juil[[#This Row],[PNP Début]]&lt;H_Juil[[#This Row],[début]],1,0)+H_Juil[[#This Row],[PNP Début]])</f>
        <v>0</v>
      </c>
      <c r="M13" s="30">
        <f>IF(H_Juil[[#This Row],[PNP Fin]]=0,0,IF(H_Juil[[#This Row],[PNP Fin]]&lt;H_Juil[[#This Row],[début]],1,0)+H_Juil[[#This Row],[PNP Fin]])</f>
        <v>0</v>
      </c>
      <c r="N13" s="30">
        <f>IF(H_Juil[[#This Row],[Fin]]&lt;H_Juil[[#This Row],[début]],1,0)+H_Juil[[#This Row],[Fin]]</f>
        <v>0</v>
      </c>
      <c r="O13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3" s="3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3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3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3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3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0.1*(H_Juil[[#This Row],[Heures de nuit]]+IF(H_Juil[[#This Row],[majoration dim &amp; JF]]="non",0,H_Juil[[#This Row],[heures jour dimanche]]+H_Juil[[#This Row],[heures jour fériés]]))</f>
        <v>0</v>
      </c>
      <c r="J14" s="29">
        <f>(MOD(H_Juil[[#This Row],[Fin]]-H_Juil[[#This Row],[début]],1)-MOD(H_Juil[[#This Row],[PNP Fin]]-H_Juil[[#This Row],[PNP Début]],1))*24</f>
        <v>0</v>
      </c>
      <c r="K14" s="29" t="str">
        <f>IFERROR(VLOOKUP(H_Juil[[#This Row],[Service]],Codes[],4,0),"")</f>
        <v/>
      </c>
      <c r="L14" s="30">
        <f>IF(H_Juil[[#This Row],[PNP Début]]=0,0,IF(H_Juil[[#This Row],[PNP Début]]&lt;H_Juil[[#This Row],[début]],1,0)+H_Juil[[#This Row],[PNP Début]])</f>
        <v>0</v>
      </c>
      <c r="M14" s="30">
        <f>IF(H_Juil[[#This Row],[PNP Fin]]=0,0,IF(H_Juil[[#This Row],[PNP Fin]]&lt;H_Juil[[#This Row],[début]],1,0)+H_Juil[[#This Row],[PNP Fin]])</f>
        <v>0</v>
      </c>
      <c r="N14" s="30">
        <f>IF(H_Juil[[#This Row],[Fin]]&lt;H_Juil[[#This Row],[début]],1,0)+H_Juil[[#This Row],[Fin]]</f>
        <v>0</v>
      </c>
      <c r="O14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4" s="3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4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4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4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4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0.1*(H_Juil[[#This Row],[Heures de nuit]]+IF(H_Juil[[#This Row],[majoration dim &amp; JF]]="non",0,H_Juil[[#This Row],[heures jour dimanche]]+H_Juil[[#This Row],[heures jour fériés]]))</f>
        <v>0</v>
      </c>
      <c r="J15" s="29">
        <f>(MOD(H_Juil[[#This Row],[Fin]]-H_Juil[[#This Row],[début]],1)-MOD(H_Juil[[#This Row],[PNP Fin]]-H_Juil[[#This Row],[PNP Début]],1))*24</f>
        <v>0</v>
      </c>
      <c r="K15" s="29" t="str">
        <f>IFERROR(VLOOKUP(H_Juil[[#This Row],[Service]],Codes[],4,0),"")</f>
        <v/>
      </c>
      <c r="L15" s="30">
        <f>IF(H_Juil[[#This Row],[PNP Début]]=0,0,IF(H_Juil[[#This Row],[PNP Début]]&lt;H_Juil[[#This Row],[début]],1,0)+H_Juil[[#This Row],[PNP Début]])</f>
        <v>0</v>
      </c>
      <c r="M15" s="30">
        <f>IF(H_Juil[[#This Row],[PNP Fin]]=0,0,IF(H_Juil[[#This Row],[PNP Fin]]&lt;H_Juil[[#This Row],[début]],1,0)+H_Juil[[#This Row],[PNP Fin]])</f>
        <v>0</v>
      </c>
      <c r="N15" s="30">
        <f>IF(H_Juil[[#This Row],[Fin]]&lt;H_Juil[[#This Row],[début]],1,0)+H_Juil[[#This Row],[Fin]]</f>
        <v>0</v>
      </c>
      <c r="O15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5" s="3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5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5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5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5" s="32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0.1*(H_Juil[[#This Row],[Heures de nuit]]+IF(H_Juil[[#This Row],[majoration dim &amp; JF]]="non",0,H_Juil[[#This Row],[heures jour dimanche]]+H_Juil[[#This Row],[heures jour fériés]]))</f>
        <v>0</v>
      </c>
      <c r="J16" s="33">
        <f>(MOD(H_Juil[[#This Row],[Fin]]-H_Juil[[#This Row],[début]],1)-MOD(H_Juil[[#This Row],[PNP Fin]]-H_Juil[[#This Row],[PNP Début]],1))*24</f>
        <v>0</v>
      </c>
      <c r="K16" s="33" t="str">
        <f>IFERROR(VLOOKUP(H_Juil[[#This Row],[Service]],Codes[],4,0),"")</f>
        <v/>
      </c>
      <c r="L16" s="30">
        <f>IF(H_Juil[[#This Row],[PNP Début]]=0,0,IF(H_Juil[[#This Row],[PNP Début]]&lt;H_Juil[[#This Row],[début]],1,0)+H_Juil[[#This Row],[PNP Début]])</f>
        <v>0</v>
      </c>
      <c r="M16" s="30">
        <f>IF(H_Juil[[#This Row],[PNP Fin]]=0,0,IF(H_Juil[[#This Row],[PNP Fin]]&lt;H_Juil[[#This Row],[début]],1,0)+H_Juil[[#This Row],[PNP Fin]])</f>
        <v>0</v>
      </c>
      <c r="N16" s="34">
        <f>IF(H_Juil[[#This Row],[Fin]]&lt;H_Juil[[#This Row],[début]],1,0)+H_Juil[[#This Row],[Fin]]</f>
        <v>0</v>
      </c>
      <c r="O16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6" s="35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6" s="35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6" s="3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6" s="36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6" s="36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16" s="104" t="s">
        <v>116</v>
      </c>
      <c r="W16" s="105">
        <f>'Juin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0.1*(H_Juil[[#This Row],[Heures de nuit]]+IF(H_Juil[[#This Row],[majoration dim &amp; JF]]="non",0,H_Juil[[#This Row],[heures jour dimanche]]+H_Juil[[#This Row],[heures jour fériés]]))</f>
        <v>0</v>
      </c>
      <c r="J17" s="38">
        <f>(MOD(H_Juil[[#This Row],[Fin]]-H_Juil[[#This Row],[début]],1)-MOD(H_Juil[[#This Row],[PNP Fin]]-H_Juil[[#This Row],[PNP Début]],1))*24</f>
        <v>0</v>
      </c>
      <c r="K17" s="99" t="str">
        <f>IFERROR(VLOOKUP(H_Juil[[#This Row],[Service]],Codes[],4,0),"")</f>
        <v/>
      </c>
      <c r="L17" s="39">
        <f>IF(H_Juil[[#This Row],[PNP Début]]=0,0,IF(H_Juil[[#This Row],[PNP Début]]&lt;H_Juil[[#This Row],[début]],1,0)+H_Juil[[#This Row],[PNP Début]])</f>
        <v>0</v>
      </c>
      <c r="M17" s="40">
        <f>IF(H_Juil[[#This Row],[PNP Fin]]=0,0,IF(H_Juil[[#This Row],[PNP Fin]]&lt;H_Juil[[#This Row],[début]],1,0)+H_Juil[[#This Row],[PNP Fin]])</f>
        <v>0</v>
      </c>
      <c r="N17" s="40">
        <f>IF(H_Juil[[#This Row],[Fin]]&lt;H_Juil[[#This Row],[début]],1,0)+H_Juil[[#This Row],[Fin]]</f>
        <v>0</v>
      </c>
      <c r="O17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7" s="4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7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7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7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7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0.1*(H_Juil[[#This Row],[Heures de nuit]]+IF(H_Juil[[#This Row],[majoration dim &amp; JF]]="non",0,H_Juil[[#This Row],[heures jour dimanche]]+H_Juil[[#This Row],[heures jour fériés]]))</f>
        <v>0</v>
      </c>
      <c r="J18" s="38">
        <f>(MOD(H_Juil[[#This Row],[Fin]]-H_Juil[[#This Row],[début]],1)-MOD(H_Juil[[#This Row],[PNP Fin]]-H_Juil[[#This Row],[PNP Début]],1))*24</f>
        <v>0</v>
      </c>
      <c r="K18" s="99" t="str">
        <f>IFERROR(VLOOKUP(H_Juil[[#This Row],[Service]],Codes[],4,0),"")</f>
        <v/>
      </c>
      <c r="L18" s="39">
        <f>IF(H_Juil[[#This Row],[PNP Début]]=0,0,IF(H_Juil[[#This Row],[PNP Début]]&lt;H_Juil[[#This Row],[début]],1,0)+H_Juil[[#This Row],[PNP Début]])</f>
        <v>0</v>
      </c>
      <c r="M18" s="40">
        <f>IF(H_Juil[[#This Row],[PNP Fin]]=0,0,IF(H_Juil[[#This Row],[PNP Fin]]&lt;H_Juil[[#This Row],[début]],1,0)+H_Juil[[#This Row],[PNP Fin]])</f>
        <v>0</v>
      </c>
      <c r="N18" s="40">
        <f>IF(H_Juil[[#This Row],[Fin]]&lt;H_Juil[[#This Row],[début]],1,0)+H_Juil[[#This Row],[Fin]]</f>
        <v>0</v>
      </c>
      <c r="O18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8" s="4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8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8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8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8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0.1*(H_Juil[[#This Row],[Heures de nuit]]+IF(H_Juil[[#This Row],[majoration dim &amp; JF]]="non",0,H_Juil[[#This Row],[heures jour dimanche]]+H_Juil[[#This Row],[heures jour fériés]]))</f>
        <v>0</v>
      </c>
      <c r="J19" s="38">
        <f>(MOD(H_Juil[[#This Row],[Fin]]-H_Juil[[#This Row],[début]],1)-MOD(H_Juil[[#This Row],[PNP Fin]]-H_Juil[[#This Row],[PNP Début]],1))*24</f>
        <v>0</v>
      </c>
      <c r="K19" s="99" t="str">
        <f>IFERROR(VLOOKUP(H_Juil[[#This Row],[Service]],Codes[],4,0),"")</f>
        <v/>
      </c>
      <c r="L19" s="39">
        <f>IF(H_Juil[[#This Row],[PNP Début]]=0,0,IF(H_Juil[[#This Row],[PNP Début]]&lt;H_Juil[[#This Row],[début]],1,0)+H_Juil[[#This Row],[PNP Début]])</f>
        <v>0</v>
      </c>
      <c r="M19" s="40">
        <f>IF(H_Juil[[#This Row],[PNP Fin]]=0,0,IF(H_Juil[[#This Row],[PNP Fin]]&lt;H_Juil[[#This Row],[début]],1,0)+H_Juil[[#This Row],[PNP Fin]])</f>
        <v>0</v>
      </c>
      <c r="N19" s="40">
        <f>IF(H_Juil[[#This Row],[Fin]]&lt;H_Juil[[#This Row],[début]],1,0)+H_Juil[[#This Row],[Fin]]</f>
        <v>0</v>
      </c>
      <c r="O19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19" s="4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19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19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19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19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0.1*(H_Juil[[#This Row],[Heures de nuit]]+IF(H_Juil[[#This Row],[majoration dim &amp; JF]]="non",0,H_Juil[[#This Row],[heures jour dimanche]]+H_Juil[[#This Row],[heures jour fériés]]))</f>
        <v>0</v>
      </c>
      <c r="J20" s="38">
        <f>(MOD(H_Juil[[#This Row],[Fin]]-H_Juil[[#This Row],[début]],1)-MOD(H_Juil[[#This Row],[PNP Fin]]-H_Juil[[#This Row],[PNP Début]],1))*24</f>
        <v>0</v>
      </c>
      <c r="K20" s="99" t="str">
        <f>IFERROR(VLOOKUP(H_Juil[[#This Row],[Service]],Codes[],4,0),"")</f>
        <v/>
      </c>
      <c r="L20" s="39">
        <f>IF(H_Juil[[#This Row],[PNP Début]]=0,0,IF(H_Juil[[#This Row],[PNP Début]]&lt;H_Juil[[#This Row],[début]],1,0)+H_Juil[[#This Row],[PNP Début]])</f>
        <v>0</v>
      </c>
      <c r="M20" s="40">
        <f>IF(H_Juil[[#This Row],[PNP Fin]]=0,0,IF(H_Juil[[#This Row],[PNP Fin]]&lt;H_Juil[[#This Row],[début]],1,0)+H_Juil[[#This Row],[PNP Fin]])</f>
        <v>0</v>
      </c>
      <c r="N20" s="40">
        <f>IF(H_Juil[[#This Row],[Fin]]&lt;H_Juil[[#This Row],[début]],1,0)+H_Juil[[#This Row],[Fin]]</f>
        <v>0</v>
      </c>
      <c r="O20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0" s="4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0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0" s="4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0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0" s="4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0.1*(H_Juil[[#This Row],[Heures de nuit]]+IF(H_Juil[[#This Row],[majoration dim &amp; JF]]="non",0,H_Juil[[#This Row],[heures jour dimanche]]+H_Juil[[#This Row],[heures jour fériés]]))</f>
        <v>0</v>
      </c>
      <c r="J21" s="43">
        <f>(MOD(H_Juil[[#This Row],[Fin]]-H_Juil[[#This Row],[début]],1)-MOD(H_Juil[[#This Row],[PNP Fin]]-H_Juil[[#This Row],[PNP Début]],1))*24</f>
        <v>0</v>
      </c>
      <c r="K21" s="100" t="str">
        <f>IFERROR(VLOOKUP(H_Juil[[#This Row],[Service]],Codes[],4,0),"")</f>
        <v/>
      </c>
      <c r="L21" s="44">
        <f>IF(H_Juil[[#This Row],[PNP Début]]=0,0,IF(H_Juil[[#This Row],[PNP Début]]&lt;H_Juil[[#This Row],[début]],1,0)+H_Juil[[#This Row],[PNP Début]])</f>
        <v>0</v>
      </c>
      <c r="M21" s="45">
        <f>IF(H_Juil[[#This Row],[PNP Fin]]=0,0,IF(H_Juil[[#This Row],[PNP Fin]]&lt;H_Juil[[#This Row],[début]],1,0)+H_Juil[[#This Row],[PNP Fin]])</f>
        <v>0</v>
      </c>
      <c r="N21" s="45">
        <f>IF(H_Juil[[#This Row],[Fin]]&lt;H_Juil[[#This Row],[début]],1,0)+H_Juil[[#This Row],[Fin]]</f>
        <v>0</v>
      </c>
      <c r="O21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1" s="46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1" s="46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1" s="46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1" s="46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1" s="46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0.1*(H_Juil[[#This Row],[Heures de nuit]]+IF(H_Juil[[#This Row],[majoration dim &amp; JF]]="non",0,H_Juil[[#This Row],[heures jour dimanche]]+H_Juil[[#This Row],[heures jour fériés]]))</f>
        <v>0</v>
      </c>
      <c r="J22" s="48">
        <f>(MOD(H_Juil[[#This Row],[Fin]]-H_Juil[[#This Row],[début]],1)-MOD(H_Juil[[#This Row],[PNP Fin]]-H_Juil[[#This Row],[PNP Début]],1))*24</f>
        <v>0</v>
      </c>
      <c r="K22" s="96" t="str">
        <f>IFERROR(VLOOKUP(H_Juil[[#This Row],[Service]],Codes[],4,0),"")</f>
        <v/>
      </c>
      <c r="L22" s="49">
        <f>IF(H_Juil[[#This Row],[PNP Début]]=0,0,IF(H_Juil[[#This Row],[PNP Début]]&lt;H_Juil[[#This Row],[début]],1,0)+H_Juil[[#This Row],[PNP Début]])</f>
        <v>0</v>
      </c>
      <c r="M22" s="50">
        <f>IF(H_Juil[[#This Row],[PNP Fin]]=0,0,IF(H_Juil[[#This Row],[PNP Fin]]&lt;H_Juil[[#This Row],[début]],1,0)+H_Juil[[#This Row],[PNP Fin]])</f>
        <v>0</v>
      </c>
      <c r="N22" s="50">
        <f>IF(H_Juil[[#This Row],[Fin]]&lt;H_Juil[[#This Row],[début]],1,0)+H_Juil[[#This Row],[Fin]]</f>
        <v>0</v>
      </c>
      <c r="O22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2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0.1*(H_Juil[[#This Row],[Heures de nuit]]+IF(H_Juil[[#This Row],[majoration dim &amp; JF]]="non",0,H_Juil[[#This Row],[heures jour dimanche]]+H_Juil[[#This Row],[heures jour fériés]]))</f>
        <v>0</v>
      </c>
      <c r="J23" s="48">
        <f>(MOD(H_Juil[[#This Row],[Fin]]-H_Juil[[#This Row],[début]],1)-MOD(H_Juil[[#This Row],[PNP Fin]]-H_Juil[[#This Row],[PNP Début]],1))*24</f>
        <v>0</v>
      </c>
      <c r="K23" s="96" t="str">
        <f>IFERROR(VLOOKUP(H_Juil[[#This Row],[Service]],Codes[],4,0),"")</f>
        <v/>
      </c>
      <c r="L23" s="49">
        <f>IF(H_Juil[[#This Row],[PNP Début]]=0,0,IF(H_Juil[[#This Row],[PNP Début]]&lt;H_Juil[[#This Row],[début]],1,0)+H_Juil[[#This Row],[PNP Début]])</f>
        <v>0</v>
      </c>
      <c r="M23" s="50">
        <f>IF(H_Juil[[#This Row],[PNP Fin]]=0,0,IF(H_Juil[[#This Row],[PNP Fin]]&lt;H_Juil[[#This Row],[début]],1,0)+H_Juil[[#This Row],[PNP Fin]])</f>
        <v>0</v>
      </c>
      <c r="N23" s="50">
        <f>IF(H_Juil[[#This Row],[Fin]]&lt;H_Juil[[#This Row],[début]],1,0)+H_Juil[[#This Row],[Fin]]</f>
        <v>0</v>
      </c>
      <c r="O23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3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0.1*(H_Juil[[#This Row],[Heures de nuit]]+IF(H_Juil[[#This Row],[majoration dim &amp; JF]]="non",0,H_Juil[[#This Row],[heures jour dimanche]]+H_Juil[[#This Row],[heures jour fériés]]))</f>
        <v>0</v>
      </c>
      <c r="J24" s="48">
        <f>(MOD(H_Juil[[#This Row],[Fin]]-H_Juil[[#This Row],[début]],1)-MOD(H_Juil[[#This Row],[PNP Fin]]-H_Juil[[#This Row],[PNP Début]],1))*24</f>
        <v>0</v>
      </c>
      <c r="K24" s="96" t="str">
        <f>IFERROR(VLOOKUP(H_Juil[[#This Row],[Service]],Codes[],4,0),"")</f>
        <v/>
      </c>
      <c r="L24" s="49">
        <f>IF(H_Juil[[#This Row],[PNP Début]]=0,0,IF(H_Juil[[#This Row],[PNP Début]]&lt;H_Juil[[#This Row],[début]],1,0)+H_Juil[[#This Row],[PNP Début]])</f>
        <v>0</v>
      </c>
      <c r="M24" s="50">
        <f>IF(H_Juil[[#This Row],[PNP Fin]]=0,0,IF(H_Juil[[#This Row],[PNP Fin]]&lt;H_Juil[[#This Row],[début]],1,0)+H_Juil[[#This Row],[PNP Fin]])</f>
        <v>0</v>
      </c>
      <c r="N24" s="50">
        <f>IF(H_Juil[[#This Row],[Fin]]&lt;H_Juil[[#This Row],[début]],1,0)+H_Juil[[#This Row],[Fin]]</f>
        <v>0</v>
      </c>
      <c r="O24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4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0.1*(H_Juil[[#This Row],[Heures de nuit]]+IF(H_Juil[[#This Row],[majoration dim &amp; JF]]="non",0,H_Juil[[#This Row],[heures jour dimanche]]+H_Juil[[#This Row],[heures jour fériés]]))</f>
        <v>0</v>
      </c>
      <c r="J25" s="48">
        <f>(MOD(H_Juil[[#This Row],[Fin]]-H_Juil[[#This Row],[début]],1)-MOD(H_Juil[[#This Row],[PNP Fin]]-H_Juil[[#This Row],[PNP Début]],1))*24</f>
        <v>0</v>
      </c>
      <c r="K25" s="96" t="str">
        <f>IFERROR(VLOOKUP(H_Juil[[#This Row],[Service]],Codes[],4,0),"")</f>
        <v/>
      </c>
      <c r="L25" s="49">
        <f>IF(H_Juil[[#This Row],[PNP Début]]=0,0,IF(H_Juil[[#This Row],[PNP Début]]&lt;H_Juil[[#This Row],[début]],1,0)+H_Juil[[#This Row],[PNP Début]])</f>
        <v>0</v>
      </c>
      <c r="M25" s="50">
        <f>IF(H_Juil[[#This Row],[PNP Fin]]=0,0,IF(H_Juil[[#This Row],[PNP Fin]]&lt;H_Juil[[#This Row],[début]],1,0)+H_Juil[[#This Row],[PNP Fin]])</f>
        <v>0</v>
      </c>
      <c r="N25" s="50">
        <f>IF(H_Juil[[#This Row],[Fin]]&lt;H_Juil[[#This Row],[début]],1,0)+H_Juil[[#This Row],[Fin]]</f>
        <v>0</v>
      </c>
      <c r="O25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5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0.1*(H_Juil[[#This Row],[Heures de nuit]]+IF(H_Juil[[#This Row],[majoration dim &amp; JF]]="non",0,H_Juil[[#This Row],[heures jour dimanche]]+H_Juil[[#This Row],[heures jour fériés]]))</f>
        <v>0</v>
      </c>
      <c r="J26" s="48">
        <f>(MOD(H_Juil[[#This Row],[Fin]]-H_Juil[[#This Row],[début]],1)-MOD(H_Juil[[#This Row],[PNP Fin]]-H_Juil[[#This Row],[PNP Début]],1))*24</f>
        <v>0</v>
      </c>
      <c r="K26" s="96" t="str">
        <f>IFERROR(VLOOKUP(H_Juil[[#This Row],[Service]],Codes[],4,0),"")</f>
        <v/>
      </c>
      <c r="L26" s="49">
        <f>IF(H_Juil[[#This Row],[PNP Début]]=0,0,IF(H_Juil[[#This Row],[PNP Début]]&lt;H_Juil[[#This Row],[début]],1,0)+H_Juil[[#This Row],[PNP Début]])</f>
        <v>0</v>
      </c>
      <c r="M26" s="50">
        <f>IF(H_Juil[[#This Row],[PNP Fin]]=0,0,IF(H_Juil[[#This Row],[PNP Fin]]&lt;H_Juil[[#This Row],[début]],1,0)+H_Juil[[#This Row],[PNP Fin]])</f>
        <v>0</v>
      </c>
      <c r="N26" s="50">
        <f>IF(H_Juil[[#This Row],[Fin]]&lt;H_Juil[[#This Row],[début]],1,0)+H_Juil[[#This Row],[Fin]]</f>
        <v>0</v>
      </c>
      <c r="O26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6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0.1*(H_Juil[[#This Row],[Heures de nuit]]+IF(H_Juil[[#This Row],[majoration dim &amp; JF]]="non",0,H_Juil[[#This Row],[heures jour dimanche]]+H_Juil[[#This Row],[heures jour fériés]]))</f>
        <v>0</v>
      </c>
      <c r="J27" s="48">
        <f>(MOD(H_Juil[[#This Row],[Fin]]-H_Juil[[#This Row],[début]],1)-MOD(H_Juil[[#This Row],[PNP Fin]]-H_Juil[[#This Row],[PNP Début]],1))*24</f>
        <v>0</v>
      </c>
      <c r="K27" s="96" t="str">
        <f>IFERROR(VLOOKUP(H_Juil[[#This Row],[Service]],Codes[],4,0),"")</f>
        <v/>
      </c>
      <c r="L27" s="49">
        <f>IF(H_Juil[[#This Row],[PNP Début]]=0,0,IF(H_Juil[[#This Row],[PNP Début]]&lt;H_Juil[[#This Row],[début]],1,0)+H_Juil[[#This Row],[PNP Début]])</f>
        <v>0</v>
      </c>
      <c r="M27" s="50">
        <f>IF(H_Juil[[#This Row],[PNP Fin]]=0,0,IF(H_Juil[[#This Row],[PNP Fin]]&lt;H_Juil[[#This Row],[début]],1,0)+H_Juil[[#This Row],[PNP Fin]])</f>
        <v>0</v>
      </c>
      <c r="N27" s="50">
        <f>IF(H_Juil[[#This Row],[Fin]]&lt;H_Juil[[#This Row],[début]],1,0)+H_Juil[[#This Row],[Fin]]</f>
        <v>0</v>
      </c>
      <c r="O27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7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0.1*(H_Juil[[#This Row],[Heures de nuit]]+IF(H_Juil[[#This Row],[majoration dim &amp; JF]]="non",0,H_Juil[[#This Row],[heures jour dimanche]]+H_Juil[[#This Row],[heures jour fériés]]))</f>
        <v>0</v>
      </c>
      <c r="J28" s="48">
        <f>(MOD(H_Juil[[#This Row],[Fin]]-H_Juil[[#This Row],[début]],1)-MOD(H_Juil[[#This Row],[PNP Fin]]-H_Juil[[#This Row],[PNP Début]],1))*24</f>
        <v>0</v>
      </c>
      <c r="K28" s="96" t="str">
        <f>IFERROR(VLOOKUP(H_Juil[[#This Row],[Service]],Codes[],4,0),"")</f>
        <v/>
      </c>
      <c r="L28" s="49">
        <f>IF(H_Juil[[#This Row],[PNP Début]]=0,0,IF(H_Juil[[#This Row],[PNP Début]]&lt;H_Juil[[#This Row],[début]],1,0)+H_Juil[[#This Row],[PNP Début]])</f>
        <v>0</v>
      </c>
      <c r="M28" s="50">
        <f>IF(H_Juil[[#This Row],[PNP Fin]]=0,0,IF(H_Juil[[#This Row],[PNP Fin]]&lt;H_Juil[[#This Row],[début]],1,0)+H_Juil[[#This Row],[PNP Fin]])</f>
        <v>0</v>
      </c>
      <c r="N28" s="50">
        <f>IF(H_Juil[[#This Row],[Fin]]&lt;H_Juil[[#This Row],[début]],1,0)+H_Juil[[#This Row],[Fin]]</f>
        <v>0</v>
      </c>
      <c r="O28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8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0.1*(H_Juil[[#This Row],[Heures de nuit]]+IF(H_Juil[[#This Row],[majoration dim &amp; JF]]="non",0,H_Juil[[#This Row],[heures jour dimanche]]+H_Juil[[#This Row],[heures jour fériés]]))</f>
        <v>0</v>
      </c>
      <c r="J29" s="48">
        <f>(MOD(H_Juil[[#This Row],[Fin]]-H_Juil[[#This Row],[début]],1)-MOD(H_Juil[[#This Row],[PNP Fin]]-H_Juil[[#This Row],[PNP Début]],1))*24</f>
        <v>0</v>
      </c>
      <c r="K29" s="96" t="str">
        <f>IFERROR(VLOOKUP(H_Juil[[#This Row],[Service]],Codes[],4,0),"")</f>
        <v/>
      </c>
      <c r="L29" s="49">
        <f>IF(H_Juil[[#This Row],[PNP Début]]=0,0,IF(H_Juil[[#This Row],[PNP Début]]&lt;H_Juil[[#This Row],[début]],1,0)+H_Juil[[#This Row],[PNP Début]])</f>
        <v>0</v>
      </c>
      <c r="M29" s="50">
        <f>IF(H_Juil[[#This Row],[PNP Fin]]=0,0,IF(H_Juil[[#This Row],[PNP Fin]]&lt;H_Juil[[#This Row],[début]],1,0)+H_Juil[[#This Row],[PNP Fin]])</f>
        <v>0</v>
      </c>
      <c r="N29" s="50">
        <f>IF(H_Juil[[#This Row],[Fin]]&lt;H_Juil[[#This Row],[début]],1,0)+H_Juil[[#This Row],[Fin]]</f>
        <v>0</v>
      </c>
      <c r="O29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29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2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2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2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2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0.1*(H_Juil[[#This Row],[Heures de nuit]]+IF(H_Juil[[#This Row],[majoration dim &amp; JF]]="non",0,H_Juil[[#This Row],[heures jour dimanche]]+H_Juil[[#This Row],[heures jour fériés]]))</f>
        <v>0</v>
      </c>
      <c r="J30" s="48">
        <f>(MOD(H_Juil[[#This Row],[Fin]]-H_Juil[[#This Row],[début]],1)-MOD(H_Juil[[#This Row],[PNP Fin]]-H_Juil[[#This Row],[PNP Début]],1))*24</f>
        <v>0</v>
      </c>
      <c r="K30" s="96" t="str">
        <f>IFERROR(VLOOKUP(H_Juil[[#This Row],[Service]],Codes[],4,0),"")</f>
        <v/>
      </c>
      <c r="L30" s="49">
        <f>IF(H_Juil[[#This Row],[PNP Début]]=0,0,IF(H_Juil[[#This Row],[PNP Début]]&lt;H_Juil[[#This Row],[début]],1,0)+H_Juil[[#This Row],[PNP Début]])</f>
        <v>0</v>
      </c>
      <c r="M30" s="50">
        <f>IF(H_Juil[[#This Row],[PNP Fin]]=0,0,IF(H_Juil[[#This Row],[PNP Fin]]&lt;H_Juil[[#This Row],[début]],1,0)+H_Juil[[#This Row],[PNP Fin]])</f>
        <v>0</v>
      </c>
      <c r="N30" s="50">
        <f>IF(H_Juil[[#This Row],[Fin]]&lt;H_Juil[[#This Row],[début]],1,0)+H_Juil[[#This Row],[Fin]]</f>
        <v>0</v>
      </c>
      <c r="O30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0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0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0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0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0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0.1*(H_Juil[[#This Row],[Heures de nuit]]+IF(H_Juil[[#This Row],[majoration dim &amp; JF]]="non",0,H_Juil[[#This Row],[heures jour dimanche]]+H_Juil[[#This Row],[heures jour fériés]]))</f>
        <v>0</v>
      </c>
      <c r="J31" s="48">
        <f>(MOD(H_Juil[[#This Row],[Fin]]-H_Juil[[#This Row],[début]],1)-MOD(H_Juil[[#This Row],[PNP Fin]]-H_Juil[[#This Row],[PNP Début]],1))*24</f>
        <v>0</v>
      </c>
      <c r="K31" s="96" t="str">
        <f>IFERROR(VLOOKUP(H_Juil[[#This Row],[Service]],Codes[],4,0),"")</f>
        <v/>
      </c>
      <c r="L31" s="49">
        <f>IF(H_Juil[[#This Row],[PNP Début]]=0,0,IF(H_Juil[[#This Row],[PNP Début]]&lt;H_Juil[[#This Row],[début]],1,0)+H_Juil[[#This Row],[PNP Début]])</f>
        <v>0</v>
      </c>
      <c r="M31" s="50">
        <f>IF(H_Juil[[#This Row],[PNP Fin]]=0,0,IF(H_Juil[[#This Row],[PNP Fin]]&lt;H_Juil[[#This Row],[début]],1,0)+H_Juil[[#This Row],[PNP Fin]])</f>
        <v>0</v>
      </c>
      <c r="N31" s="50">
        <f>IF(H_Juil[[#This Row],[Fin]]&lt;H_Juil[[#This Row],[début]],1,0)+H_Juil[[#This Row],[Fin]]</f>
        <v>0</v>
      </c>
      <c r="O31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1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1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1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1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1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0.1*(H_Juil[[#This Row],[Heures de nuit]]+IF(H_Juil[[#This Row],[majoration dim &amp; JF]]="non",0,H_Juil[[#This Row],[heures jour dimanche]]+H_Juil[[#This Row],[heures jour fériés]]))</f>
        <v>0</v>
      </c>
      <c r="J32" s="48">
        <f>(MOD(H_Juil[[#This Row],[Fin]]-H_Juil[[#This Row],[début]],1)-MOD(H_Juil[[#This Row],[PNP Fin]]-H_Juil[[#This Row],[PNP Début]],1))*24</f>
        <v>0</v>
      </c>
      <c r="K32" s="96" t="str">
        <f>IFERROR(VLOOKUP(H_Juil[[#This Row],[Service]],Codes[],4,0),"")</f>
        <v/>
      </c>
      <c r="L32" s="49">
        <f>IF(H_Juil[[#This Row],[PNP Début]]=0,0,IF(H_Juil[[#This Row],[PNP Début]]&lt;H_Juil[[#This Row],[début]],1,0)+H_Juil[[#This Row],[PNP Début]])</f>
        <v>0</v>
      </c>
      <c r="M32" s="50">
        <f>IF(H_Juil[[#This Row],[PNP Fin]]=0,0,IF(H_Juil[[#This Row],[PNP Fin]]&lt;H_Juil[[#This Row],[début]],1,0)+H_Juil[[#This Row],[PNP Fin]])</f>
        <v>0</v>
      </c>
      <c r="N32" s="50">
        <f>IF(H_Juil[[#This Row],[Fin]]&lt;H_Juil[[#This Row],[début]],1,0)+H_Juil[[#This Row],[Fin]]</f>
        <v>0</v>
      </c>
      <c r="O32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2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0.1*(H_Juil[[#This Row],[Heures de nuit]]+IF(H_Juil[[#This Row],[majoration dim &amp; JF]]="non",0,H_Juil[[#This Row],[heures jour dimanche]]+H_Juil[[#This Row],[heures jour fériés]]))</f>
        <v>0</v>
      </c>
      <c r="J33" s="48">
        <f>(MOD(H_Juil[[#This Row],[Fin]]-H_Juil[[#This Row],[début]],1)-MOD(H_Juil[[#This Row],[PNP Fin]]-H_Juil[[#This Row],[PNP Début]],1))*24</f>
        <v>0</v>
      </c>
      <c r="K33" s="96" t="str">
        <f>IFERROR(VLOOKUP(H_Juil[[#This Row],[Service]],Codes[],4,0),"")</f>
        <v/>
      </c>
      <c r="L33" s="49">
        <f>IF(H_Juil[[#This Row],[PNP Début]]=0,0,IF(H_Juil[[#This Row],[PNP Début]]&lt;H_Juil[[#This Row],[début]],1,0)+H_Juil[[#This Row],[PNP Début]])</f>
        <v>0</v>
      </c>
      <c r="M33" s="50">
        <f>IF(H_Juil[[#This Row],[PNP Fin]]=0,0,IF(H_Juil[[#This Row],[PNP Fin]]&lt;H_Juil[[#This Row],[début]],1,0)+H_Juil[[#This Row],[PNP Fin]])</f>
        <v>0</v>
      </c>
      <c r="N33" s="50">
        <f>IF(H_Juil[[#This Row],[Fin]]&lt;H_Juil[[#This Row],[début]],1,0)+H_Juil[[#This Row],[Fin]]</f>
        <v>0</v>
      </c>
      <c r="O33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3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0.1*(H_Juil[[#This Row],[Heures de nuit]]+IF(H_Juil[[#This Row],[majoration dim &amp; JF]]="non",0,H_Juil[[#This Row],[heures jour dimanche]]+H_Juil[[#This Row],[heures jour fériés]]))</f>
        <v>0</v>
      </c>
      <c r="J34" s="48">
        <f>(MOD(H_Juil[[#This Row],[Fin]]-H_Juil[[#This Row],[début]],1)-MOD(H_Juil[[#This Row],[PNP Fin]]-H_Juil[[#This Row],[PNP Début]],1))*24</f>
        <v>0</v>
      </c>
      <c r="K34" s="96" t="str">
        <f>IFERROR(VLOOKUP(H_Juil[[#This Row],[Service]],Codes[],4,0),"")</f>
        <v/>
      </c>
      <c r="L34" s="49">
        <f>IF(H_Juil[[#This Row],[PNP Début]]=0,0,IF(H_Juil[[#This Row],[PNP Début]]&lt;H_Juil[[#This Row],[début]],1,0)+H_Juil[[#This Row],[PNP Début]])</f>
        <v>0</v>
      </c>
      <c r="M34" s="50">
        <f>IF(H_Juil[[#This Row],[PNP Fin]]=0,0,IF(H_Juil[[#This Row],[PNP Fin]]&lt;H_Juil[[#This Row],[début]],1,0)+H_Juil[[#This Row],[PNP Fin]])</f>
        <v>0</v>
      </c>
      <c r="N34" s="50">
        <f>IF(H_Juil[[#This Row],[Fin]]&lt;H_Juil[[#This Row],[début]],1,0)+H_Juil[[#This Row],[Fin]]</f>
        <v>0</v>
      </c>
      <c r="O34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4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0.1*(H_Juil[[#This Row],[Heures de nuit]]+IF(H_Juil[[#This Row],[majoration dim &amp; JF]]="non",0,H_Juil[[#This Row],[heures jour dimanche]]+H_Juil[[#This Row],[heures jour fériés]]))</f>
        <v>0</v>
      </c>
      <c r="J35" s="48">
        <f>(MOD(H_Juil[[#This Row],[Fin]]-H_Juil[[#This Row],[début]],1)-MOD(H_Juil[[#This Row],[PNP Fin]]-H_Juil[[#This Row],[PNP Début]],1))*24</f>
        <v>0</v>
      </c>
      <c r="K35" s="96" t="str">
        <f>IFERROR(VLOOKUP(H_Juil[[#This Row],[Service]],Codes[],4,0),"")</f>
        <v/>
      </c>
      <c r="L35" s="49">
        <f>IF(H_Juil[[#This Row],[PNP Début]]=0,0,IF(H_Juil[[#This Row],[PNP Début]]&lt;H_Juil[[#This Row],[début]],1,0)+H_Juil[[#This Row],[PNP Début]])</f>
        <v>0</v>
      </c>
      <c r="M35" s="50">
        <f>IF(H_Juil[[#This Row],[PNP Fin]]=0,0,IF(H_Juil[[#This Row],[PNP Fin]]&lt;H_Juil[[#This Row],[début]],1,0)+H_Juil[[#This Row],[PNP Fin]])</f>
        <v>0</v>
      </c>
      <c r="N35" s="50">
        <f>IF(H_Juil[[#This Row],[Fin]]&lt;H_Juil[[#This Row],[début]],1,0)+H_Juil[[#This Row],[Fin]]</f>
        <v>0</v>
      </c>
      <c r="O35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5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0.1*(H_Juil[[#This Row],[Heures de nuit]]+IF(H_Juil[[#This Row],[majoration dim &amp; JF]]="non",0,H_Juil[[#This Row],[heures jour dimanche]]+H_Juil[[#This Row],[heures jour fériés]]))</f>
        <v>0</v>
      </c>
      <c r="J36" s="48">
        <f>(MOD(H_Juil[[#This Row],[Fin]]-H_Juil[[#This Row],[début]],1)-MOD(H_Juil[[#This Row],[PNP Fin]]-H_Juil[[#This Row],[PNP Début]],1))*24</f>
        <v>0</v>
      </c>
      <c r="K36" s="96" t="str">
        <f>IFERROR(VLOOKUP(H_Juil[[#This Row],[Service]],Codes[],4,0),"")</f>
        <v/>
      </c>
      <c r="L36" s="49">
        <f>IF(H_Juil[[#This Row],[PNP Début]]=0,0,IF(H_Juil[[#This Row],[PNP Début]]&lt;H_Juil[[#This Row],[début]],1,0)+H_Juil[[#This Row],[PNP Début]])</f>
        <v>0</v>
      </c>
      <c r="M36" s="50">
        <f>IF(H_Juil[[#This Row],[PNP Fin]]=0,0,IF(H_Juil[[#This Row],[PNP Fin]]&lt;H_Juil[[#This Row],[début]],1,0)+H_Juil[[#This Row],[PNP Fin]])</f>
        <v>0</v>
      </c>
      <c r="N36" s="50">
        <f>IF(H_Juil[[#This Row],[Fin]]&lt;H_Juil[[#This Row],[début]],1,0)+H_Juil[[#This Row],[Fin]]</f>
        <v>0</v>
      </c>
      <c r="O36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6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0.1*(H_Juil[[#This Row],[Heures de nuit]]+IF(H_Juil[[#This Row],[majoration dim &amp; JF]]="non",0,H_Juil[[#This Row],[heures jour dimanche]]+H_Juil[[#This Row],[heures jour fériés]]))</f>
        <v>0</v>
      </c>
      <c r="J37" s="48">
        <f>(MOD(H_Juil[[#This Row],[Fin]]-H_Juil[[#This Row],[début]],1)-MOD(H_Juil[[#This Row],[PNP Fin]]-H_Juil[[#This Row],[PNP Début]],1))*24</f>
        <v>0</v>
      </c>
      <c r="K37" s="96" t="str">
        <f>IFERROR(VLOOKUP(H_Juil[[#This Row],[Service]],Codes[],4,0),"")</f>
        <v/>
      </c>
      <c r="L37" s="49">
        <f>IF(H_Juil[[#This Row],[PNP Début]]=0,0,IF(H_Juil[[#This Row],[PNP Début]]&lt;H_Juil[[#This Row],[début]],1,0)+H_Juil[[#This Row],[PNP Début]])</f>
        <v>0</v>
      </c>
      <c r="M37" s="50">
        <f>IF(H_Juil[[#This Row],[PNP Fin]]=0,0,IF(H_Juil[[#This Row],[PNP Fin]]&lt;H_Juil[[#This Row],[début]],1,0)+H_Juil[[#This Row],[PNP Fin]])</f>
        <v>0</v>
      </c>
      <c r="N37" s="50">
        <f>IF(H_Juil[[#This Row],[Fin]]&lt;H_Juil[[#This Row],[début]],1,0)+H_Juil[[#This Row],[Fin]]</f>
        <v>0</v>
      </c>
      <c r="O37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7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0.1*(H_Juil[[#This Row],[Heures de nuit]]+IF(H_Juil[[#This Row],[majoration dim &amp; JF]]="non",0,H_Juil[[#This Row],[heures jour dimanche]]+H_Juil[[#This Row],[heures jour fériés]]))</f>
        <v>0</v>
      </c>
      <c r="J38" s="48">
        <f>(MOD(H_Juil[[#This Row],[Fin]]-H_Juil[[#This Row],[début]],1)-MOD(H_Juil[[#This Row],[PNP Fin]]-H_Juil[[#This Row],[PNP Début]],1))*24</f>
        <v>0</v>
      </c>
      <c r="K38" s="96" t="str">
        <f>IFERROR(VLOOKUP(H_Juil[[#This Row],[Service]],Codes[],4,0),"")</f>
        <v/>
      </c>
      <c r="L38" s="49">
        <f>IF(H_Juil[[#This Row],[PNP Début]]=0,0,IF(H_Juil[[#This Row],[PNP Début]]&lt;H_Juil[[#This Row],[début]],1,0)+H_Juil[[#This Row],[PNP Début]])</f>
        <v>0</v>
      </c>
      <c r="M38" s="50">
        <f>IF(H_Juil[[#This Row],[PNP Fin]]=0,0,IF(H_Juil[[#This Row],[PNP Fin]]&lt;H_Juil[[#This Row],[début]],1,0)+H_Juil[[#This Row],[PNP Fin]])</f>
        <v>0</v>
      </c>
      <c r="N38" s="50">
        <f>IF(H_Juil[[#This Row],[Fin]]&lt;H_Juil[[#This Row],[début]],1,0)+H_Juil[[#This Row],[Fin]]</f>
        <v>0</v>
      </c>
      <c r="O38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8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0.1*(H_Juil[[#This Row],[Heures de nuit]]+IF(H_Juil[[#This Row],[majoration dim &amp; JF]]="non",0,H_Juil[[#This Row],[heures jour dimanche]]+H_Juil[[#This Row],[heures jour fériés]]))</f>
        <v>0</v>
      </c>
      <c r="J39" s="48">
        <f>(MOD(H_Juil[[#This Row],[Fin]]-H_Juil[[#This Row],[début]],1)-MOD(H_Juil[[#This Row],[PNP Fin]]-H_Juil[[#This Row],[PNP Début]],1))*24</f>
        <v>0</v>
      </c>
      <c r="K39" s="96" t="str">
        <f>IFERROR(VLOOKUP(H_Juil[[#This Row],[Service]],Codes[],4,0),"")</f>
        <v/>
      </c>
      <c r="L39" s="49">
        <f>IF(H_Juil[[#This Row],[PNP Début]]=0,0,IF(H_Juil[[#This Row],[PNP Début]]&lt;H_Juil[[#This Row],[début]],1,0)+H_Juil[[#This Row],[PNP Début]])</f>
        <v>0</v>
      </c>
      <c r="M39" s="50">
        <f>IF(H_Juil[[#This Row],[PNP Fin]]=0,0,IF(H_Juil[[#This Row],[PNP Fin]]&lt;H_Juil[[#This Row],[début]],1,0)+H_Juil[[#This Row],[PNP Fin]])</f>
        <v>0</v>
      </c>
      <c r="N39" s="50">
        <f>IF(H_Juil[[#This Row],[Fin]]&lt;H_Juil[[#This Row],[début]],1,0)+H_Juil[[#This Row],[Fin]]</f>
        <v>0</v>
      </c>
      <c r="O39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39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3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3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3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3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0.1*(H_Juil[[#This Row],[Heures de nuit]]+IF(H_Juil[[#This Row],[majoration dim &amp; JF]]="non",0,H_Juil[[#This Row],[heures jour dimanche]]+H_Juil[[#This Row],[heures jour fériés]]))</f>
        <v>0</v>
      </c>
      <c r="J40" s="48">
        <f>(MOD(H_Juil[[#This Row],[Fin]]-H_Juil[[#This Row],[début]],1)-MOD(H_Juil[[#This Row],[PNP Fin]]-H_Juil[[#This Row],[PNP Début]],1))*24</f>
        <v>0</v>
      </c>
      <c r="K40" s="96" t="str">
        <f>IFERROR(VLOOKUP(H_Juil[[#This Row],[Service]],Codes[],4,0),"")</f>
        <v/>
      </c>
      <c r="L40" s="49">
        <f>IF(H_Juil[[#This Row],[PNP Début]]=0,0,IF(H_Juil[[#This Row],[PNP Début]]&lt;H_Juil[[#This Row],[début]],1,0)+H_Juil[[#This Row],[PNP Début]])</f>
        <v>0</v>
      </c>
      <c r="M40" s="50">
        <f>IF(H_Juil[[#This Row],[PNP Fin]]=0,0,IF(H_Juil[[#This Row],[PNP Fin]]&lt;H_Juil[[#This Row],[début]],1,0)+H_Juil[[#This Row],[PNP Fin]])</f>
        <v>0</v>
      </c>
      <c r="N40" s="50">
        <f>IF(H_Juil[[#This Row],[Fin]]&lt;H_Juil[[#This Row],[début]],1,0)+H_Juil[[#This Row],[Fin]]</f>
        <v>0</v>
      </c>
      <c r="O40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0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0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0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0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0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0.1*(H_Juil[[#This Row],[Heures de nuit]]+IF(H_Juil[[#This Row],[majoration dim &amp; JF]]="non",0,H_Juil[[#This Row],[heures jour dimanche]]+H_Juil[[#This Row],[heures jour fériés]]))</f>
        <v>0</v>
      </c>
      <c r="J41" s="48">
        <f>(MOD(H_Juil[[#This Row],[Fin]]-H_Juil[[#This Row],[début]],1)-MOD(H_Juil[[#This Row],[PNP Fin]]-H_Juil[[#This Row],[PNP Début]],1))*24</f>
        <v>0</v>
      </c>
      <c r="K41" s="96" t="str">
        <f>IFERROR(VLOOKUP(H_Juil[[#This Row],[Service]],Codes[],4,0),"")</f>
        <v/>
      </c>
      <c r="L41" s="49">
        <f>IF(H_Juil[[#This Row],[PNP Début]]=0,0,IF(H_Juil[[#This Row],[PNP Début]]&lt;H_Juil[[#This Row],[début]],1,0)+H_Juil[[#This Row],[PNP Début]])</f>
        <v>0</v>
      </c>
      <c r="M41" s="50">
        <f>IF(H_Juil[[#This Row],[PNP Fin]]=0,0,IF(H_Juil[[#This Row],[PNP Fin]]&lt;H_Juil[[#This Row],[début]],1,0)+H_Juil[[#This Row],[PNP Fin]])</f>
        <v>0</v>
      </c>
      <c r="N41" s="50">
        <f>IF(H_Juil[[#This Row],[Fin]]&lt;H_Juil[[#This Row],[début]],1,0)+H_Juil[[#This Row],[Fin]]</f>
        <v>0</v>
      </c>
      <c r="O41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1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1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1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1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1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0.1*(H_Juil[[#This Row],[Heures de nuit]]+IF(H_Juil[[#This Row],[majoration dim &amp; JF]]="non",0,H_Juil[[#This Row],[heures jour dimanche]]+H_Juil[[#This Row],[heures jour fériés]]))</f>
        <v>0</v>
      </c>
      <c r="J42" s="48">
        <f>(MOD(H_Juil[[#This Row],[Fin]]-H_Juil[[#This Row],[début]],1)-MOD(H_Juil[[#This Row],[PNP Fin]]-H_Juil[[#This Row],[PNP Début]],1))*24</f>
        <v>0</v>
      </c>
      <c r="K42" s="96" t="str">
        <f>IFERROR(VLOOKUP(H_Juil[[#This Row],[Service]],Codes[],4,0),"")</f>
        <v/>
      </c>
      <c r="L42" s="49">
        <f>IF(H_Juil[[#This Row],[PNP Début]]=0,0,IF(H_Juil[[#This Row],[PNP Début]]&lt;H_Juil[[#This Row],[début]],1,0)+H_Juil[[#This Row],[PNP Début]])</f>
        <v>0</v>
      </c>
      <c r="M42" s="50">
        <f>IF(H_Juil[[#This Row],[PNP Fin]]=0,0,IF(H_Juil[[#This Row],[PNP Fin]]&lt;H_Juil[[#This Row],[début]],1,0)+H_Juil[[#This Row],[PNP Fin]])</f>
        <v>0</v>
      </c>
      <c r="N42" s="50">
        <f>IF(H_Juil[[#This Row],[Fin]]&lt;H_Juil[[#This Row],[début]],1,0)+H_Juil[[#This Row],[Fin]]</f>
        <v>0</v>
      </c>
      <c r="O42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2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2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2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0.1*(H_Juil[[#This Row],[Heures de nuit]]+IF(H_Juil[[#This Row],[majoration dim &amp; JF]]="non",0,H_Juil[[#This Row],[heures jour dimanche]]+H_Juil[[#This Row],[heures jour fériés]]))</f>
        <v>0</v>
      </c>
      <c r="J43" s="48">
        <f>(MOD(H_Juil[[#This Row],[Fin]]-H_Juil[[#This Row],[début]],1)-MOD(H_Juil[[#This Row],[PNP Fin]]-H_Juil[[#This Row],[PNP Début]],1))*24</f>
        <v>0</v>
      </c>
      <c r="K43" s="96" t="str">
        <f>IFERROR(VLOOKUP(H_Juil[[#This Row],[Service]],Codes[],4,0),"")</f>
        <v/>
      </c>
      <c r="L43" s="49">
        <f>IF(H_Juil[[#This Row],[PNP Début]]=0,0,IF(H_Juil[[#This Row],[PNP Début]]&lt;H_Juil[[#This Row],[début]],1,0)+H_Juil[[#This Row],[PNP Début]])</f>
        <v>0</v>
      </c>
      <c r="M43" s="50">
        <f>IF(H_Juil[[#This Row],[PNP Fin]]=0,0,IF(H_Juil[[#This Row],[PNP Fin]]&lt;H_Juil[[#This Row],[début]],1,0)+H_Juil[[#This Row],[PNP Fin]])</f>
        <v>0</v>
      </c>
      <c r="N43" s="50">
        <f>IF(H_Juil[[#This Row],[Fin]]&lt;H_Juil[[#This Row],[début]],1,0)+H_Juil[[#This Row],[Fin]]</f>
        <v>0</v>
      </c>
      <c r="O43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3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3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3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0.1*(H_Juil[[#This Row],[Heures de nuit]]+IF(H_Juil[[#This Row],[majoration dim &amp; JF]]="non",0,H_Juil[[#This Row],[heures jour dimanche]]+H_Juil[[#This Row],[heures jour fériés]]))</f>
        <v>0</v>
      </c>
      <c r="J44" s="48">
        <f>(MOD(H_Juil[[#This Row],[Fin]]-H_Juil[[#This Row],[début]],1)-MOD(H_Juil[[#This Row],[PNP Fin]]-H_Juil[[#This Row],[PNP Début]],1))*24</f>
        <v>0</v>
      </c>
      <c r="K44" s="96" t="str">
        <f>IFERROR(VLOOKUP(H_Juil[[#This Row],[Service]],Codes[],4,0),"")</f>
        <v/>
      </c>
      <c r="L44" s="49">
        <f>IF(H_Juil[[#This Row],[PNP Début]]=0,0,IF(H_Juil[[#This Row],[PNP Début]]&lt;H_Juil[[#This Row],[début]],1,0)+H_Juil[[#This Row],[PNP Début]])</f>
        <v>0</v>
      </c>
      <c r="M44" s="50">
        <f>IF(H_Juil[[#This Row],[PNP Fin]]=0,0,IF(H_Juil[[#This Row],[PNP Fin]]&lt;H_Juil[[#This Row],[début]],1,0)+H_Juil[[#This Row],[PNP Fin]])</f>
        <v>0</v>
      </c>
      <c r="N44" s="50">
        <f>IF(H_Juil[[#This Row],[Fin]]&lt;H_Juil[[#This Row],[début]],1,0)+H_Juil[[#This Row],[Fin]]</f>
        <v>0</v>
      </c>
      <c r="O44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4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4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4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0.1*(H_Juil[[#This Row],[Heures de nuit]]+IF(H_Juil[[#This Row],[majoration dim &amp; JF]]="non",0,H_Juil[[#This Row],[heures jour dimanche]]+H_Juil[[#This Row],[heures jour fériés]]))</f>
        <v>0</v>
      </c>
      <c r="J45" s="48">
        <f>(MOD(H_Juil[[#This Row],[Fin]]-H_Juil[[#This Row],[début]],1)-MOD(H_Juil[[#This Row],[PNP Fin]]-H_Juil[[#This Row],[PNP Début]],1))*24</f>
        <v>0</v>
      </c>
      <c r="K45" s="96" t="str">
        <f>IFERROR(VLOOKUP(H_Juil[[#This Row],[Service]],Codes[],4,0),"")</f>
        <v/>
      </c>
      <c r="L45" s="49">
        <f>IF(H_Juil[[#This Row],[PNP Début]]=0,0,IF(H_Juil[[#This Row],[PNP Début]]&lt;H_Juil[[#This Row],[début]],1,0)+H_Juil[[#This Row],[PNP Début]])</f>
        <v>0</v>
      </c>
      <c r="M45" s="50">
        <f>IF(H_Juil[[#This Row],[PNP Fin]]=0,0,IF(H_Juil[[#This Row],[PNP Fin]]&lt;H_Juil[[#This Row],[début]],1,0)+H_Juil[[#This Row],[PNP Fin]])</f>
        <v>0</v>
      </c>
      <c r="N45" s="50">
        <f>IF(H_Juil[[#This Row],[Fin]]&lt;H_Juil[[#This Row],[début]],1,0)+H_Juil[[#This Row],[Fin]]</f>
        <v>0</v>
      </c>
      <c r="O45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5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5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5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0.1*(H_Juil[[#This Row],[Heures de nuit]]+IF(H_Juil[[#This Row],[majoration dim &amp; JF]]="non",0,H_Juil[[#This Row],[heures jour dimanche]]+H_Juil[[#This Row],[heures jour fériés]]))</f>
        <v>0</v>
      </c>
      <c r="J46" s="48">
        <f>(MOD(H_Juil[[#This Row],[Fin]]-H_Juil[[#This Row],[début]],1)-MOD(H_Juil[[#This Row],[PNP Fin]]-H_Juil[[#This Row],[PNP Début]],1))*24</f>
        <v>0</v>
      </c>
      <c r="K46" s="96" t="str">
        <f>IFERROR(VLOOKUP(H_Juil[[#This Row],[Service]],Codes[],4,0),"")</f>
        <v/>
      </c>
      <c r="L46" s="49">
        <f>IF(H_Juil[[#This Row],[PNP Début]]=0,0,IF(H_Juil[[#This Row],[PNP Début]]&lt;H_Juil[[#This Row],[début]],1,0)+H_Juil[[#This Row],[PNP Début]])</f>
        <v>0</v>
      </c>
      <c r="M46" s="50">
        <f>IF(H_Juil[[#This Row],[PNP Fin]]=0,0,IF(H_Juil[[#This Row],[PNP Fin]]&lt;H_Juil[[#This Row],[début]],1,0)+H_Juil[[#This Row],[PNP Fin]])</f>
        <v>0</v>
      </c>
      <c r="N46" s="50">
        <f>IF(H_Juil[[#This Row],[Fin]]&lt;H_Juil[[#This Row],[début]],1,0)+H_Juil[[#This Row],[Fin]]</f>
        <v>0</v>
      </c>
      <c r="O46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6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6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6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0.1*(H_Juil[[#This Row],[Heures de nuit]]+IF(H_Juil[[#This Row],[majoration dim &amp; JF]]="non",0,H_Juil[[#This Row],[heures jour dimanche]]+H_Juil[[#This Row],[heures jour fériés]]))</f>
        <v>0</v>
      </c>
      <c r="J47" s="48">
        <f>(MOD(H_Juil[[#This Row],[Fin]]-H_Juil[[#This Row],[début]],1)-MOD(H_Juil[[#This Row],[PNP Fin]]-H_Juil[[#This Row],[PNP Début]],1))*24</f>
        <v>0</v>
      </c>
      <c r="K47" s="96" t="str">
        <f>IFERROR(VLOOKUP(H_Juil[[#This Row],[Service]],Codes[],4,0),"")</f>
        <v/>
      </c>
      <c r="L47" s="49">
        <f>IF(H_Juil[[#This Row],[PNP Début]]=0,0,IF(H_Juil[[#This Row],[PNP Début]]&lt;H_Juil[[#This Row],[début]],1,0)+H_Juil[[#This Row],[PNP Début]])</f>
        <v>0</v>
      </c>
      <c r="M47" s="50">
        <f>IF(H_Juil[[#This Row],[PNP Fin]]=0,0,IF(H_Juil[[#This Row],[PNP Fin]]&lt;H_Juil[[#This Row],[début]],1,0)+H_Juil[[#This Row],[PNP Fin]])</f>
        <v>0</v>
      </c>
      <c r="N47" s="50">
        <f>IF(H_Juil[[#This Row],[Fin]]&lt;H_Juil[[#This Row],[début]],1,0)+H_Juil[[#This Row],[Fin]]</f>
        <v>0</v>
      </c>
      <c r="O47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7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7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7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0.1*(H_Juil[[#This Row],[Heures de nuit]]+IF(H_Juil[[#This Row],[majoration dim &amp; JF]]="non",0,H_Juil[[#This Row],[heures jour dimanche]]+H_Juil[[#This Row],[heures jour fériés]]))</f>
        <v>0</v>
      </c>
      <c r="J48" s="48">
        <f>(MOD(H_Juil[[#This Row],[Fin]]-H_Juil[[#This Row],[début]],1)-MOD(H_Juil[[#This Row],[PNP Fin]]-H_Juil[[#This Row],[PNP Début]],1))*24</f>
        <v>0</v>
      </c>
      <c r="K48" s="96" t="str">
        <f>IFERROR(VLOOKUP(H_Juil[[#This Row],[Service]],Codes[],4,0),"")</f>
        <v/>
      </c>
      <c r="L48" s="49">
        <f>IF(H_Juil[[#This Row],[PNP Début]]=0,0,IF(H_Juil[[#This Row],[PNP Début]]&lt;H_Juil[[#This Row],[début]],1,0)+H_Juil[[#This Row],[PNP Début]])</f>
        <v>0</v>
      </c>
      <c r="M48" s="50">
        <f>IF(H_Juil[[#This Row],[PNP Fin]]=0,0,IF(H_Juil[[#This Row],[PNP Fin]]&lt;H_Juil[[#This Row],[début]],1,0)+H_Juil[[#This Row],[PNP Fin]])</f>
        <v>0</v>
      </c>
      <c r="N48" s="50">
        <f>IF(H_Juil[[#This Row],[Fin]]&lt;H_Juil[[#This Row],[début]],1,0)+H_Juil[[#This Row],[Fin]]</f>
        <v>0</v>
      </c>
      <c r="O48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8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8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8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0.1*(H_Juil[[#This Row],[Heures de nuit]]+IF(H_Juil[[#This Row],[majoration dim &amp; JF]]="non",0,H_Juil[[#This Row],[heures jour dimanche]]+H_Juil[[#This Row],[heures jour fériés]]))</f>
        <v>0</v>
      </c>
      <c r="J49" s="48">
        <f>(MOD(H_Juil[[#This Row],[Fin]]-H_Juil[[#This Row],[début]],1)-MOD(H_Juil[[#This Row],[PNP Fin]]-H_Juil[[#This Row],[PNP Début]],1))*24</f>
        <v>0</v>
      </c>
      <c r="K49" s="96" t="str">
        <f>IFERROR(VLOOKUP(H_Juil[[#This Row],[Service]],Codes[],4,0),"")</f>
        <v/>
      </c>
      <c r="L49" s="49">
        <f>IF(H_Juil[[#This Row],[PNP Début]]=0,0,IF(H_Juil[[#This Row],[PNP Début]]&lt;H_Juil[[#This Row],[début]],1,0)+H_Juil[[#This Row],[PNP Début]])</f>
        <v>0</v>
      </c>
      <c r="M49" s="50">
        <f>IF(H_Juil[[#This Row],[PNP Fin]]=0,0,IF(H_Juil[[#This Row],[PNP Fin]]&lt;H_Juil[[#This Row],[début]],1,0)+H_Juil[[#This Row],[PNP Fin]])</f>
        <v>0</v>
      </c>
      <c r="N49" s="50">
        <f>IF(H_Juil[[#This Row],[Fin]]&lt;H_Juil[[#This Row],[début]],1,0)+H_Juil[[#This Row],[Fin]]</f>
        <v>0</v>
      </c>
      <c r="O49" s="31">
        <f>IF(H_Juil[[#This Row],[Fin]]&lt;H_Juil[[#This Row],[début]],MAX(0,MIN(H_Juil[[#This Row],[Fin corrigée si nuit]],fin_nuit)-MAX(H_Juil[[#This Row],[début]],deb_nuit))*24,(MAX(deb_nuit,H_Juil[[#This Row],[Fin]])-MAX(deb_nuit,H_Juil[[#This Row],[début]])+MAX(MIN(fin_nuit-1,H_Juil[[#This Row],[Fin]])-MIN(fin_nuit-1,H_Juil[[#This Row],[début]]),0))*24)</f>
        <v>0</v>
      </c>
      <c r="P49" s="51">
        <f>(MAX(0,MIN(H_Juil[[#This Row],[Fin corrigée si nuit]],fin_nuit)-MAX(H_Juil[[#This Row],[début]],deb_nuit))-IF(H_Juil[[#This Row],[PNP Début]]=0,0,MIN(H_Juil[[#This Row],[PNP Fin corrigée]],fin_nuit)-MAX(H_Juil[[#This Row],[PNP Début corrigé]],deb_nuit)))*24</f>
        <v>0</v>
      </c>
      <c r="Q4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</f>
        <v>0</v>
      </c>
      <c r="R49" s="51">
        <f>(IF(WEEKDAY(H_Juil[[#This Row],[Date]],2)=7,MAX(0,MIN(fin_dimJF,H_Juil[[#This Row],[Fin corrigée si nuit]])-MAX(deb_dimJF,H_Juil[[#This Row],[début]])),0)+IF(WEEKDAY(H_Juil[[#This Row],[Date]],2)=6,MAX(0,H_Juil[[#This Row],[Fin corrigée si nuit]]-(1+deb_dimJF)),0))*24-
(IF(WEEKDAY(H_Juil[[#This Row],[Date]],2)=7,MAX(0,MIN(fin_dimJF,H_Juil[[#This Row],[PNP Fin corrigée]])-MAX(deb_dimJF,H_Juil[[#This Row],[PNP Début corrigé]])),0)+IF(WEEKDAY(H_Juil[[#This Row],[Date]],2)=6,MAX(0,H_Juil[[#This Row],[PNP Fin corrigée]]-(1+deb_dimJF)),0))*24</f>
        <v>0</v>
      </c>
      <c r="S4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</f>
        <v>0</v>
      </c>
      <c r="T49" s="51">
        <f>(IF(COUNTIF(JF,H_Juil[[#This Row],[Date]]),MAX(0,MIN(fin_dimJF,H_Juil[[#This Row],[Fin corrigée si nuit]])-MAX(deb_dimJF,H_Juil[[#This Row],[début]])),0)+IF(COUNTIF(JF,H_Juil[[#This Row],[Date]]+1),MAX(0,H_Juil[[#This Row],[Fin corrigée si nuit]]-(1+deb_dimJF)),0))*24-
(IF(COUNTIF(JF,H_Juil[[#This Row],[Date]]),MAX(0,MIN(fin_dimJF,H_Juil[[#This Row],[PNP Fin corrigée]])-MAX(deb_dimJF,H_Juil[[#This Row],[PNP Début corrigé]])),0)+IF(COUNTIF(JF,H_Juil[[#This Row],[Date]]+1),MAX(0,H_Juil[[#This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SUM(H_Juil[Majoration])</f>
        <v>0</v>
      </c>
      <c r="J50" s="54">
        <f>SUM(H_Juil[Heures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155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:K5" xr:uid="{00000000-0002-0000-0900-000000000000}">
      <formula1>42736</formula1>
    </dataValidation>
    <dataValidation type="time" allowBlank="1" showInputMessage="1" showErrorMessage="1" error="Tapez les heures sous le format_x000a_00:00" sqref="C13:H49" xr:uid="{00000000-0002-0000-09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9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print="0" autoLine="0" r:id="rId5">
            <anchor moveWithCells="1">
              <from>
                <xdr:col>9</xdr:col>
                <xdr:colOff>480060</xdr:colOff>
                <xdr:row>0</xdr:row>
                <xdr:rowOff>76200</xdr:rowOff>
              </from>
              <to>
                <xdr:col>9</xdr:col>
                <xdr:colOff>1264920</xdr:colOff>
                <xdr:row>3</xdr:row>
                <xdr:rowOff>198120</xdr:rowOff>
              </to>
            </anchor>
          </controlPr>
        </control>
      </mc:Choice>
      <mc:Fallback>
        <control shapeId="1024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9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Z60"/>
  <sheetViews>
    <sheetView zoomScale="80" zoomScaleNormal="80" zoomScalePageLayoutView="55" workbookViewId="0">
      <selection activeCell="X31" sqref="X31"/>
    </sheetView>
  </sheetViews>
  <sheetFormatPr baseColWidth="10" defaultRowHeight="14.4" x14ac:dyDescent="0.3"/>
  <cols>
    <col min="1" max="1" width="20.21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30.10937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Août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0.1*(H_Aout[[#This Row],[Heures de nuit]]+IF(H_Aout[[#This Row],[majoration dim &amp; JF]]="non",0,H_Aout[[#This Row],[heures jour dimanche]]+H_Aout[[#This Row],[heures jour fériés]]))</f>
        <v>0</v>
      </c>
      <c r="J13" s="29">
        <f>(MOD(H_Aout[[#This Row],[Fin]]-H_Aout[[#This Row],[début]],1)-MOD(H_Aout[[#This Row],[PNP Fin]]-H_Aout[[#This Row],[PNP Début]],1))*24</f>
        <v>0</v>
      </c>
      <c r="K13" s="29" t="str">
        <f>IFERROR(VLOOKUP(H_Aout[[#This Row],[Service]],Codes[],4,0),"")</f>
        <v/>
      </c>
      <c r="L13" s="30">
        <f>IF(H_Aout[[#This Row],[PNP Début]]=0,0,IF(H_Aout[[#This Row],[PNP Début]]&lt;H_Aout[[#This Row],[début]],1,0)+H_Aout[[#This Row],[PNP Début]])</f>
        <v>0</v>
      </c>
      <c r="M13" s="30">
        <f>IF(H_Aout[[#This Row],[PNP Fin]]=0,0,IF(H_Aout[[#This Row],[PNP Fin]]&lt;H_Aout[[#This Row],[début]],1,0)+H_Aout[[#This Row],[PNP Fin]])</f>
        <v>0</v>
      </c>
      <c r="N13" s="30">
        <f>IF(H_Aout[[#This Row],[Fin]]&lt;H_Aout[[#This Row],[début]],1,0)+H_Aout[[#This Row],[Fin]]</f>
        <v>0</v>
      </c>
      <c r="O13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3" s="3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3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3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3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3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0.1*(H_Aout[[#This Row],[Heures de nuit]]+IF(H_Aout[[#This Row],[majoration dim &amp; JF]]="non",0,H_Aout[[#This Row],[heures jour dimanche]]+H_Aout[[#This Row],[heures jour fériés]]))</f>
        <v>0</v>
      </c>
      <c r="J14" s="29">
        <f>(MOD(H_Aout[[#This Row],[Fin]]-H_Aout[[#This Row],[début]],1)-MOD(H_Aout[[#This Row],[PNP Fin]]-H_Aout[[#This Row],[PNP Début]],1))*24</f>
        <v>0</v>
      </c>
      <c r="K14" s="29" t="str">
        <f>IFERROR(VLOOKUP(H_Aout[[#This Row],[Service]],Codes[],4,0),"")</f>
        <v/>
      </c>
      <c r="L14" s="30">
        <f>IF(H_Aout[[#This Row],[PNP Début]]=0,0,IF(H_Aout[[#This Row],[PNP Début]]&lt;H_Aout[[#This Row],[début]],1,0)+H_Aout[[#This Row],[PNP Début]])</f>
        <v>0</v>
      </c>
      <c r="M14" s="30">
        <f>IF(H_Aout[[#This Row],[PNP Fin]]=0,0,IF(H_Aout[[#This Row],[PNP Fin]]&lt;H_Aout[[#This Row],[début]],1,0)+H_Aout[[#This Row],[PNP Fin]])</f>
        <v>0</v>
      </c>
      <c r="N14" s="30">
        <f>IF(H_Aout[[#This Row],[Fin]]&lt;H_Aout[[#This Row],[début]],1,0)+H_Aout[[#This Row],[Fin]]</f>
        <v>0</v>
      </c>
      <c r="O14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4" s="3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4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4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4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4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0.1*(H_Aout[[#This Row],[Heures de nuit]]+IF(H_Aout[[#This Row],[majoration dim &amp; JF]]="non",0,H_Aout[[#This Row],[heures jour dimanche]]+H_Aout[[#This Row],[heures jour fériés]]))</f>
        <v>0</v>
      </c>
      <c r="J15" s="29">
        <f>(MOD(H_Aout[[#This Row],[Fin]]-H_Aout[[#This Row],[début]],1)-MOD(H_Aout[[#This Row],[PNP Fin]]-H_Aout[[#This Row],[PNP Début]],1))*24</f>
        <v>0</v>
      </c>
      <c r="K15" s="29" t="str">
        <f>IFERROR(VLOOKUP(H_Aout[[#This Row],[Service]],Codes[],4,0),"")</f>
        <v/>
      </c>
      <c r="L15" s="30">
        <f>IF(H_Aout[[#This Row],[PNP Début]]=0,0,IF(H_Aout[[#This Row],[PNP Début]]&lt;H_Aout[[#This Row],[début]],1,0)+H_Aout[[#This Row],[PNP Début]])</f>
        <v>0</v>
      </c>
      <c r="M15" s="30">
        <f>IF(H_Aout[[#This Row],[PNP Fin]]=0,0,IF(H_Aout[[#This Row],[PNP Fin]]&lt;H_Aout[[#This Row],[début]],1,0)+H_Aout[[#This Row],[PNP Fin]])</f>
        <v>0</v>
      </c>
      <c r="N15" s="30">
        <f>IF(H_Aout[[#This Row],[Fin]]&lt;H_Aout[[#This Row],[début]],1,0)+H_Aout[[#This Row],[Fin]]</f>
        <v>0</v>
      </c>
      <c r="O15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5" s="3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5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5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5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5" s="32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0.1*(H_Aout[[#This Row],[Heures de nuit]]+IF(H_Aout[[#This Row],[majoration dim &amp; JF]]="non",0,H_Aout[[#This Row],[heures jour dimanche]]+H_Aout[[#This Row],[heures jour fériés]]))</f>
        <v>0</v>
      </c>
      <c r="J16" s="33">
        <f>(MOD(H_Aout[[#This Row],[Fin]]-H_Aout[[#This Row],[début]],1)-MOD(H_Aout[[#This Row],[PNP Fin]]-H_Aout[[#This Row],[PNP Début]],1))*24</f>
        <v>0</v>
      </c>
      <c r="K16" s="33" t="str">
        <f>IFERROR(VLOOKUP(H_Aout[[#This Row],[Service]],Codes[],4,0),"")</f>
        <v/>
      </c>
      <c r="L16" s="30">
        <f>IF(H_Aout[[#This Row],[PNP Début]]=0,0,IF(H_Aout[[#This Row],[PNP Début]]&lt;H_Aout[[#This Row],[début]],1,0)+H_Aout[[#This Row],[PNP Début]])</f>
        <v>0</v>
      </c>
      <c r="M16" s="30">
        <f>IF(H_Aout[[#This Row],[PNP Fin]]=0,0,IF(H_Aout[[#This Row],[PNP Fin]]&lt;H_Aout[[#This Row],[début]],1,0)+H_Aout[[#This Row],[PNP Fin]])</f>
        <v>0</v>
      </c>
      <c r="N16" s="34">
        <f>IF(H_Aout[[#This Row],[Fin]]&lt;H_Aout[[#This Row],[début]],1,0)+H_Aout[[#This Row],[Fin]]</f>
        <v>0</v>
      </c>
      <c r="O16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6" s="35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6" s="35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6" s="3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6" s="36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6" s="36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16" s="104" t="s">
        <v>116</v>
      </c>
      <c r="W16" s="105">
        <f>'Juillet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0.1*(H_Aout[[#This Row],[Heures de nuit]]+IF(H_Aout[[#This Row],[majoration dim &amp; JF]]="non",0,H_Aout[[#This Row],[heures jour dimanche]]+H_Aout[[#This Row],[heures jour fériés]]))</f>
        <v>0</v>
      </c>
      <c r="J17" s="38">
        <f>(MOD(H_Aout[[#This Row],[Fin]]-H_Aout[[#This Row],[début]],1)-MOD(H_Aout[[#This Row],[PNP Fin]]-H_Aout[[#This Row],[PNP Début]],1))*24</f>
        <v>0</v>
      </c>
      <c r="K17" s="99" t="str">
        <f>IFERROR(VLOOKUP(H_Aout[[#This Row],[Service]],Codes[],4,0),"")</f>
        <v/>
      </c>
      <c r="L17" s="39">
        <f>IF(H_Aout[[#This Row],[PNP Début]]=0,0,IF(H_Aout[[#This Row],[PNP Début]]&lt;H_Aout[[#This Row],[début]],1,0)+H_Aout[[#This Row],[PNP Début]])</f>
        <v>0</v>
      </c>
      <c r="M17" s="40">
        <f>IF(H_Aout[[#This Row],[PNP Fin]]=0,0,IF(H_Aout[[#This Row],[PNP Fin]]&lt;H_Aout[[#This Row],[début]],1,0)+H_Aout[[#This Row],[PNP Fin]])</f>
        <v>0</v>
      </c>
      <c r="N17" s="40">
        <f>IF(H_Aout[[#This Row],[Fin]]&lt;H_Aout[[#This Row],[début]],1,0)+H_Aout[[#This Row],[Fin]]</f>
        <v>0</v>
      </c>
      <c r="O17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7" s="4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7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7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7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7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0.1*(H_Aout[[#This Row],[Heures de nuit]]+IF(H_Aout[[#This Row],[majoration dim &amp; JF]]="non",0,H_Aout[[#This Row],[heures jour dimanche]]+H_Aout[[#This Row],[heures jour fériés]]))</f>
        <v>0</v>
      </c>
      <c r="J18" s="38">
        <f>(MOD(H_Aout[[#This Row],[Fin]]-H_Aout[[#This Row],[début]],1)-MOD(H_Aout[[#This Row],[PNP Fin]]-H_Aout[[#This Row],[PNP Début]],1))*24</f>
        <v>0</v>
      </c>
      <c r="K18" s="99" t="str">
        <f>IFERROR(VLOOKUP(H_Aout[[#This Row],[Service]],Codes[],4,0),"")</f>
        <v/>
      </c>
      <c r="L18" s="39">
        <f>IF(H_Aout[[#This Row],[PNP Début]]=0,0,IF(H_Aout[[#This Row],[PNP Début]]&lt;H_Aout[[#This Row],[début]],1,0)+H_Aout[[#This Row],[PNP Début]])</f>
        <v>0</v>
      </c>
      <c r="M18" s="40">
        <f>IF(H_Aout[[#This Row],[PNP Fin]]=0,0,IF(H_Aout[[#This Row],[PNP Fin]]&lt;H_Aout[[#This Row],[début]],1,0)+H_Aout[[#This Row],[PNP Fin]])</f>
        <v>0</v>
      </c>
      <c r="N18" s="40">
        <f>IF(H_Aout[[#This Row],[Fin]]&lt;H_Aout[[#This Row],[début]],1,0)+H_Aout[[#This Row],[Fin]]</f>
        <v>0</v>
      </c>
      <c r="O18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8" s="4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8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8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8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8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0.1*(H_Aout[[#This Row],[Heures de nuit]]+IF(H_Aout[[#This Row],[majoration dim &amp; JF]]="non",0,H_Aout[[#This Row],[heures jour dimanche]]+H_Aout[[#This Row],[heures jour fériés]]))</f>
        <v>0</v>
      </c>
      <c r="J19" s="38">
        <f>(MOD(H_Aout[[#This Row],[Fin]]-H_Aout[[#This Row],[début]],1)-MOD(H_Aout[[#This Row],[PNP Fin]]-H_Aout[[#This Row],[PNP Début]],1))*24</f>
        <v>0</v>
      </c>
      <c r="K19" s="99" t="str">
        <f>IFERROR(VLOOKUP(H_Aout[[#This Row],[Service]],Codes[],4,0),"")</f>
        <v/>
      </c>
      <c r="L19" s="39">
        <f>IF(H_Aout[[#This Row],[PNP Début]]=0,0,IF(H_Aout[[#This Row],[PNP Début]]&lt;H_Aout[[#This Row],[début]],1,0)+H_Aout[[#This Row],[PNP Début]])</f>
        <v>0</v>
      </c>
      <c r="M19" s="40">
        <f>IF(H_Aout[[#This Row],[PNP Fin]]=0,0,IF(H_Aout[[#This Row],[PNP Fin]]&lt;H_Aout[[#This Row],[début]],1,0)+H_Aout[[#This Row],[PNP Fin]])</f>
        <v>0</v>
      </c>
      <c r="N19" s="40">
        <f>IF(H_Aout[[#This Row],[Fin]]&lt;H_Aout[[#This Row],[début]],1,0)+H_Aout[[#This Row],[Fin]]</f>
        <v>0</v>
      </c>
      <c r="O19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19" s="4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19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19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19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19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0.1*(H_Aout[[#This Row],[Heures de nuit]]+IF(H_Aout[[#This Row],[majoration dim &amp; JF]]="non",0,H_Aout[[#This Row],[heures jour dimanche]]+H_Aout[[#This Row],[heures jour fériés]]))</f>
        <v>0</v>
      </c>
      <c r="J20" s="38">
        <f>(MOD(H_Aout[[#This Row],[Fin]]-H_Aout[[#This Row],[début]],1)-MOD(H_Aout[[#This Row],[PNP Fin]]-H_Aout[[#This Row],[PNP Début]],1))*24</f>
        <v>0</v>
      </c>
      <c r="K20" s="99" t="str">
        <f>IFERROR(VLOOKUP(H_Aout[[#This Row],[Service]],Codes[],4,0),"")</f>
        <v/>
      </c>
      <c r="L20" s="39">
        <f>IF(H_Aout[[#This Row],[PNP Début]]=0,0,IF(H_Aout[[#This Row],[PNP Début]]&lt;H_Aout[[#This Row],[début]],1,0)+H_Aout[[#This Row],[PNP Début]])</f>
        <v>0</v>
      </c>
      <c r="M20" s="40">
        <f>IF(H_Aout[[#This Row],[PNP Fin]]=0,0,IF(H_Aout[[#This Row],[PNP Fin]]&lt;H_Aout[[#This Row],[début]],1,0)+H_Aout[[#This Row],[PNP Fin]])</f>
        <v>0</v>
      </c>
      <c r="N20" s="40">
        <f>IF(H_Aout[[#This Row],[Fin]]&lt;H_Aout[[#This Row],[début]],1,0)+H_Aout[[#This Row],[Fin]]</f>
        <v>0</v>
      </c>
      <c r="O20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0" s="4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0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0" s="4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0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0" s="4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0.1*(H_Aout[[#This Row],[Heures de nuit]]+IF(H_Aout[[#This Row],[majoration dim &amp; JF]]="non",0,H_Aout[[#This Row],[heures jour dimanche]]+H_Aout[[#This Row],[heures jour fériés]]))</f>
        <v>0</v>
      </c>
      <c r="J21" s="43">
        <f>(MOD(H_Aout[[#This Row],[Fin]]-H_Aout[[#This Row],[début]],1)-MOD(H_Aout[[#This Row],[PNP Fin]]-H_Aout[[#This Row],[PNP Début]],1))*24</f>
        <v>0</v>
      </c>
      <c r="K21" s="100" t="str">
        <f>IFERROR(VLOOKUP(H_Aout[[#This Row],[Service]],Codes[],4,0),"")</f>
        <v/>
      </c>
      <c r="L21" s="44">
        <f>IF(H_Aout[[#This Row],[PNP Début]]=0,0,IF(H_Aout[[#This Row],[PNP Début]]&lt;H_Aout[[#This Row],[début]],1,0)+H_Aout[[#This Row],[PNP Début]])</f>
        <v>0</v>
      </c>
      <c r="M21" s="45">
        <f>IF(H_Aout[[#This Row],[PNP Fin]]=0,0,IF(H_Aout[[#This Row],[PNP Fin]]&lt;H_Aout[[#This Row],[début]],1,0)+H_Aout[[#This Row],[PNP Fin]])</f>
        <v>0</v>
      </c>
      <c r="N21" s="45">
        <f>IF(H_Aout[[#This Row],[Fin]]&lt;H_Aout[[#This Row],[début]],1,0)+H_Aout[[#This Row],[Fin]]</f>
        <v>0</v>
      </c>
      <c r="O21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1" s="46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1" s="46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1" s="46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1" s="46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1" s="46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0.1*(H_Aout[[#This Row],[Heures de nuit]]+IF(H_Aout[[#This Row],[majoration dim &amp; JF]]="non",0,H_Aout[[#This Row],[heures jour dimanche]]+H_Aout[[#This Row],[heures jour fériés]]))</f>
        <v>0</v>
      </c>
      <c r="J22" s="48">
        <f>(MOD(H_Aout[[#This Row],[Fin]]-H_Aout[[#This Row],[début]],1)-MOD(H_Aout[[#This Row],[PNP Fin]]-H_Aout[[#This Row],[PNP Début]],1))*24</f>
        <v>0</v>
      </c>
      <c r="K22" s="96" t="str">
        <f>IFERROR(VLOOKUP(H_Aout[[#This Row],[Service]],Codes[],4,0),"")</f>
        <v/>
      </c>
      <c r="L22" s="49">
        <f>IF(H_Aout[[#This Row],[PNP Début]]=0,0,IF(H_Aout[[#This Row],[PNP Début]]&lt;H_Aout[[#This Row],[début]],1,0)+H_Aout[[#This Row],[PNP Début]])</f>
        <v>0</v>
      </c>
      <c r="M22" s="50">
        <f>IF(H_Aout[[#This Row],[PNP Fin]]=0,0,IF(H_Aout[[#This Row],[PNP Fin]]&lt;H_Aout[[#This Row],[début]],1,0)+H_Aout[[#This Row],[PNP Fin]])</f>
        <v>0</v>
      </c>
      <c r="N22" s="50">
        <f>IF(H_Aout[[#This Row],[Fin]]&lt;H_Aout[[#This Row],[début]],1,0)+H_Aout[[#This Row],[Fin]]</f>
        <v>0</v>
      </c>
      <c r="O22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2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0.1*(H_Aout[[#This Row],[Heures de nuit]]+IF(H_Aout[[#This Row],[majoration dim &amp; JF]]="non",0,H_Aout[[#This Row],[heures jour dimanche]]+H_Aout[[#This Row],[heures jour fériés]]))</f>
        <v>0</v>
      </c>
      <c r="J23" s="48">
        <f>(MOD(H_Aout[[#This Row],[Fin]]-H_Aout[[#This Row],[début]],1)-MOD(H_Aout[[#This Row],[PNP Fin]]-H_Aout[[#This Row],[PNP Début]],1))*24</f>
        <v>0</v>
      </c>
      <c r="K23" s="96" t="str">
        <f>IFERROR(VLOOKUP(H_Aout[[#This Row],[Service]],Codes[],4,0),"")</f>
        <v/>
      </c>
      <c r="L23" s="49">
        <f>IF(H_Aout[[#This Row],[PNP Début]]=0,0,IF(H_Aout[[#This Row],[PNP Début]]&lt;H_Aout[[#This Row],[début]],1,0)+H_Aout[[#This Row],[PNP Début]])</f>
        <v>0</v>
      </c>
      <c r="M23" s="50">
        <f>IF(H_Aout[[#This Row],[PNP Fin]]=0,0,IF(H_Aout[[#This Row],[PNP Fin]]&lt;H_Aout[[#This Row],[début]],1,0)+H_Aout[[#This Row],[PNP Fin]])</f>
        <v>0</v>
      </c>
      <c r="N23" s="50">
        <f>IF(H_Aout[[#This Row],[Fin]]&lt;H_Aout[[#This Row],[début]],1,0)+H_Aout[[#This Row],[Fin]]</f>
        <v>0</v>
      </c>
      <c r="O23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3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0.1*(H_Aout[[#This Row],[Heures de nuit]]+IF(H_Aout[[#This Row],[majoration dim &amp; JF]]="non",0,H_Aout[[#This Row],[heures jour dimanche]]+H_Aout[[#This Row],[heures jour fériés]]))</f>
        <v>0</v>
      </c>
      <c r="J24" s="48">
        <f>(MOD(H_Aout[[#This Row],[Fin]]-H_Aout[[#This Row],[début]],1)-MOD(H_Aout[[#This Row],[PNP Fin]]-H_Aout[[#This Row],[PNP Début]],1))*24</f>
        <v>0</v>
      </c>
      <c r="K24" s="96" t="str">
        <f>IFERROR(VLOOKUP(H_Aout[[#This Row],[Service]],Codes[],4,0),"")</f>
        <v/>
      </c>
      <c r="L24" s="49">
        <f>IF(H_Aout[[#This Row],[PNP Début]]=0,0,IF(H_Aout[[#This Row],[PNP Début]]&lt;H_Aout[[#This Row],[début]],1,0)+H_Aout[[#This Row],[PNP Début]])</f>
        <v>0</v>
      </c>
      <c r="M24" s="50">
        <f>IF(H_Aout[[#This Row],[PNP Fin]]=0,0,IF(H_Aout[[#This Row],[PNP Fin]]&lt;H_Aout[[#This Row],[début]],1,0)+H_Aout[[#This Row],[PNP Fin]])</f>
        <v>0</v>
      </c>
      <c r="N24" s="50">
        <f>IF(H_Aout[[#This Row],[Fin]]&lt;H_Aout[[#This Row],[début]],1,0)+H_Aout[[#This Row],[Fin]]</f>
        <v>0</v>
      </c>
      <c r="O24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4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0.1*(H_Aout[[#This Row],[Heures de nuit]]+IF(H_Aout[[#This Row],[majoration dim &amp; JF]]="non",0,H_Aout[[#This Row],[heures jour dimanche]]+H_Aout[[#This Row],[heures jour fériés]]))</f>
        <v>0</v>
      </c>
      <c r="J25" s="48">
        <f>(MOD(H_Aout[[#This Row],[Fin]]-H_Aout[[#This Row],[début]],1)-MOD(H_Aout[[#This Row],[PNP Fin]]-H_Aout[[#This Row],[PNP Début]],1))*24</f>
        <v>0</v>
      </c>
      <c r="K25" s="96" t="str">
        <f>IFERROR(VLOOKUP(H_Aout[[#This Row],[Service]],Codes[],4,0),"")</f>
        <v/>
      </c>
      <c r="L25" s="49">
        <f>IF(H_Aout[[#This Row],[PNP Début]]=0,0,IF(H_Aout[[#This Row],[PNP Début]]&lt;H_Aout[[#This Row],[début]],1,0)+H_Aout[[#This Row],[PNP Début]])</f>
        <v>0</v>
      </c>
      <c r="M25" s="50">
        <f>IF(H_Aout[[#This Row],[PNP Fin]]=0,0,IF(H_Aout[[#This Row],[PNP Fin]]&lt;H_Aout[[#This Row],[début]],1,0)+H_Aout[[#This Row],[PNP Fin]])</f>
        <v>0</v>
      </c>
      <c r="N25" s="50">
        <f>IF(H_Aout[[#This Row],[Fin]]&lt;H_Aout[[#This Row],[début]],1,0)+H_Aout[[#This Row],[Fin]]</f>
        <v>0</v>
      </c>
      <c r="O25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5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0.1*(H_Aout[[#This Row],[Heures de nuit]]+IF(H_Aout[[#This Row],[majoration dim &amp; JF]]="non",0,H_Aout[[#This Row],[heures jour dimanche]]+H_Aout[[#This Row],[heures jour fériés]]))</f>
        <v>0</v>
      </c>
      <c r="J26" s="48">
        <f>(MOD(H_Aout[[#This Row],[Fin]]-H_Aout[[#This Row],[début]],1)-MOD(H_Aout[[#This Row],[PNP Fin]]-H_Aout[[#This Row],[PNP Début]],1))*24</f>
        <v>0</v>
      </c>
      <c r="K26" s="96" t="str">
        <f>IFERROR(VLOOKUP(H_Aout[[#This Row],[Service]],Codes[],4,0),"")</f>
        <v/>
      </c>
      <c r="L26" s="49">
        <f>IF(H_Aout[[#This Row],[PNP Début]]=0,0,IF(H_Aout[[#This Row],[PNP Début]]&lt;H_Aout[[#This Row],[début]],1,0)+H_Aout[[#This Row],[PNP Début]])</f>
        <v>0</v>
      </c>
      <c r="M26" s="50">
        <f>IF(H_Aout[[#This Row],[PNP Fin]]=0,0,IF(H_Aout[[#This Row],[PNP Fin]]&lt;H_Aout[[#This Row],[début]],1,0)+H_Aout[[#This Row],[PNP Fin]])</f>
        <v>0</v>
      </c>
      <c r="N26" s="50">
        <f>IF(H_Aout[[#This Row],[Fin]]&lt;H_Aout[[#This Row],[début]],1,0)+H_Aout[[#This Row],[Fin]]</f>
        <v>0</v>
      </c>
      <c r="O26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6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0.1*(H_Aout[[#This Row],[Heures de nuit]]+IF(H_Aout[[#This Row],[majoration dim &amp; JF]]="non",0,H_Aout[[#This Row],[heures jour dimanche]]+H_Aout[[#This Row],[heures jour fériés]]))</f>
        <v>0</v>
      </c>
      <c r="J27" s="48">
        <f>(MOD(H_Aout[[#This Row],[Fin]]-H_Aout[[#This Row],[début]],1)-MOD(H_Aout[[#This Row],[PNP Fin]]-H_Aout[[#This Row],[PNP Début]],1))*24</f>
        <v>0</v>
      </c>
      <c r="K27" s="96" t="str">
        <f>IFERROR(VLOOKUP(H_Aout[[#This Row],[Service]],Codes[],4,0),"")</f>
        <v/>
      </c>
      <c r="L27" s="49">
        <f>IF(H_Aout[[#This Row],[PNP Début]]=0,0,IF(H_Aout[[#This Row],[PNP Début]]&lt;H_Aout[[#This Row],[début]],1,0)+H_Aout[[#This Row],[PNP Début]])</f>
        <v>0</v>
      </c>
      <c r="M27" s="50">
        <f>IF(H_Aout[[#This Row],[PNP Fin]]=0,0,IF(H_Aout[[#This Row],[PNP Fin]]&lt;H_Aout[[#This Row],[début]],1,0)+H_Aout[[#This Row],[PNP Fin]])</f>
        <v>0</v>
      </c>
      <c r="N27" s="50">
        <f>IF(H_Aout[[#This Row],[Fin]]&lt;H_Aout[[#This Row],[début]],1,0)+H_Aout[[#This Row],[Fin]]</f>
        <v>0</v>
      </c>
      <c r="O27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7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0.1*(H_Aout[[#This Row],[Heures de nuit]]+IF(H_Aout[[#This Row],[majoration dim &amp; JF]]="non",0,H_Aout[[#This Row],[heures jour dimanche]]+H_Aout[[#This Row],[heures jour fériés]]))</f>
        <v>0</v>
      </c>
      <c r="J28" s="48">
        <f>(MOD(H_Aout[[#This Row],[Fin]]-H_Aout[[#This Row],[début]],1)-MOD(H_Aout[[#This Row],[PNP Fin]]-H_Aout[[#This Row],[PNP Début]],1))*24</f>
        <v>0</v>
      </c>
      <c r="K28" s="96" t="str">
        <f>IFERROR(VLOOKUP(H_Aout[[#This Row],[Service]],Codes[],4,0),"")</f>
        <v/>
      </c>
      <c r="L28" s="49">
        <f>IF(H_Aout[[#This Row],[PNP Début]]=0,0,IF(H_Aout[[#This Row],[PNP Début]]&lt;H_Aout[[#This Row],[début]],1,0)+H_Aout[[#This Row],[PNP Début]])</f>
        <v>0</v>
      </c>
      <c r="M28" s="50">
        <f>IF(H_Aout[[#This Row],[PNP Fin]]=0,0,IF(H_Aout[[#This Row],[PNP Fin]]&lt;H_Aout[[#This Row],[début]],1,0)+H_Aout[[#This Row],[PNP Fin]])</f>
        <v>0</v>
      </c>
      <c r="N28" s="50">
        <f>IF(H_Aout[[#This Row],[Fin]]&lt;H_Aout[[#This Row],[début]],1,0)+H_Aout[[#This Row],[Fin]]</f>
        <v>0</v>
      </c>
      <c r="O28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8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0.1*(H_Aout[[#This Row],[Heures de nuit]]+IF(H_Aout[[#This Row],[majoration dim &amp; JF]]="non",0,H_Aout[[#This Row],[heures jour dimanche]]+H_Aout[[#This Row],[heures jour fériés]]))</f>
        <v>0</v>
      </c>
      <c r="J29" s="48">
        <f>(MOD(H_Aout[[#This Row],[Fin]]-H_Aout[[#This Row],[début]],1)-MOD(H_Aout[[#This Row],[PNP Fin]]-H_Aout[[#This Row],[PNP Début]],1))*24</f>
        <v>0</v>
      </c>
      <c r="K29" s="96" t="str">
        <f>IFERROR(VLOOKUP(H_Aout[[#This Row],[Service]],Codes[],4,0),"")</f>
        <v/>
      </c>
      <c r="L29" s="49">
        <f>IF(H_Aout[[#This Row],[PNP Début]]=0,0,IF(H_Aout[[#This Row],[PNP Début]]&lt;H_Aout[[#This Row],[début]],1,0)+H_Aout[[#This Row],[PNP Début]])</f>
        <v>0</v>
      </c>
      <c r="M29" s="50">
        <f>IF(H_Aout[[#This Row],[PNP Fin]]=0,0,IF(H_Aout[[#This Row],[PNP Fin]]&lt;H_Aout[[#This Row],[début]],1,0)+H_Aout[[#This Row],[PNP Fin]])</f>
        <v>0</v>
      </c>
      <c r="N29" s="50">
        <f>IF(H_Aout[[#This Row],[Fin]]&lt;H_Aout[[#This Row],[début]],1,0)+H_Aout[[#This Row],[Fin]]</f>
        <v>0</v>
      </c>
      <c r="O29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29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2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2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2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2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0.1*(H_Aout[[#This Row],[Heures de nuit]]+IF(H_Aout[[#This Row],[majoration dim &amp; JF]]="non",0,H_Aout[[#This Row],[heures jour dimanche]]+H_Aout[[#This Row],[heures jour fériés]]))</f>
        <v>0</v>
      </c>
      <c r="J30" s="48">
        <f>(MOD(H_Aout[[#This Row],[Fin]]-H_Aout[[#This Row],[début]],1)-MOD(H_Aout[[#This Row],[PNP Fin]]-H_Aout[[#This Row],[PNP Début]],1))*24</f>
        <v>0</v>
      </c>
      <c r="K30" s="96" t="str">
        <f>IFERROR(VLOOKUP(H_Aout[[#This Row],[Service]],Codes[],4,0),"")</f>
        <v/>
      </c>
      <c r="L30" s="49">
        <f>IF(H_Aout[[#This Row],[PNP Début]]=0,0,IF(H_Aout[[#This Row],[PNP Début]]&lt;H_Aout[[#This Row],[début]],1,0)+H_Aout[[#This Row],[PNP Début]])</f>
        <v>0</v>
      </c>
      <c r="M30" s="50">
        <f>IF(H_Aout[[#This Row],[PNP Fin]]=0,0,IF(H_Aout[[#This Row],[PNP Fin]]&lt;H_Aout[[#This Row],[début]],1,0)+H_Aout[[#This Row],[PNP Fin]])</f>
        <v>0</v>
      </c>
      <c r="N30" s="50">
        <f>IF(H_Aout[[#This Row],[Fin]]&lt;H_Aout[[#This Row],[début]],1,0)+H_Aout[[#This Row],[Fin]]</f>
        <v>0</v>
      </c>
      <c r="O30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0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0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0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0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0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0.1*(H_Aout[[#This Row],[Heures de nuit]]+IF(H_Aout[[#This Row],[majoration dim &amp; JF]]="non",0,H_Aout[[#This Row],[heures jour dimanche]]+H_Aout[[#This Row],[heures jour fériés]]))</f>
        <v>0</v>
      </c>
      <c r="J31" s="48">
        <f>(MOD(H_Aout[[#This Row],[Fin]]-H_Aout[[#This Row],[début]],1)-MOD(H_Aout[[#This Row],[PNP Fin]]-H_Aout[[#This Row],[PNP Début]],1))*24</f>
        <v>0</v>
      </c>
      <c r="K31" s="96" t="str">
        <f>IFERROR(VLOOKUP(H_Aout[[#This Row],[Service]],Codes[],4,0),"")</f>
        <v/>
      </c>
      <c r="L31" s="49">
        <f>IF(H_Aout[[#This Row],[PNP Début]]=0,0,IF(H_Aout[[#This Row],[PNP Début]]&lt;H_Aout[[#This Row],[début]],1,0)+H_Aout[[#This Row],[PNP Début]])</f>
        <v>0</v>
      </c>
      <c r="M31" s="50">
        <f>IF(H_Aout[[#This Row],[PNP Fin]]=0,0,IF(H_Aout[[#This Row],[PNP Fin]]&lt;H_Aout[[#This Row],[début]],1,0)+H_Aout[[#This Row],[PNP Fin]])</f>
        <v>0</v>
      </c>
      <c r="N31" s="50">
        <f>IF(H_Aout[[#This Row],[Fin]]&lt;H_Aout[[#This Row],[début]],1,0)+H_Aout[[#This Row],[Fin]]</f>
        <v>0</v>
      </c>
      <c r="O31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1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1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1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1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1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0.1*(H_Aout[[#This Row],[Heures de nuit]]+IF(H_Aout[[#This Row],[majoration dim &amp; JF]]="non",0,H_Aout[[#This Row],[heures jour dimanche]]+H_Aout[[#This Row],[heures jour fériés]]))</f>
        <v>0</v>
      </c>
      <c r="J32" s="48">
        <f>(MOD(H_Aout[[#This Row],[Fin]]-H_Aout[[#This Row],[début]],1)-MOD(H_Aout[[#This Row],[PNP Fin]]-H_Aout[[#This Row],[PNP Début]],1))*24</f>
        <v>0</v>
      </c>
      <c r="K32" s="96" t="str">
        <f>IFERROR(VLOOKUP(H_Aout[[#This Row],[Service]],Codes[],4,0),"")</f>
        <v/>
      </c>
      <c r="L32" s="49">
        <f>IF(H_Aout[[#This Row],[PNP Début]]=0,0,IF(H_Aout[[#This Row],[PNP Début]]&lt;H_Aout[[#This Row],[début]],1,0)+H_Aout[[#This Row],[PNP Début]])</f>
        <v>0</v>
      </c>
      <c r="M32" s="50">
        <f>IF(H_Aout[[#This Row],[PNP Fin]]=0,0,IF(H_Aout[[#This Row],[PNP Fin]]&lt;H_Aout[[#This Row],[début]],1,0)+H_Aout[[#This Row],[PNP Fin]])</f>
        <v>0</v>
      </c>
      <c r="N32" s="50">
        <f>IF(H_Aout[[#This Row],[Fin]]&lt;H_Aout[[#This Row],[début]],1,0)+H_Aout[[#This Row],[Fin]]</f>
        <v>0</v>
      </c>
      <c r="O32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2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0.1*(H_Aout[[#This Row],[Heures de nuit]]+IF(H_Aout[[#This Row],[majoration dim &amp; JF]]="non",0,H_Aout[[#This Row],[heures jour dimanche]]+H_Aout[[#This Row],[heures jour fériés]]))</f>
        <v>0</v>
      </c>
      <c r="J33" s="48">
        <f>(MOD(H_Aout[[#This Row],[Fin]]-H_Aout[[#This Row],[début]],1)-MOD(H_Aout[[#This Row],[PNP Fin]]-H_Aout[[#This Row],[PNP Début]],1))*24</f>
        <v>0</v>
      </c>
      <c r="K33" s="96" t="str">
        <f>IFERROR(VLOOKUP(H_Aout[[#This Row],[Service]],Codes[],4,0),"")</f>
        <v/>
      </c>
      <c r="L33" s="49">
        <f>IF(H_Aout[[#This Row],[PNP Début]]=0,0,IF(H_Aout[[#This Row],[PNP Début]]&lt;H_Aout[[#This Row],[début]],1,0)+H_Aout[[#This Row],[PNP Début]])</f>
        <v>0</v>
      </c>
      <c r="M33" s="50">
        <f>IF(H_Aout[[#This Row],[PNP Fin]]=0,0,IF(H_Aout[[#This Row],[PNP Fin]]&lt;H_Aout[[#This Row],[début]],1,0)+H_Aout[[#This Row],[PNP Fin]])</f>
        <v>0</v>
      </c>
      <c r="N33" s="50">
        <f>IF(H_Aout[[#This Row],[Fin]]&lt;H_Aout[[#This Row],[début]],1,0)+H_Aout[[#This Row],[Fin]]</f>
        <v>0</v>
      </c>
      <c r="O33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3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0.1*(H_Aout[[#This Row],[Heures de nuit]]+IF(H_Aout[[#This Row],[majoration dim &amp; JF]]="non",0,H_Aout[[#This Row],[heures jour dimanche]]+H_Aout[[#This Row],[heures jour fériés]]))</f>
        <v>0</v>
      </c>
      <c r="J34" s="48">
        <f>(MOD(H_Aout[[#This Row],[Fin]]-H_Aout[[#This Row],[début]],1)-MOD(H_Aout[[#This Row],[PNP Fin]]-H_Aout[[#This Row],[PNP Début]],1))*24</f>
        <v>0</v>
      </c>
      <c r="K34" s="96" t="str">
        <f>IFERROR(VLOOKUP(H_Aout[[#This Row],[Service]],Codes[],4,0),"")</f>
        <v/>
      </c>
      <c r="L34" s="49">
        <f>IF(H_Aout[[#This Row],[PNP Début]]=0,0,IF(H_Aout[[#This Row],[PNP Début]]&lt;H_Aout[[#This Row],[début]],1,0)+H_Aout[[#This Row],[PNP Début]])</f>
        <v>0</v>
      </c>
      <c r="M34" s="50">
        <f>IF(H_Aout[[#This Row],[PNP Fin]]=0,0,IF(H_Aout[[#This Row],[PNP Fin]]&lt;H_Aout[[#This Row],[début]],1,0)+H_Aout[[#This Row],[PNP Fin]])</f>
        <v>0</v>
      </c>
      <c r="N34" s="50">
        <f>IF(H_Aout[[#This Row],[Fin]]&lt;H_Aout[[#This Row],[début]],1,0)+H_Aout[[#This Row],[Fin]]</f>
        <v>0</v>
      </c>
      <c r="O34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4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0.1*(H_Aout[[#This Row],[Heures de nuit]]+IF(H_Aout[[#This Row],[majoration dim &amp; JF]]="non",0,H_Aout[[#This Row],[heures jour dimanche]]+H_Aout[[#This Row],[heures jour fériés]]))</f>
        <v>0</v>
      </c>
      <c r="J35" s="48">
        <f>(MOD(H_Aout[[#This Row],[Fin]]-H_Aout[[#This Row],[début]],1)-MOD(H_Aout[[#This Row],[PNP Fin]]-H_Aout[[#This Row],[PNP Début]],1))*24</f>
        <v>0</v>
      </c>
      <c r="K35" s="96" t="str">
        <f>IFERROR(VLOOKUP(H_Aout[[#This Row],[Service]],Codes[],4,0),"")</f>
        <v/>
      </c>
      <c r="L35" s="49">
        <f>IF(H_Aout[[#This Row],[PNP Début]]=0,0,IF(H_Aout[[#This Row],[PNP Début]]&lt;H_Aout[[#This Row],[début]],1,0)+H_Aout[[#This Row],[PNP Début]])</f>
        <v>0</v>
      </c>
      <c r="M35" s="50">
        <f>IF(H_Aout[[#This Row],[PNP Fin]]=0,0,IF(H_Aout[[#This Row],[PNP Fin]]&lt;H_Aout[[#This Row],[début]],1,0)+H_Aout[[#This Row],[PNP Fin]])</f>
        <v>0</v>
      </c>
      <c r="N35" s="50">
        <f>IF(H_Aout[[#This Row],[Fin]]&lt;H_Aout[[#This Row],[début]],1,0)+H_Aout[[#This Row],[Fin]]</f>
        <v>0</v>
      </c>
      <c r="O35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5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0.1*(H_Aout[[#This Row],[Heures de nuit]]+IF(H_Aout[[#This Row],[majoration dim &amp; JF]]="non",0,H_Aout[[#This Row],[heures jour dimanche]]+H_Aout[[#This Row],[heures jour fériés]]))</f>
        <v>0</v>
      </c>
      <c r="J36" s="48">
        <f>(MOD(H_Aout[[#This Row],[Fin]]-H_Aout[[#This Row],[début]],1)-MOD(H_Aout[[#This Row],[PNP Fin]]-H_Aout[[#This Row],[PNP Début]],1))*24</f>
        <v>0</v>
      </c>
      <c r="K36" s="96" t="str">
        <f>IFERROR(VLOOKUP(H_Aout[[#This Row],[Service]],Codes[],4,0),"")</f>
        <v/>
      </c>
      <c r="L36" s="49">
        <f>IF(H_Aout[[#This Row],[PNP Début]]=0,0,IF(H_Aout[[#This Row],[PNP Début]]&lt;H_Aout[[#This Row],[début]],1,0)+H_Aout[[#This Row],[PNP Début]])</f>
        <v>0</v>
      </c>
      <c r="M36" s="50">
        <f>IF(H_Aout[[#This Row],[PNP Fin]]=0,0,IF(H_Aout[[#This Row],[PNP Fin]]&lt;H_Aout[[#This Row],[début]],1,0)+H_Aout[[#This Row],[PNP Fin]])</f>
        <v>0</v>
      </c>
      <c r="N36" s="50">
        <f>IF(H_Aout[[#This Row],[Fin]]&lt;H_Aout[[#This Row],[début]],1,0)+H_Aout[[#This Row],[Fin]]</f>
        <v>0</v>
      </c>
      <c r="O36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6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0.1*(H_Aout[[#This Row],[Heures de nuit]]+IF(H_Aout[[#This Row],[majoration dim &amp; JF]]="non",0,H_Aout[[#This Row],[heures jour dimanche]]+H_Aout[[#This Row],[heures jour fériés]]))</f>
        <v>0</v>
      </c>
      <c r="J37" s="48">
        <f>(MOD(H_Aout[[#This Row],[Fin]]-H_Aout[[#This Row],[début]],1)-MOD(H_Aout[[#This Row],[PNP Fin]]-H_Aout[[#This Row],[PNP Début]],1))*24</f>
        <v>0</v>
      </c>
      <c r="K37" s="96" t="str">
        <f>IFERROR(VLOOKUP(H_Aout[[#This Row],[Service]],Codes[],4,0),"")</f>
        <v/>
      </c>
      <c r="L37" s="49">
        <f>IF(H_Aout[[#This Row],[PNP Début]]=0,0,IF(H_Aout[[#This Row],[PNP Début]]&lt;H_Aout[[#This Row],[début]],1,0)+H_Aout[[#This Row],[PNP Début]])</f>
        <v>0</v>
      </c>
      <c r="M37" s="50">
        <f>IF(H_Aout[[#This Row],[PNP Fin]]=0,0,IF(H_Aout[[#This Row],[PNP Fin]]&lt;H_Aout[[#This Row],[début]],1,0)+H_Aout[[#This Row],[PNP Fin]])</f>
        <v>0</v>
      </c>
      <c r="N37" s="50">
        <f>IF(H_Aout[[#This Row],[Fin]]&lt;H_Aout[[#This Row],[début]],1,0)+H_Aout[[#This Row],[Fin]]</f>
        <v>0</v>
      </c>
      <c r="O37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7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0.1*(H_Aout[[#This Row],[Heures de nuit]]+IF(H_Aout[[#This Row],[majoration dim &amp; JF]]="non",0,H_Aout[[#This Row],[heures jour dimanche]]+H_Aout[[#This Row],[heures jour fériés]]))</f>
        <v>0</v>
      </c>
      <c r="J38" s="48">
        <f>(MOD(H_Aout[[#This Row],[Fin]]-H_Aout[[#This Row],[début]],1)-MOD(H_Aout[[#This Row],[PNP Fin]]-H_Aout[[#This Row],[PNP Début]],1))*24</f>
        <v>0</v>
      </c>
      <c r="K38" s="96" t="str">
        <f>IFERROR(VLOOKUP(H_Aout[[#This Row],[Service]],Codes[],4,0),"")</f>
        <v/>
      </c>
      <c r="L38" s="49">
        <f>IF(H_Aout[[#This Row],[PNP Début]]=0,0,IF(H_Aout[[#This Row],[PNP Début]]&lt;H_Aout[[#This Row],[début]],1,0)+H_Aout[[#This Row],[PNP Début]])</f>
        <v>0</v>
      </c>
      <c r="M38" s="50">
        <f>IF(H_Aout[[#This Row],[PNP Fin]]=0,0,IF(H_Aout[[#This Row],[PNP Fin]]&lt;H_Aout[[#This Row],[début]],1,0)+H_Aout[[#This Row],[PNP Fin]])</f>
        <v>0</v>
      </c>
      <c r="N38" s="50">
        <f>IF(H_Aout[[#This Row],[Fin]]&lt;H_Aout[[#This Row],[début]],1,0)+H_Aout[[#This Row],[Fin]]</f>
        <v>0</v>
      </c>
      <c r="O38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8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0.1*(H_Aout[[#This Row],[Heures de nuit]]+IF(H_Aout[[#This Row],[majoration dim &amp; JF]]="non",0,H_Aout[[#This Row],[heures jour dimanche]]+H_Aout[[#This Row],[heures jour fériés]]))</f>
        <v>0</v>
      </c>
      <c r="J39" s="48">
        <f>(MOD(H_Aout[[#This Row],[Fin]]-H_Aout[[#This Row],[début]],1)-MOD(H_Aout[[#This Row],[PNP Fin]]-H_Aout[[#This Row],[PNP Début]],1))*24</f>
        <v>0</v>
      </c>
      <c r="K39" s="96" t="str">
        <f>IFERROR(VLOOKUP(H_Aout[[#This Row],[Service]],Codes[],4,0),"")</f>
        <v/>
      </c>
      <c r="L39" s="49">
        <f>IF(H_Aout[[#This Row],[PNP Début]]=0,0,IF(H_Aout[[#This Row],[PNP Début]]&lt;H_Aout[[#This Row],[début]],1,0)+H_Aout[[#This Row],[PNP Début]])</f>
        <v>0</v>
      </c>
      <c r="M39" s="50">
        <f>IF(H_Aout[[#This Row],[PNP Fin]]=0,0,IF(H_Aout[[#This Row],[PNP Fin]]&lt;H_Aout[[#This Row],[début]],1,0)+H_Aout[[#This Row],[PNP Fin]])</f>
        <v>0</v>
      </c>
      <c r="N39" s="50">
        <f>IF(H_Aout[[#This Row],[Fin]]&lt;H_Aout[[#This Row],[début]],1,0)+H_Aout[[#This Row],[Fin]]</f>
        <v>0</v>
      </c>
      <c r="O39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39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3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3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3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3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0.1*(H_Aout[[#This Row],[Heures de nuit]]+IF(H_Aout[[#This Row],[majoration dim &amp; JF]]="non",0,H_Aout[[#This Row],[heures jour dimanche]]+H_Aout[[#This Row],[heures jour fériés]]))</f>
        <v>0</v>
      </c>
      <c r="J40" s="48">
        <f>(MOD(H_Aout[[#This Row],[Fin]]-H_Aout[[#This Row],[début]],1)-MOD(H_Aout[[#This Row],[PNP Fin]]-H_Aout[[#This Row],[PNP Début]],1))*24</f>
        <v>0</v>
      </c>
      <c r="K40" s="96" t="str">
        <f>IFERROR(VLOOKUP(H_Aout[[#This Row],[Service]],Codes[],4,0),"")</f>
        <v/>
      </c>
      <c r="L40" s="49">
        <f>IF(H_Aout[[#This Row],[PNP Début]]=0,0,IF(H_Aout[[#This Row],[PNP Début]]&lt;H_Aout[[#This Row],[début]],1,0)+H_Aout[[#This Row],[PNP Début]])</f>
        <v>0</v>
      </c>
      <c r="M40" s="50">
        <f>IF(H_Aout[[#This Row],[PNP Fin]]=0,0,IF(H_Aout[[#This Row],[PNP Fin]]&lt;H_Aout[[#This Row],[début]],1,0)+H_Aout[[#This Row],[PNP Fin]])</f>
        <v>0</v>
      </c>
      <c r="N40" s="50">
        <f>IF(H_Aout[[#This Row],[Fin]]&lt;H_Aout[[#This Row],[début]],1,0)+H_Aout[[#This Row],[Fin]]</f>
        <v>0</v>
      </c>
      <c r="O40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0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0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0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0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0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0.1*(H_Aout[[#This Row],[Heures de nuit]]+IF(H_Aout[[#This Row],[majoration dim &amp; JF]]="non",0,H_Aout[[#This Row],[heures jour dimanche]]+H_Aout[[#This Row],[heures jour fériés]]))</f>
        <v>0</v>
      </c>
      <c r="J41" s="48">
        <f>(MOD(H_Aout[[#This Row],[Fin]]-H_Aout[[#This Row],[début]],1)-MOD(H_Aout[[#This Row],[PNP Fin]]-H_Aout[[#This Row],[PNP Début]],1))*24</f>
        <v>0</v>
      </c>
      <c r="K41" s="96" t="str">
        <f>IFERROR(VLOOKUP(H_Aout[[#This Row],[Service]],Codes[],4,0),"")</f>
        <v/>
      </c>
      <c r="L41" s="49">
        <f>IF(H_Aout[[#This Row],[PNP Début]]=0,0,IF(H_Aout[[#This Row],[PNP Début]]&lt;H_Aout[[#This Row],[début]],1,0)+H_Aout[[#This Row],[PNP Début]])</f>
        <v>0</v>
      </c>
      <c r="M41" s="50">
        <f>IF(H_Aout[[#This Row],[PNP Fin]]=0,0,IF(H_Aout[[#This Row],[PNP Fin]]&lt;H_Aout[[#This Row],[début]],1,0)+H_Aout[[#This Row],[PNP Fin]])</f>
        <v>0</v>
      </c>
      <c r="N41" s="50">
        <f>IF(H_Aout[[#This Row],[Fin]]&lt;H_Aout[[#This Row],[début]],1,0)+H_Aout[[#This Row],[Fin]]</f>
        <v>0</v>
      </c>
      <c r="O41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1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1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1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1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1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0.1*(H_Aout[[#This Row],[Heures de nuit]]+IF(H_Aout[[#This Row],[majoration dim &amp; JF]]="non",0,H_Aout[[#This Row],[heures jour dimanche]]+H_Aout[[#This Row],[heures jour fériés]]))</f>
        <v>0</v>
      </c>
      <c r="J42" s="48">
        <f>(MOD(H_Aout[[#This Row],[Fin]]-H_Aout[[#This Row],[début]],1)-MOD(H_Aout[[#This Row],[PNP Fin]]-H_Aout[[#This Row],[PNP Début]],1))*24</f>
        <v>0</v>
      </c>
      <c r="K42" s="96" t="str">
        <f>IFERROR(VLOOKUP(H_Aout[[#This Row],[Service]],Codes[],4,0),"")</f>
        <v/>
      </c>
      <c r="L42" s="49">
        <f>IF(H_Aout[[#This Row],[PNP Début]]=0,0,IF(H_Aout[[#This Row],[PNP Début]]&lt;H_Aout[[#This Row],[début]],1,0)+H_Aout[[#This Row],[PNP Début]])</f>
        <v>0</v>
      </c>
      <c r="M42" s="50">
        <f>IF(H_Aout[[#This Row],[PNP Fin]]=0,0,IF(H_Aout[[#This Row],[PNP Fin]]&lt;H_Aout[[#This Row],[début]],1,0)+H_Aout[[#This Row],[PNP Fin]])</f>
        <v>0</v>
      </c>
      <c r="N42" s="50">
        <f>IF(H_Aout[[#This Row],[Fin]]&lt;H_Aout[[#This Row],[début]],1,0)+H_Aout[[#This Row],[Fin]]</f>
        <v>0</v>
      </c>
      <c r="O42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2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2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2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0.1*(H_Aout[[#This Row],[Heures de nuit]]+IF(H_Aout[[#This Row],[majoration dim &amp; JF]]="non",0,H_Aout[[#This Row],[heures jour dimanche]]+H_Aout[[#This Row],[heures jour fériés]]))</f>
        <v>0</v>
      </c>
      <c r="J43" s="48">
        <f>(MOD(H_Aout[[#This Row],[Fin]]-H_Aout[[#This Row],[début]],1)-MOD(H_Aout[[#This Row],[PNP Fin]]-H_Aout[[#This Row],[PNP Début]],1))*24</f>
        <v>0</v>
      </c>
      <c r="K43" s="96" t="str">
        <f>IFERROR(VLOOKUP(H_Aout[[#This Row],[Service]],Codes[],4,0),"")</f>
        <v/>
      </c>
      <c r="L43" s="49">
        <f>IF(H_Aout[[#This Row],[PNP Début]]=0,0,IF(H_Aout[[#This Row],[PNP Début]]&lt;H_Aout[[#This Row],[début]],1,0)+H_Aout[[#This Row],[PNP Début]])</f>
        <v>0</v>
      </c>
      <c r="M43" s="50">
        <f>IF(H_Aout[[#This Row],[PNP Fin]]=0,0,IF(H_Aout[[#This Row],[PNP Fin]]&lt;H_Aout[[#This Row],[début]],1,0)+H_Aout[[#This Row],[PNP Fin]])</f>
        <v>0</v>
      </c>
      <c r="N43" s="50">
        <f>IF(H_Aout[[#This Row],[Fin]]&lt;H_Aout[[#This Row],[début]],1,0)+H_Aout[[#This Row],[Fin]]</f>
        <v>0</v>
      </c>
      <c r="O43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3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3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3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0.1*(H_Aout[[#This Row],[Heures de nuit]]+IF(H_Aout[[#This Row],[majoration dim &amp; JF]]="non",0,H_Aout[[#This Row],[heures jour dimanche]]+H_Aout[[#This Row],[heures jour fériés]]))</f>
        <v>0</v>
      </c>
      <c r="J44" s="48">
        <f>(MOD(H_Aout[[#This Row],[Fin]]-H_Aout[[#This Row],[début]],1)-MOD(H_Aout[[#This Row],[PNP Fin]]-H_Aout[[#This Row],[PNP Début]],1))*24</f>
        <v>0</v>
      </c>
      <c r="K44" s="96" t="str">
        <f>IFERROR(VLOOKUP(H_Aout[[#This Row],[Service]],Codes[],4,0),"")</f>
        <v/>
      </c>
      <c r="L44" s="49">
        <f>IF(H_Aout[[#This Row],[PNP Début]]=0,0,IF(H_Aout[[#This Row],[PNP Début]]&lt;H_Aout[[#This Row],[début]],1,0)+H_Aout[[#This Row],[PNP Début]])</f>
        <v>0</v>
      </c>
      <c r="M44" s="50">
        <f>IF(H_Aout[[#This Row],[PNP Fin]]=0,0,IF(H_Aout[[#This Row],[PNP Fin]]&lt;H_Aout[[#This Row],[début]],1,0)+H_Aout[[#This Row],[PNP Fin]])</f>
        <v>0</v>
      </c>
      <c r="N44" s="50">
        <f>IF(H_Aout[[#This Row],[Fin]]&lt;H_Aout[[#This Row],[début]],1,0)+H_Aout[[#This Row],[Fin]]</f>
        <v>0</v>
      </c>
      <c r="O44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4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4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4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0.1*(H_Aout[[#This Row],[Heures de nuit]]+IF(H_Aout[[#This Row],[majoration dim &amp; JF]]="non",0,H_Aout[[#This Row],[heures jour dimanche]]+H_Aout[[#This Row],[heures jour fériés]]))</f>
        <v>0</v>
      </c>
      <c r="J45" s="48">
        <f>(MOD(H_Aout[[#This Row],[Fin]]-H_Aout[[#This Row],[début]],1)-MOD(H_Aout[[#This Row],[PNP Fin]]-H_Aout[[#This Row],[PNP Début]],1))*24</f>
        <v>0</v>
      </c>
      <c r="K45" s="96" t="str">
        <f>IFERROR(VLOOKUP(H_Aout[[#This Row],[Service]],Codes[],4,0),"")</f>
        <v/>
      </c>
      <c r="L45" s="49">
        <f>IF(H_Aout[[#This Row],[PNP Début]]=0,0,IF(H_Aout[[#This Row],[PNP Début]]&lt;H_Aout[[#This Row],[début]],1,0)+H_Aout[[#This Row],[PNP Début]])</f>
        <v>0</v>
      </c>
      <c r="M45" s="50">
        <f>IF(H_Aout[[#This Row],[PNP Fin]]=0,0,IF(H_Aout[[#This Row],[PNP Fin]]&lt;H_Aout[[#This Row],[début]],1,0)+H_Aout[[#This Row],[PNP Fin]])</f>
        <v>0</v>
      </c>
      <c r="N45" s="50">
        <f>IF(H_Aout[[#This Row],[Fin]]&lt;H_Aout[[#This Row],[début]],1,0)+H_Aout[[#This Row],[Fin]]</f>
        <v>0</v>
      </c>
      <c r="O45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5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5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5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0.1*(H_Aout[[#This Row],[Heures de nuit]]+IF(H_Aout[[#This Row],[majoration dim &amp; JF]]="non",0,H_Aout[[#This Row],[heures jour dimanche]]+H_Aout[[#This Row],[heures jour fériés]]))</f>
        <v>0</v>
      </c>
      <c r="J46" s="48">
        <f>(MOD(H_Aout[[#This Row],[Fin]]-H_Aout[[#This Row],[début]],1)-MOD(H_Aout[[#This Row],[PNP Fin]]-H_Aout[[#This Row],[PNP Début]],1))*24</f>
        <v>0</v>
      </c>
      <c r="K46" s="96" t="str">
        <f>IFERROR(VLOOKUP(H_Aout[[#This Row],[Service]],Codes[],4,0),"")</f>
        <v/>
      </c>
      <c r="L46" s="49">
        <f>IF(H_Aout[[#This Row],[PNP Début]]=0,0,IF(H_Aout[[#This Row],[PNP Début]]&lt;H_Aout[[#This Row],[début]],1,0)+H_Aout[[#This Row],[PNP Début]])</f>
        <v>0</v>
      </c>
      <c r="M46" s="50">
        <f>IF(H_Aout[[#This Row],[PNP Fin]]=0,0,IF(H_Aout[[#This Row],[PNP Fin]]&lt;H_Aout[[#This Row],[début]],1,0)+H_Aout[[#This Row],[PNP Fin]])</f>
        <v>0</v>
      </c>
      <c r="N46" s="50">
        <f>IF(H_Aout[[#This Row],[Fin]]&lt;H_Aout[[#This Row],[début]],1,0)+H_Aout[[#This Row],[Fin]]</f>
        <v>0</v>
      </c>
      <c r="O46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6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6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6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0.1*(H_Aout[[#This Row],[Heures de nuit]]+IF(H_Aout[[#This Row],[majoration dim &amp; JF]]="non",0,H_Aout[[#This Row],[heures jour dimanche]]+H_Aout[[#This Row],[heures jour fériés]]))</f>
        <v>0</v>
      </c>
      <c r="J47" s="48">
        <f>(MOD(H_Aout[[#This Row],[Fin]]-H_Aout[[#This Row],[début]],1)-MOD(H_Aout[[#This Row],[PNP Fin]]-H_Aout[[#This Row],[PNP Début]],1))*24</f>
        <v>0</v>
      </c>
      <c r="K47" s="96" t="str">
        <f>IFERROR(VLOOKUP(H_Aout[[#This Row],[Service]],Codes[],4,0),"")</f>
        <v/>
      </c>
      <c r="L47" s="49">
        <f>IF(H_Aout[[#This Row],[PNP Début]]=0,0,IF(H_Aout[[#This Row],[PNP Début]]&lt;H_Aout[[#This Row],[début]],1,0)+H_Aout[[#This Row],[PNP Début]])</f>
        <v>0</v>
      </c>
      <c r="M47" s="50">
        <f>IF(H_Aout[[#This Row],[PNP Fin]]=0,0,IF(H_Aout[[#This Row],[PNP Fin]]&lt;H_Aout[[#This Row],[début]],1,0)+H_Aout[[#This Row],[PNP Fin]])</f>
        <v>0</v>
      </c>
      <c r="N47" s="50">
        <f>IF(H_Aout[[#This Row],[Fin]]&lt;H_Aout[[#This Row],[début]],1,0)+H_Aout[[#This Row],[Fin]]</f>
        <v>0</v>
      </c>
      <c r="O47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7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7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7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0.1*(H_Aout[[#This Row],[Heures de nuit]]+IF(H_Aout[[#This Row],[majoration dim &amp; JF]]="non",0,H_Aout[[#This Row],[heures jour dimanche]]+H_Aout[[#This Row],[heures jour fériés]]))</f>
        <v>0</v>
      </c>
      <c r="J48" s="48">
        <f>(MOD(H_Aout[[#This Row],[Fin]]-H_Aout[[#This Row],[début]],1)-MOD(H_Aout[[#This Row],[PNP Fin]]-H_Aout[[#This Row],[PNP Début]],1))*24</f>
        <v>0</v>
      </c>
      <c r="K48" s="96" t="str">
        <f>IFERROR(VLOOKUP(H_Aout[[#This Row],[Service]],Codes[],4,0),"")</f>
        <v/>
      </c>
      <c r="L48" s="49">
        <f>IF(H_Aout[[#This Row],[PNP Début]]=0,0,IF(H_Aout[[#This Row],[PNP Début]]&lt;H_Aout[[#This Row],[début]],1,0)+H_Aout[[#This Row],[PNP Début]])</f>
        <v>0</v>
      </c>
      <c r="M48" s="50">
        <f>IF(H_Aout[[#This Row],[PNP Fin]]=0,0,IF(H_Aout[[#This Row],[PNP Fin]]&lt;H_Aout[[#This Row],[début]],1,0)+H_Aout[[#This Row],[PNP Fin]])</f>
        <v>0</v>
      </c>
      <c r="N48" s="50">
        <f>IF(H_Aout[[#This Row],[Fin]]&lt;H_Aout[[#This Row],[début]],1,0)+H_Aout[[#This Row],[Fin]]</f>
        <v>0</v>
      </c>
      <c r="O48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8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8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8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0.1*(H_Aout[[#This Row],[Heures de nuit]]+IF(H_Aout[[#This Row],[majoration dim &amp; JF]]="non",0,H_Aout[[#This Row],[heures jour dimanche]]+H_Aout[[#This Row],[heures jour fériés]]))</f>
        <v>0</v>
      </c>
      <c r="J49" s="48">
        <f>(MOD(H_Aout[[#This Row],[Fin]]-H_Aout[[#This Row],[début]],1)-MOD(H_Aout[[#This Row],[PNP Fin]]-H_Aout[[#This Row],[PNP Début]],1))*24</f>
        <v>0</v>
      </c>
      <c r="K49" s="96" t="str">
        <f>IFERROR(VLOOKUP(H_Aout[[#This Row],[Service]],Codes[],4,0),"")</f>
        <v/>
      </c>
      <c r="L49" s="49">
        <f>IF(H_Aout[[#This Row],[PNP Début]]=0,0,IF(H_Aout[[#This Row],[PNP Début]]&lt;H_Aout[[#This Row],[début]],1,0)+H_Aout[[#This Row],[PNP Début]])</f>
        <v>0</v>
      </c>
      <c r="M49" s="50">
        <f>IF(H_Aout[[#This Row],[PNP Fin]]=0,0,IF(H_Aout[[#This Row],[PNP Fin]]&lt;H_Aout[[#This Row],[début]],1,0)+H_Aout[[#This Row],[PNP Fin]])</f>
        <v>0</v>
      </c>
      <c r="N49" s="50">
        <f>IF(H_Aout[[#This Row],[Fin]]&lt;H_Aout[[#This Row],[début]],1,0)+H_Aout[[#This Row],[Fin]]</f>
        <v>0</v>
      </c>
      <c r="O49" s="31">
        <f>IF(H_Aout[[#This Row],[Fin]]&lt;H_Aout[[#This Row],[début]],MAX(0,MIN(H_Aout[[#This Row],[Fin corrigée si nuit]],fin_nuit)-MAX(H_Aout[[#This Row],[début]],deb_nuit))*24,(MAX(deb_nuit,H_Aout[[#This Row],[Fin]])-MAX(deb_nuit,H_Aout[[#This Row],[début]])+MAX(MIN(fin_nuit-1,H_Aout[[#This Row],[Fin]])-MIN(fin_nuit-1,H_Aout[[#This Row],[début]]),0))*24)</f>
        <v>0</v>
      </c>
      <c r="P49" s="51">
        <f>(MAX(0,MIN(H_Aout[[#This Row],[Fin corrigée si nuit]],fin_nuit)-MAX(H_Aout[[#This Row],[début]],deb_nuit))-IF(H_Aout[[#This Row],[PNP Début]]=0,0,MIN(H_Aout[[#This Row],[PNP Fin corrigée]],fin_nuit)-MAX(H_Aout[[#This Row],[PNP Début corrigé]],deb_nuit)))*24</f>
        <v>0</v>
      </c>
      <c r="Q4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</f>
        <v>0</v>
      </c>
      <c r="R49" s="51">
        <f>(IF(WEEKDAY(H_Aout[[#This Row],[Date]],2)=7,MAX(0,MIN(fin_dimJF,H_Aout[[#This Row],[Fin corrigée si nuit]])-MAX(deb_dimJF,H_Aout[[#This Row],[début]])),0)+IF(WEEKDAY(H_Aout[[#This Row],[Date]],2)=6,MAX(0,H_Aout[[#This Row],[Fin corrigée si nuit]]-(1+deb_dimJF)),0))*24-
(IF(WEEKDAY(H_Aout[[#This Row],[Date]],2)=7,MAX(0,MIN(fin_dimJF,H_Aout[[#This Row],[PNP Fin corrigée]])-MAX(deb_dimJF,H_Aout[[#This Row],[PNP Début corrigé]])),0)+IF(WEEKDAY(H_Aout[[#This Row],[Date]],2)=6,MAX(0,H_Aout[[#This Row],[PNP Fin corrigée]]-(1+deb_dimJF)),0))*24</f>
        <v>0</v>
      </c>
      <c r="S4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</f>
        <v>0</v>
      </c>
      <c r="T49" s="51">
        <f>(IF(COUNTIF(JF,H_Aout[[#This Row],[Date]]),MAX(0,MIN(fin_dimJF,H_Aout[[#This Row],[Fin corrigée si nuit]])-MAX(deb_dimJF,H_Aout[[#This Row],[début]])),0)+IF(COUNTIF(JF,H_Aout[[#This Row],[Date]]+1),MAX(0,H_Aout[[#This Row],[Fin corrigée si nuit]]-(1+deb_dimJF)),0))*24-
(IF(COUNTIF(JF,H_Aout[[#This Row],[Date]]),MAX(0,MIN(fin_dimJF,H_Aout[[#This Row],[PNP Fin corrigée]])-MAX(deb_dimJF,H_Aout[[#This Row],[PNP Début corrigé]])),0)+IF(COUNTIF(JF,H_Aout[[#This Row],[Date]]+1),MAX(0,H_Aout[[#This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SUM(H_Aout[Majoration])</f>
        <v>0</v>
      </c>
      <c r="J50" s="54">
        <f>SUM(H_Aout[Heures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129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A00-000000000000}"/>
    <dataValidation type="time" allowBlank="1" showInputMessage="1" showErrorMessage="1" error="Tapez les heures sous le format_x000a_00:00" sqref="C13:H49" xr:uid="{00000000-0002-0000-0A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J5:K5" xr:uid="{00000000-0002-0000-0A00-000002000000}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print="0" autoLine="0" r:id="rId5">
            <anchor moveWithCells="1">
              <from>
                <xdr:col>9</xdr:col>
                <xdr:colOff>449580</xdr:colOff>
                <xdr:row>0</xdr:row>
                <xdr:rowOff>83820</xdr:rowOff>
              </from>
              <to>
                <xdr:col>9</xdr:col>
                <xdr:colOff>1234440</xdr:colOff>
                <xdr:row>3</xdr:row>
                <xdr:rowOff>198120</xdr:rowOff>
              </to>
            </anchor>
          </controlPr>
        </control>
      </mc:Choice>
      <mc:Fallback>
        <control shapeId="11265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A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Z60"/>
  <sheetViews>
    <sheetView topLeftCell="A5" zoomScale="80" zoomScaleNormal="80" zoomScalePageLayoutView="40" workbookViewId="0">
      <selection activeCell="V23" sqref="V23:W23"/>
    </sheetView>
  </sheetViews>
  <sheetFormatPr baseColWidth="10" defaultRowHeight="14.4" x14ac:dyDescent="0.3"/>
  <cols>
    <col min="1" max="1" width="20.441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33.10937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Septembre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0.1*(H_Sept[[#This Row],[Heures de nuit]]+IF(H_Sept[[#This Row],[majoration dim &amp; JF]]="non",0,H_Sept[[#This Row],[heures jour dimanche]]+H_Sept[[#This Row],[heures jour fériés]]))</f>
        <v>0</v>
      </c>
      <c r="J13" s="29">
        <f>(MOD(H_Sept[[#This Row],[Fin]]-H_Sept[[#This Row],[début]],1)-MOD(H_Sept[[#This Row],[PNP Fin]]-H_Sept[[#This Row],[PNP Début]],1))*24</f>
        <v>0</v>
      </c>
      <c r="K13" s="29" t="str">
        <f>IFERROR(VLOOKUP(H_Sept[[#This Row],[Service]],Codes[],4,0),"")</f>
        <v/>
      </c>
      <c r="L13" s="30">
        <f>IF(H_Sept[[#This Row],[PNP Début]]=0,0,IF(H_Sept[[#This Row],[PNP Début]]&lt;H_Sept[[#This Row],[début]],1,0)+H_Sept[[#This Row],[PNP Début]])</f>
        <v>0</v>
      </c>
      <c r="M13" s="30">
        <f>IF(H_Sept[[#This Row],[PNP Fin]]=0,0,IF(H_Sept[[#This Row],[PNP Fin]]&lt;H_Sept[[#This Row],[début]],1,0)+H_Sept[[#This Row],[PNP Fin]])</f>
        <v>0</v>
      </c>
      <c r="N13" s="30">
        <f>IF(H_Sept[[#This Row],[Fin]]&lt;H_Sept[[#This Row],[début]],1,0)+H_Sept[[#This Row],[Fin]]</f>
        <v>0</v>
      </c>
      <c r="O13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3" s="3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3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3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3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3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0.1*(H_Sept[[#This Row],[Heures de nuit]]+IF(H_Sept[[#This Row],[majoration dim &amp; JF]]="non",0,H_Sept[[#This Row],[heures jour dimanche]]+H_Sept[[#This Row],[heures jour fériés]]))</f>
        <v>0</v>
      </c>
      <c r="J14" s="29">
        <f>(MOD(H_Sept[[#This Row],[Fin]]-H_Sept[[#This Row],[début]],1)-MOD(H_Sept[[#This Row],[PNP Fin]]-H_Sept[[#This Row],[PNP Début]],1))*24</f>
        <v>0</v>
      </c>
      <c r="K14" s="29" t="str">
        <f>IFERROR(VLOOKUP(H_Sept[[#This Row],[Service]],Codes[],4,0),"")</f>
        <v/>
      </c>
      <c r="L14" s="30">
        <f>IF(H_Sept[[#This Row],[PNP Début]]=0,0,IF(H_Sept[[#This Row],[PNP Début]]&lt;H_Sept[[#This Row],[début]],1,0)+H_Sept[[#This Row],[PNP Début]])</f>
        <v>0</v>
      </c>
      <c r="M14" s="30">
        <f>IF(H_Sept[[#This Row],[PNP Fin]]=0,0,IF(H_Sept[[#This Row],[PNP Fin]]&lt;H_Sept[[#This Row],[début]],1,0)+H_Sept[[#This Row],[PNP Fin]])</f>
        <v>0</v>
      </c>
      <c r="N14" s="30">
        <f>IF(H_Sept[[#This Row],[Fin]]&lt;H_Sept[[#This Row],[début]],1,0)+H_Sept[[#This Row],[Fin]]</f>
        <v>0</v>
      </c>
      <c r="O14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4" s="3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4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4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4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4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0.1*(H_Sept[[#This Row],[Heures de nuit]]+IF(H_Sept[[#This Row],[majoration dim &amp; JF]]="non",0,H_Sept[[#This Row],[heures jour dimanche]]+H_Sept[[#This Row],[heures jour fériés]]))</f>
        <v>0</v>
      </c>
      <c r="J15" s="29">
        <f>(MOD(H_Sept[[#This Row],[Fin]]-H_Sept[[#This Row],[début]],1)-MOD(H_Sept[[#This Row],[PNP Fin]]-H_Sept[[#This Row],[PNP Début]],1))*24</f>
        <v>0</v>
      </c>
      <c r="K15" s="29" t="str">
        <f>IFERROR(VLOOKUP(H_Sept[[#This Row],[Service]],Codes[],4,0),"")</f>
        <v/>
      </c>
      <c r="L15" s="30">
        <f>IF(H_Sept[[#This Row],[PNP Début]]=0,0,IF(H_Sept[[#This Row],[PNP Début]]&lt;H_Sept[[#This Row],[début]],1,0)+H_Sept[[#This Row],[PNP Début]])</f>
        <v>0</v>
      </c>
      <c r="M15" s="30">
        <f>IF(H_Sept[[#This Row],[PNP Fin]]=0,0,IF(H_Sept[[#This Row],[PNP Fin]]&lt;H_Sept[[#This Row],[début]],1,0)+H_Sept[[#This Row],[PNP Fin]])</f>
        <v>0</v>
      </c>
      <c r="N15" s="30">
        <f>IF(H_Sept[[#This Row],[Fin]]&lt;H_Sept[[#This Row],[début]],1,0)+H_Sept[[#This Row],[Fin]]</f>
        <v>0</v>
      </c>
      <c r="O15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5" s="3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5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5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5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5" s="32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0.1*(H_Sept[[#This Row],[Heures de nuit]]+IF(H_Sept[[#This Row],[majoration dim &amp; JF]]="non",0,H_Sept[[#This Row],[heures jour dimanche]]+H_Sept[[#This Row],[heures jour fériés]]))</f>
        <v>0</v>
      </c>
      <c r="J16" s="33">
        <f>(MOD(H_Sept[[#This Row],[Fin]]-H_Sept[[#This Row],[début]],1)-MOD(H_Sept[[#This Row],[PNP Fin]]-H_Sept[[#This Row],[PNP Début]],1))*24</f>
        <v>0</v>
      </c>
      <c r="K16" s="33" t="str">
        <f>IFERROR(VLOOKUP(H_Sept[[#This Row],[Service]],Codes[],4,0),"")</f>
        <v/>
      </c>
      <c r="L16" s="30">
        <f>IF(H_Sept[[#This Row],[PNP Début]]=0,0,IF(H_Sept[[#This Row],[PNP Début]]&lt;H_Sept[[#This Row],[début]],1,0)+H_Sept[[#This Row],[PNP Début]])</f>
        <v>0</v>
      </c>
      <c r="M16" s="30">
        <f>IF(H_Sept[[#This Row],[PNP Fin]]=0,0,IF(H_Sept[[#This Row],[PNP Fin]]&lt;H_Sept[[#This Row],[début]],1,0)+H_Sept[[#This Row],[PNP Fin]])</f>
        <v>0</v>
      </c>
      <c r="N16" s="34">
        <f>IF(H_Sept[[#This Row],[Fin]]&lt;H_Sept[[#This Row],[début]],1,0)+H_Sept[[#This Row],[Fin]]</f>
        <v>0</v>
      </c>
      <c r="O16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6" s="35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6" s="35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6" s="3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6" s="36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6" s="36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16" s="104" t="s">
        <v>116</v>
      </c>
      <c r="W16" s="105">
        <f>'Août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0.1*(H_Sept[[#This Row],[Heures de nuit]]+IF(H_Sept[[#This Row],[majoration dim &amp; JF]]="non",0,H_Sept[[#This Row],[heures jour dimanche]]+H_Sept[[#This Row],[heures jour fériés]]))</f>
        <v>0</v>
      </c>
      <c r="J17" s="38">
        <f>(MOD(H_Sept[[#This Row],[Fin]]-H_Sept[[#This Row],[début]],1)-MOD(H_Sept[[#This Row],[PNP Fin]]-H_Sept[[#This Row],[PNP Début]],1))*24</f>
        <v>0</v>
      </c>
      <c r="K17" s="99" t="str">
        <f>IFERROR(VLOOKUP(H_Sept[[#This Row],[Service]],Codes[],4,0),"")</f>
        <v/>
      </c>
      <c r="L17" s="39">
        <f>IF(H_Sept[[#This Row],[PNP Début]]=0,0,IF(H_Sept[[#This Row],[PNP Début]]&lt;H_Sept[[#This Row],[début]],1,0)+H_Sept[[#This Row],[PNP Début]])</f>
        <v>0</v>
      </c>
      <c r="M17" s="40">
        <f>IF(H_Sept[[#This Row],[PNP Fin]]=0,0,IF(H_Sept[[#This Row],[PNP Fin]]&lt;H_Sept[[#This Row],[début]],1,0)+H_Sept[[#This Row],[PNP Fin]])</f>
        <v>0</v>
      </c>
      <c r="N17" s="40">
        <f>IF(H_Sept[[#This Row],[Fin]]&lt;H_Sept[[#This Row],[début]],1,0)+H_Sept[[#This Row],[Fin]]</f>
        <v>0</v>
      </c>
      <c r="O17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7" s="4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7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7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7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7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0.1*(H_Sept[[#This Row],[Heures de nuit]]+IF(H_Sept[[#This Row],[majoration dim &amp; JF]]="non",0,H_Sept[[#This Row],[heures jour dimanche]]+H_Sept[[#This Row],[heures jour fériés]]))</f>
        <v>0</v>
      </c>
      <c r="J18" s="38">
        <f>(MOD(H_Sept[[#This Row],[Fin]]-H_Sept[[#This Row],[début]],1)-MOD(H_Sept[[#This Row],[PNP Fin]]-H_Sept[[#This Row],[PNP Début]],1))*24</f>
        <v>0</v>
      </c>
      <c r="K18" s="99" t="str">
        <f>IFERROR(VLOOKUP(H_Sept[[#This Row],[Service]],Codes[],4,0),"")</f>
        <v/>
      </c>
      <c r="L18" s="39">
        <f>IF(H_Sept[[#This Row],[PNP Début]]=0,0,IF(H_Sept[[#This Row],[PNP Début]]&lt;H_Sept[[#This Row],[début]],1,0)+H_Sept[[#This Row],[PNP Début]])</f>
        <v>0</v>
      </c>
      <c r="M18" s="40">
        <f>IF(H_Sept[[#This Row],[PNP Fin]]=0,0,IF(H_Sept[[#This Row],[PNP Fin]]&lt;H_Sept[[#This Row],[début]],1,0)+H_Sept[[#This Row],[PNP Fin]])</f>
        <v>0</v>
      </c>
      <c r="N18" s="40">
        <f>IF(H_Sept[[#This Row],[Fin]]&lt;H_Sept[[#This Row],[début]],1,0)+H_Sept[[#This Row],[Fin]]</f>
        <v>0</v>
      </c>
      <c r="O18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8" s="4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8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8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8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8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0.1*(H_Sept[[#This Row],[Heures de nuit]]+IF(H_Sept[[#This Row],[majoration dim &amp; JF]]="non",0,H_Sept[[#This Row],[heures jour dimanche]]+H_Sept[[#This Row],[heures jour fériés]]))</f>
        <v>0</v>
      </c>
      <c r="J19" s="38">
        <f>(MOD(H_Sept[[#This Row],[Fin]]-H_Sept[[#This Row],[début]],1)-MOD(H_Sept[[#This Row],[PNP Fin]]-H_Sept[[#This Row],[PNP Début]],1))*24</f>
        <v>0</v>
      </c>
      <c r="K19" s="99" t="str">
        <f>IFERROR(VLOOKUP(H_Sept[[#This Row],[Service]],Codes[],4,0),"")</f>
        <v/>
      </c>
      <c r="L19" s="39">
        <f>IF(H_Sept[[#This Row],[PNP Début]]=0,0,IF(H_Sept[[#This Row],[PNP Début]]&lt;H_Sept[[#This Row],[début]],1,0)+H_Sept[[#This Row],[PNP Début]])</f>
        <v>0</v>
      </c>
      <c r="M19" s="40">
        <f>IF(H_Sept[[#This Row],[PNP Fin]]=0,0,IF(H_Sept[[#This Row],[PNP Fin]]&lt;H_Sept[[#This Row],[début]],1,0)+H_Sept[[#This Row],[PNP Fin]])</f>
        <v>0</v>
      </c>
      <c r="N19" s="40">
        <f>IF(H_Sept[[#This Row],[Fin]]&lt;H_Sept[[#This Row],[début]],1,0)+H_Sept[[#This Row],[Fin]]</f>
        <v>0</v>
      </c>
      <c r="O19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19" s="4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19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19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19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19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0.1*(H_Sept[[#This Row],[Heures de nuit]]+IF(H_Sept[[#This Row],[majoration dim &amp; JF]]="non",0,H_Sept[[#This Row],[heures jour dimanche]]+H_Sept[[#This Row],[heures jour fériés]]))</f>
        <v>0</v>
      </c>
      <c r="J20" s="38">
        <f>(MOD(H_Sept[[#This Row],[Fin]]-H_Sept[[#This Row],[début]],1)-MOD(H_Sept[[#This Row],[PNP Fin]]-H_Sept[[#This Row],[PNP Début]],1))*24</f>
        <v>0</v>
      </c>
      <c r="K20" s="99" t="str">
        <f>IFERROR(VLOOKUP(H_Sept[[#This Row],[Service]],Codes[],4,0),"")</f>
        <v/>
      </c>
      <c r="L20" s="39">
        <f>IF(H_Sept[[#This Row],[PNP Début]]=0,0,IF(H_Sept[[#This Row],[PNP Début]]&lt;H_Sept[[#This Row],[début]],1,0)+H_Sept[[#This Row],[PNP Début]])</f>
        <v>0</v>
      </c>
      <c r="M20" s="40">
        <f>IF(H_Sept[[#This Row],[PNP Fin]]=0,0,IF(H_Sept[[#This Row],[PNP Fin]]&lt;H_Sept[[#This Row],[début]],1,0)+H_Sept[[#This Row],[PNP Fin]])</f>
        <v>0</v>
      </c>
      <c r="N20" s="40">
        <f>IF(H_Sept[[#This Row],[Fin]]&lt;H_Sept[[#This Row],[début]],1,0)+H_Sept[[#This Row],[Fin]]</f>
        <v>0</v>
      </c>
      <c r="O20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0" s="4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0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0" s="4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0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0" s="4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0.1*(H_Sept[[#This Row],[Heures de nuit]]+IF(H_Sept[[#This Row],[majoration dim &amp; JF]]="non",0,H_Sept[[#This Row],[heures jour dimanche]]+H_Sept[[#This Row],[heures jour fériés]]))</f>
        <v>0</v>
      </c>
      <c r="J21" s="43">
        <f>(MOD(H_Sept[[#This Row],[Fin]]-H_Sept[[#This Row],[début]],1)-MOD(H_Sept[[#This Row],[PNP Fin]]-H_Sept[[#This Row],[PNP Début]],1))*24</f>
        <v>0</v>
      </c>
      <c r="K21" s="100" t="str">
        <f>IFERROR(VLOOKUP(H_Sept[[#This Row],[Service]],Codes[],4,0),"")</f>
        <v/>
      </c>
      <c r="L21" s="44">
        <f>IF(H_Sept[[#This Row],[PNP Début]]=0,0,IF(H_Sept[[#This Row],[PNP Début]]&lt;H_Sept[[#This Row],[début]],1,0)+H_Sept[[#This Row],[PNP Début]])</f>
        <v>0</v>
      </c>
      <c r="M21" s="45">
        <f>IF(H_Sept[[#This Row],[PNP Fin]]=0,0,IF(H_Sept[[#This Row],[PNP Fin]]&lt;H_Sept[[#This Row],[début]],1,0)+H_Sept[[#This Row],[PNP Fin]])</f>
        <v>0</v>
      </c>
      <c r="N21" s="45">
        <f>IF(H_Sept[[#This Row],[Fin]]&lt;H_Sept[[#This Row],[début]],1,0)+H_Sept[[#This Row],[Fin]]</f>
        <v>0</v>
      </c>
      <c r="O21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1" s="46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1" s="46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1" s="46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1" s="46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1" s="46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0.1*(H_Sept[[#This Row],[Heures de nuit]]+IF(H_Sept[[#This Row],[majoration dim &amp; JF]]="non",0,H_Sept[[#This Row],[heures jour dimanche]]+H_Sept[[#This Row],[heures jour fériés]]))</f>
        <v>0</v>
      </c>
      <c r="J22" s="48">
        <f>(MOD(H_Sept[[#This Row],[Fin]]-H_Sept[[#This Row],[début]],1)-MOD(H_Sept[[#This Row],[PNP Fin]]-H_Sept[[#This Row],[PNP Début]],1))*24</f>
        <v>0</v>
      </c>
      <c r="K22" s="96" t="str">
        <f>IFERROR(VLOOKUP(H_Sept[[#This Row],[Service]],Codes[],4,0),"")</f>
        <v/>
      </c>
      <c r="L22" s="49">
        <f>IF(H_Sept[[#This Row],[PNP Début]]=0,0,IF(H_Sept[[#This Row],[PNP Début]]&lt;H_Sept[[#This Row],[début]],1,0)+H_Sept[[#This Row],[PNP Début]])</f>
        <v>0</v>
      </c>
      <c r="M22" s="50">
        <f>IF(H_Sept[[#This Row],[PNP Fin]]=0,0,IF(H_Sept[[#This Row],[PNP Fin]]&lt;H_Sept[[#This Row],[début]],1,0)+H_Sept[[#This Row],[PNP Fin]])</f>
        <v>0</v>
      </c>
      <c r="N22" s="50">
        <f>IF(H_Sept[[#This Row],[Fin]]&lt;H_Sept[[#This Row],[début]],1,0)+H_Sept[[#This Row],[Fin]]</f>
        <v>0</v>
      </c>
      <c r="O22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2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0.1*(H_Sept[[#This Row],[Heures de nuit]]+IF(H_Sept[[#This Row],[majoration dim &amp; JF]]="non",0,H_Sept[[#This Row],[heures jour dimanche]]+H_Sept[[#This Row],[heures jour fériés]]))</f>
        <v>0</v>
      </c>
      <c r="J23" s="48">
        <f>(MOD(H_Sept[[#This Row],[Fin]]-H_Sept[[#This Row],[début]],1)-MOD(H_Sept[[#This Row],[PNP Fin]]-H_Sept[[#This Row],[PNP Début]],1))*24</f>
        <v>0</v>
      </c>
      <c r="K23" s="96" t="str">
        <f>IFERROR(VLOOKUP(H_Sept[[#This Row],[Service]],Codes[],4,0),"")</f>
        <v/>
      </c>
      <c r="L23" s="49">
        <f>IF(H_Sept[[#This Row],[PNP Début]]=0,0,IF(H_Sept[[#This Row],[PNP Début]]&lt;H_Sept[[#This Row],[début]],1,0)+H_Sept[[#This Row],[PNP Début]])</f>
        <v>0</v>
      </c>
      <c r="M23" s="50">
        <f>IF(H_Sept[[#This Row],[PNP Fin]]=0,0,IF(H_Sept[[#This Row],[PNP Fin]]&lt;H_Sept[[#This Row],[début]],1,0)+H_Sept[[#This Row],[PNP Fin]])</f>
        <v>0</v>
      </c>
      <c r="N23" s="50">
        <f>IF(H_Sept[[#This Row],[Fin]]&lt;H_Sept[[#This Row],[début]],1,0)+H_Sept[[#This Row],[Fin]]</f>
        <v>0</v>
      </c>
      <c r="O23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3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0.1*(H_Sept[[#This Row],[Heures de nuit]]+IF(H_Sept[[#This Row],[majoration dim &amp; JF]]="non",0,H_Sept[[#This Row],[heures jour dimanche]]+H_Sept[[#This Row],[heures jour fériés]]))</f>
        <v>0</v>
      </c>
      <c r="J24" s="48">
        <f>(MOD(H_Sept[[#This Row],[Fin]]-H_Sept[[#This Row],[début]],1)-MOD(H_Sept[[#This Row],[PNP Fin]]-H_Sept[[#This Row],[PNP Début]],1))*24</f>
        <v>0</v>
      </c>
      <c r="K24" s="96" t="str">
        <f>IFERROR(VLOOKUP(H_Sept[[#This Row],[Service]],Codes[],4,0),"")</f>
        <v/>
      </c>
      <c r="L24" s="49">
        <f>IF(H_Sept[[#This Row],[PNP Début]]=0,0,IF(H_Sept[[#This Row],[PNP Début]]&lt;H_Sept[[#This Row],[début]],1,0)+H_Sept[[#This Row],[PNP Début]])</f>
        <v>0</v>
      </c>
      <c r="M24" s="50">
        <f>IF(H_Sept[[#This Row],[PNP Fin]]=0,0,IF(H_Sept[[#This Row],[PNP Fin]]&lt;H_Sept[[#This Row],[début]],1,0)+H_Sept[[#This Row],[PNP Fin]])</f>
        <v>0</v>
      </c>
      <c r="N24" s="50">
        <f>IF(H_Sept[[#This Row],[Fin]]&lt;H_Sept[[#This Row],[début]],1,0)+H_Sept[[#This Row],[Fin]]</f>
        <v>0</v>
      </c>
      <c r="O24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4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0.1*(H_Sept[[#This Row],[Heures de nuit]]+IF(H_Sept[[#This Row],[majoration dim &amp; JF]]="non",0,H_Sept[[#This Row],[heures jour dimanche]]+H_Sept[[#This Row],[heures jour fériés]]))</f>
        <v>0</v>
      </c>
      <c r="J25" s="48">
        <f>(MOD(H_Sept[[#This Row],[Fin]]-H_Sept[[#This Row],[début]],1)-MOD(H_Sept[[#This Row],[PNP Fin]]-H_Sept[[#This Row],[PNP Début]],1))*24</f>
        <v>0</v>
      </c>
      <c r="K25" s="96" t="str">
        <f>IFERROR(VLOOKUP(H_Sept[[#This Row],[Service]],Codes[],4,0),"")</f>
        <v/>
      </c>
      <c r="L25" s="49">
        <f>IF(H_Sept[[#This Row],[PNP Début]]=0,0,IF(H_Sept[[#This Row],[PNP Début]]&lt;H_Sept[[#This Row],[début]],1,0)+H_Sept[[#This Row],[PNP Début]])</f>
        <v>0</v>
      </c>
      <c r="M25" s="50">
        <f>IF(H_Sept[[#This Row],[PNP Fin]]=0,0,IF(H_Sept[[#This Row],[PNP Fin]]&lt;H_Sept[[#This Row],[début]],1,0)+H_Sept[[#This Row],[PNP Fin]])</f>
        <v>0</v>
      </c>
      <c r="N25" s="50">
        <f>IF(H_Sept[[#This Row],[Fin]]&lt;H_Sept[[#This Row],[début]],1,0)+H_Sept[[#This Row],[Fin]]</f>
        <v>0</v>
      </c>
      <c r="O25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5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0.1*(H_Sept[[#This Row],[Heures de nuit]]+IF(H_Sept[[#This Row],[majoration dim &amp; JF]]="non",0,H_Sept[[#This Row],[heures jour dimanche]]+H_Sept[[#This Row],[heures jour fériés]]))</f>
        <v>0</v>
      </c>
      <c r="J26" s="48">
        <f>(MOD(H_Sept[[#This Row],[Fin]]-H_Sept[[#This Row],[début]],1)-MOD(H_Sept[[#This Row],[PNP Fin]]-H_Sept[[#This Row],[PNP Début]],1))*24</f>
        <v>0</v>
      </c>
      <c r="K26" s="96" t="str">
        <f>IFERROR(VLOOKUP(H_Sept[[#This Row],[Service]],Codes[],4,0),"")</f>
        <v/>
      </c>
      <c r="L26" s="49">
        <f>IF(H_Sept[[#This Row],[PNP Début]]=0,0,IF(H_Sept[[#This Row],[PNP Début]]&lt;H_Sept[[#This Row],[début]],1,0)+H_Sept[[#This Row],[PNP Début]])</f>
        <v>0</v>
      </c>
      <c r="M26" s="50">
        <f>IF(H_Sept[[#This Row],[PNP Fin]]=0,0,IF(H_Sept[[#This Row],[PNP Fin]]&lt;H_Sept[[#This Row],[début]],1,0)+H_Sept[[#This Row],[PNP Fin]])</f>
        <v>0</v>
      </c>
      <c r="N26" s="50">
        <f>IF(H_Sept[[#This Row],[Fin]]&lt;H_Sept[[#This Row],[début]],1,0)+H_Sept[[#This Row],[Fin]]</f>
        <v>0</v>
      </c>
      <c r="O26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6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0.1*(H_Sept[[#This Row],[Heures de nuit]]+IF(H_Sept[[#This Row],[majoration dim &amp; JF]]="non",0,H_Sept[[#This Row],[heures jour dimanche]]+H_Sept[[#This Row],[heures jour fériés]]))</f>
        <v>0</v>
      </c>
      <c r="J27" s="48">
        <f>(MOD(H_Sept[[#This Row],[Fin]]-H_Sept[[#This Row],[début]],1)-MOD(H_Sept[[#This Row],[PNP Fin]]-H_Sept[[#This Row],[PNP Début]],1))*24</f>
        <v>0</v>
      </c>
      <c r="K27" s="96" t="str">
        <f>IFERROR(VLOOKUP(H_Sept[[#This Row],[Service]],Codes[],4,0),"")</f>
        <v/>
      </c>
      <c r="L27" s="49">
        <f>IF(H_Sept[[#This Row],[PNP Début]]=0,0,IF(H_Sept[[#This Row],[PNP Début]]&lt;H_Sept[[#This Row],[début]],1,0)+H_Sept[[#This Row],[PNP Début]])</f>
        <v>0</v>
      </c>
      <c r="M27" s="50">
        <f>IF(H_Sept[[#This Row],[PNP Fin]]=0,0,IF(H_Sept[[#This Row],[PNP Fin]]&lt;H_Sept[[#This Row],[début]],1,0)+H_Sept[[#This Row],[PNP Fin]])</f>
        <v>0</v>
      </c>
      <c r="N27" s="50">
        <f>IF(H_Sept[[#This Row],[Fin]]&lt;H_Sept[[#This Row],[début]],1,0)+H_Sept[[#This Row],[Fin]]</f>
        <v>0</v>
      </c>
      <c r="O27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7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0.1*(H_Sept[[#This Row],[Heures de nuit]]+IF(H_Sept[[#This Row],[majoration dim &amp; JF]]="non",0,H_Sept[[#This Row],[heures jour dimanche]]+H_Sept[[#This Row],[heures jour fériés]]))</f>
        <v>0</v>
      </c>
      <c r="J28" s="48">
        <f>(MOD(H_Sept[[#This Row],[Fin]]-H_Sept[[#This Row],[début]],1)-MOD(H_Sept[[#This Row],[PNP Fin]]-H_Sept[[#This Row],[PNP Début]],1))*24</f>
        <v>0</v>
      </c>
      <c r="K28" s="96" t="str">
        <f>IFERROR(VLOOKUP(H_Sept[[#This Row],[Service]],Codes[],4,0),"")</f>
        <v/>
      </c>
      <c r="L28" s="49">
        <f>IF(H_Sept[[#This Row],[PNP Début]]=0,0,IF(H_Sept[[#This Row],[PNP Début]]&lt;H_Sept[[#This Row],[début]],1,0)+H_Sept[[#This Row],[PNP Début]])</f>
        <v>0</v>
      </c>
      <c r="M28" s="50">
        <f>IF(H_Sept[[#This Row],[PNP Fin]]=0,0,IF(H_Sept[[#This Row],[PNP Fin]]&lt;H_Sept[[#This Row],[début]],1,0)+H_Sept[[#This Row],[PNP Fin]])</f>
        <v>0</v>
      </c>
      <c r="N28" s="50">
        <f>IF(H_Sept[[#This Row],[Fin]]&lt;H_Sept[[#This Row],[début]],1,0)+H_Sept[[#This Row],[Fin]]</f>
        <v>0</v>
      </c>
      <c r="O28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8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0.1*(H_Sept[[#This Row],[Heures de nuit]]+IF(H_Sept[[#This Row],[majoration dim &amp; JF]]="non",0,H_Sept[[#This Row],[heures jour dimanche]]+H_Sept[[#This Row],[heures jour fériés]]))</f>
        <v>0</v>
      </c>
      <c r="J29" s="48">
        <f>(MOD(H_Sept[[#This Row],[Fin]]-H_Sept[[#This Row],[début]],1)-MOD(H_Sept[[#This Row],[PNP Fin]]-H_Sept[[#This Row],[PNP Début]],1))*24</f>
        <v>0</v>
      </c>
      <c r="K29" s="96" t="str">
        <f>IFERROR(VLOOKUP(H_Sept[[#This Row],[Service]],Codes[],4,0),"")</f>
        <v/>
      </c>
      <c r="L29" s="49">
        <f>IF(H_Sept[[#This Row],[PNP Début]]=0,0,IF(H_Sept[[#This Row],[PNP Début]]&lt;H_Sept[[#This Row],[début]],1,0)+H_Sept[[#This Row],[PNP Début]])</f>
        <v>0</v>
      </c>
      <c r="M29" s="50">
        <f>IF(H_Sept[[#This Row],[PNP Fin]]=0,0,IF(H_Sept[[#This Row],[PNP Fin]]&lt;H_Sept[[#This Row],[début]],1,0)+H_Sept[[#This Row],[PNP Fin]])</f>
        <v>0</v>
      </c>
      <c r="N29" s="50">
        <f>IF(H_Sept[[#This Row],[Fin]]&lt;H_Sept[[#This Row],[début]],1,0)+H_Sept[[#This Row],[Fin]]</f>
        <v>0</v>
      </c>
      <c r="O29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29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2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2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2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2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0.1*(H_Sept[[#This Row],[Heures de nuit]]+IF(H_Sept[[#This Row],[majoration dim &amp; JF]]="non",0,H_Sept[[#This Row],[heures jour dimanche]]+H_Sept[[#This Row],[heures jour fériés]]))</f>
        <v>0</v>
      </c>
      <c r="J30" s="48">
        <f>(MOD(H_Sept[[#This Row],[Fin]]-H_Sept[[#This Row],[début]],1)-MOD(H_Sept[[#This Row],[PNP Fin]]-H_Sept[[#This Row],[PNP Début]],1))*24</f>
        <v>0</v>
      </c>
      <c r="K30" s="96" t="str">
        <f>IFERROR(VLOOKUP(H_Sept[[#This Row],[Service]],Codes[],4,0),"")</f>
        <v/>
      </c>
      <c r="L30" s="49">
        <f>IF(H_Sept[[#This Row],[PNP Début]]=0,0,IF(H_Sept[[#This Row],[PNP Début]]&lt;H_Sept[[#This Row],[début]],1,0)+H_Sept[[#This Row],[PNP Début]])</f>
        <v>0</v>
      </c>
      <c r="M30" s="50">
        <f>IF(H_Sept[[#This Row],[PNP Fin]]=0,0,IF(H_Sept[[#This Row],[PNP Fin]]&lt;H_Sept[[#This Row],[début]],1,0)+H_Sept[[#This Row],[PNP Fin]])</f>
        <v>0</v>
      </c>
      <c r="N30" s="50">
        <f>IF(H_Sept[[#This Row],[Fin]]&lt;H_Sept[[#This Row],[début]],1,0)+H_Sept[[#This Row],[Fin]]</f>
        <v>0</v>
      </c>
      <c r="O30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0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0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0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0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0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0.1*(H_Sept[[#This Row],[Heures de nuit]]+IF(H_Sept[[#This Row],[majoration dim &amp; JF]]="non",0,H_Sept[[#This Row],[heures jour dimanche]]+H_Sept[[#This Row],[heures jour fériés]]))</f>
        <v>0</v>
      </c>
      <c r="J31" s="48">
        <f>(MOD(H_Sept[[#This Row],[Fin]]-H_Sept[[#This Row],[début]],1)-MOD(H_Sept[[#This Row],[PNP Fin]]-H_Sept[[#This Row],[PNP Début]],1))*24</f>
        <v>0</v>
      </c>
      <c r="K31" s="96" t="str">
        <f>IFERROR(VLOOKUP(H_Sept[[#This Row],[Service]],Codes[],4,0),"")</f>
        <v/>
      </c>
      <c r="L31" s="49">
        <f>IF(H_Sept[[#This Row],[PNP Début]]=0,0,IF(H_Sept[[#This Row],[PNP Début]]&lt;H_Sept[[#This Row],[début]],1,0)+H_Sept[[#This Row],[PNP Début]])</f>
        <v>0</v>
      </c>
      <c r="M31" s="50">
        <f>IF(H_Sept[[#This Row],[PNP Fin]]=0,0,IF(H_Sept[[#This Row],[PNP Fin]]&lt;H_Sept[[#This Row],[début]],1,0)+H_Sept[[#This Row],[PNP Fin]])</f>
        <v>0</v>
      </c>
      <c r="N31" s="50">
        <f>IF(H_Sept[[#This Row],[Fin]]&lt;H_Sept[[#This Row],[début]],1,0)+H_Sept[[#This Row],[Fin]]</f>
        <v>0</v>
      </c>
      <c r="O31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1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1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1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1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1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0.1*(H_Sept[[#This Row],[Heures de nuit]]+IF(H_Sept[[#This Row],[majoration dim &amp; JF]]="non",0,H_Sept[[#This Row],[heures jour dimanche]]+H_Sept[[#This Row],[heures jour fériés]]))</f>
        <v>0</v>
      </c>
      <c r="J32" s="48">
        <f>(MOD(H_Sept[[#This Row],[Fin]]-H_Sept[[#This Row],[début]],1)-MOD(H_Sept[[#This Row],[PNP Fin]]-H_Sept[[#This Row],[PNP Début]],1))*24</f>
        <v>0</v>
      </c>
      <c r="K32" s="96" t="str">
        <f>IFERROR(VLOOKUP(H_Sept[[#This Row],[Service]],Codes[],4,0),"")</f>
        <v/>
      </c>
      <c r="L32" s="49">
        <f>IF(H_Sept[[#This Row],[PNP Début]]=0,0,IF(H_Sept[[#This Row],[PNP Début]]&lt;H_Sept[[#This Row],[début]],1,0)+H_Sept[[#This Row],[PNP Début]])</f>
        <v>0</v>
      </c>
      <c r="M32" s="50">
        <f>IF(H_Sept[[#This Row],[PNP Fin]]=0,0,IF(H_Sept[[#This Row],[PNP Fin]]&lt;H_Sept[[#This Row],[début]],1,0)+H_Sept[[#This Row],[PNP Fin]])</f>
        <v>0</v>
      </c>
      <c r="N32" s="50">
        <f>IF(H_Sept[[#This Row],[Fin]]&lt;H_Sept[[#This Row],[début]],1,0)+H_Sept[[#This Row],[Fin]]</f>
        <v>0</v>
      </c>
      <c r="O32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2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0.1*(H_Sept[[#This Row],[Heures de nuit]]+IF(H_Sept[[#This Row],[majoration dim &amp; JF]]="non",0,H_Sept[[#This Row],[heures jour dimanche]]+H_Sept[[#This Row],[heures jour fériés]]))</f>
        <v>0</v>
      </c>
      <c r="J33" s="48">
        <f>(MOD(H_Sept[[#This Row],[Fin]]-H_Sept[[#This Row],[début]],1)-MOD(H_Sept[[#This Row],[PNP Fin]]-H_Sept[[#This Row],[PNP Début]],1))*24</f>
        <v>0</v>
      </c>
      <c r="K33" s="96" t="str">
        <f>IFERROR(VLOOKUP(H_Sept[[#This Row],[Service]],Codes[],4,0),"")</f>
        <v/>
      </c>
      <c r="L33" s="49">
        <f>IF(H_Sept[[#This Row],[PNP Début]]=0,0,IF(H_Sept[[#This Row],[PNP Début]]&lt;H_Sept[[#This Row],[début]],1,0)+H_Sept[[#This Row],[PNP Début]])</f>
        <v>0</v>
      </c>
      <c r="M33" s="50">
        <f>IF(H_Sept[[#This Row],[PNP Fin]]=0,0,IF(H_Sept[[#This Row],[PNP Fin]]&lt;H_Sept[[#This Row],[début]],1,0)+H_Sept[[#This Row],[PNP Fin]])</f>
        <v>0</v>
      </c>
      <c r="N33" s="50">
        <f>IF(H_Sept[[#This Row],[Fin]]&lt;H_Sept[[#This Row],[début]],1,0)+H_Sept[[#This Row],[Fin]]</f>
        <v>0</v>
      </c>
      <c r="O33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3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0.1*(H_Sept[[#This Row],[Heures de nuit]]+IF(H_Sept[[#This Row],[majoration dim &amp; JF]]="non",0,H_Sept[[#This Row],[heures jour dimanche]]+H_Sept[[#This Row],[heures jour fériés]]))</f>
        <v>0</v>
      </c>
      <c r="J34" s="48">
        <f>(MOD(H_Sept[[#This Row],[Fin]]-H_Sept[[#This Row],[début]],1)-MOD(H_Sept[[#This Row],[PNP Fin]]-H_Sept[[#This Row],[PNP Début]],1))*24</f>
        <v>0</v>
      </c>
      <c r="K34" s="96" t="str">
        <f>IFERROR(VLOOKUP(H_Sept[[#This Row],[Service]],Codes[],4,0),"")</f>
        <v/>
      </c>
      <c r="L34" s="49">
        <f>IF(H_Sept[[#This Row],[PNP Début]]=0,0,IF(H_Sept[[#This Row],[PNP Début]]&lt;H_Sept[[#This Row],[début]],1,0)+H_Sept[[#This Row],[PNP Début]])</f>
        <v>0</v>
      </c>
      <c r="M34" s="50">
        <f>IF(H_Sept[[#This Row],[PNP Fin]]=0,0,IF(H_Sept[[#This Row],[PNP Fin]]&lt;H_Sept[[#This Row],[début]],1,0)+H_Sept[[#This Row],[PNP Fin]])</f>
        <v>0</v>
      </c>
      <c r="N34" s="50">
        <f>IF(H_Sept[[#This Row],[Fin]]&lt;H_Sept[[#This Row],[début]],1,0)+H_Sept[[#This Row],[Fin]]</f>
        <v>0</v>
      </c>
      <c r="O34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4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0.1*(H_Sept[[#This Row],[Heures de nuit]]+IF(H_Sept[[#This Row],[majoration dim &amp; JF]]="non",0,H_Sept[[#This Row],[heures jour dimanche]]+H_Sept[[#This Row],[heures jour fériés]]))</f>
        <v>0</v>
      </c>
      <c r="J35" s="48">
        <f>(MOD(H_Sept[[#This Row],[Fin]]-H_Sept[[#This Row],[début]],1)-MOD(H_Sept[[#This Row],[PNP Fin]]-H_Sept[[#This Row],[PNP Début]],1))*24</f>
        <v>0</v>
      </c>
      <c r="K35" s="96" t="str">
        <f>IFERROR(VLOOKUP(H_Sept[[#This Row],[Service]],Codes[],4,0),"")</f>
        <v/>
      </c>
      <c r="L35" s="49">
        <f>IF(H_Sept[[#This Row],[PNP Début]]=0,0,IF(H_Sept[[#This Row],[PNP Début]]&lt;H_Sept[[#This Row],[début]],1,0)+H_Sept[[#This Row],[PNP Début]])</f>
        <v>0</v>
      </c>
      <c r="M35" s="50">
        <f>IF(H_Sept[[#This Row],[PNP Fin]]=0,0,IF(H_Sept[[#This Row],[PNP Fin]]&lt;H_Sept[[#This Row],[début]],1,0)+H_Sept[[#This Row],[PNP Fin]])</f>
        <v>0</v>
      </c>
      <c r="N35" s="50">
        <f>IF(H_Sept[[#This Row],[Fin]]&lt;H_Sept[[#This Row],[début]],1,0)+H_Sept[[#This Row],[Fin]]</f>
        <v>0</v>
      </c>
      <c r="O35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5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0.1*(H_Sept[[#This Row],[Heures de nuit]]+IF(H_Sept[[#This Row],[majoration dim &amp; JF]]="non",0,H_Sept[[#This Row],[heures jour dimanche]]+H_Sept[[#This Row],[heures jour fériés]]))</f>
        <v>0</v>
      </c>
      <c r="J36" s="48">
        <f>(MOD(H_Sept[[#This Row],[Fin]]-H_Sept[[#This Row],[début]],1)-MOD(H_Sept[[#This Row],[PNP Fin]]-H_Sept[[#This Row],[PNP Début]],1))*24</f>
        <v>0</v>
      </c>
      <c r="K36" s="96" t="str">
        <f>IFERROR(VLOOKUP(H_Sept[[#This Row],[Service]],Codes[],4,0),"")</f>
        <v/>
      </c>
      <c r="L36" s="49">
        <f>IF(H_Sept[[#This Row],[PNP Début]]=0,0,IF(H_Sept[[#This Row],[PNP Début]]&lt;H_Sept[[#This Row],[début]],1,0)+H_Sept[[#This Row],[PNP Début]])</f>
        <v>0</v>
      </c>
      <c r="M36" s="50">
        <f>IF(H_Sept[[#This Row],[PNP Fin]]=0,0,IF(H_Sept[[#This Row],[PNP Fin]]&lt;H_Sept[[#This Row],[début]],1,0)+H_Sept[[#This Row],[PNP Fin]])</f>
        <v>0</v>
      </c>
      <c r="N36" s="50">
        <f>IF(H_Sept[[#This Row],[Fin]]&lt;H_Sept[[#This Row],[début]],1,0)+H_Sept[[#This Row],[Fin]]</f>
        <v>0</v>
      </c>
      <c r="O36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6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0.1*(H_Sept[[#This Row],[Heures de nuit]]+IF(H_Sept[[#This Row],[majoration dim &amp; JF]]="non",0,H_Sept[[#This Row],[heures jour dimanche]]+H_Sept[[#This Row],[heures jour fériés]]))</f>
        <v>0</v>
      </c>
      <c r="J37" s="48">
        <f>(MOD(H_Sept[[#This Row],[Fin]]-H_Sept[[#This Row],[début]],1)-MOD(H_Sept[[#This Row],[PNP Fin]]-H_Sept[[#This Row],[PNP Début]],1))*24</f>
        <v>0</v>
      </c>
      <c r="K37" s="96" t="str">
        <f>IFERROR(VLOOKUP(H_Sept[[#This Row],[Service]],Codes[],4,0),"")</f>
        <v/>
      </c>
      <c r="L37" s="49">
        <f>IF(H_Sept[[#This Row],[PNP Début]]=0,0,IF(H_Sept[[#This Row],[PNP Début]]&lt;H_Sept[[#This Row],[début]],1,0)+H_Sept[[#This Row],[PNP Début]])</f>
        <v>0</v>
      </c>
      <c r="M37" s="50">
        <f>IF(H_Sept[[#This Row],[PNP Fin]]=0,0,IF(H_Sept[[#This Row],[PNP Fin]]&lt;H_Sept[[#This Row],[début]],1,0)+H_Sept[[#This Row],[PNP Fin]])</f>
        <v>0</v>
      </c>
      <c r="N37" s="50">
        <f>IF(H_Sept[[#This Row],[Fin]]&lt;H_Sept[[#This Row],[début]],1,0)+H_Sept[[#This Row],[Fin]]</f>
        <v>0</v>
      </c>
      <c r="O37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7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0.1*(H_Sept[[#This Row],[Heures de nuit]]+IF(H_Sept[[#This Row],[majoration dim &amp; JF]]="non",0,H_Sept[[#This Row],[heures jour dimanche]]+H_Sept[[#This Row],[heures jour fériés]]))</f>
        <v>0</v>
      </c>
      <c r="J38" s="48">
        <f>(MOD(H_Sept[[#This Row],[Fin]]-H_Sept[[#This Row],[début]],1)-MOD(H_Sept[[#This Row],[PNP Fin]]-H_Sept[[#This Row],[PNP Début]],1))*24</f>
        <v>0</v>
      </c>
      <c r="K38" s="96" t="str">
        <f>IFERROR(VLOOKUP(H_Sept[[#This Row],[Service]],Codes[],4,0),"")</f>
        <v/>
      </c>
      <c r="L38" s="49">
        <f>IF(H_Sept[[#This Row],[PNP Début]]=0,0,IF(H_Sept[[#This Row],[PNP Début]]&lt;H_Sept[[#This Row],[début]],1,0)+H_Sept[[#This Row],[PNP Début]])</f>
        <v>0</v>
      </c>
      <c r="M38" s="50">
        <f>IF(H_Sept[[#This Row],[PNP Fin]]=0,0,IF(H_Sept[[#This Row],[PNP Fin]]&lt;H_Sept[[#This Row],[début]],1,0)+H_Sept[[#This Row],[PNP Fin]])</f>
        <v>0</v>
      </c>
      <c r="N38" s="50">
        <f>IF(H_Sept[[#This Row],[Fin]]&lt;H_Sept[[#This Row],[début]],1,0)+H_Sept[[#This Row],[Fin]]</f>
        <v>0</v>
      </c>
      <c r="O38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8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0.1*(H_Sept[[#This Row],[Heures de nuit]]+IF(H_Sept[[#This Row],[majoration dim &amp; JF]]="non",0,H_Sept[[#This Row],[heures jour dimanche]]+H_Sept[[#This Row],[heures jour fériés]]))</f>
        <v>0</v>
      </c>
      <c r="J39" s="48">
        <f>(MOD(H_Sept[[#This Row],[Fin]]-H_Sept[[#This Row],[début]],1)-MOD(H_Sept[[#This Row],[PNP Fin]]-H_Sept[[#This Row],[PNP Début]],1))*24</f>
        <v>0</v>
      </c>
      <c r="K39" s="96" t="str">
        <f>IFERROR(VLOOKUP(H_Sept[[#This Row],[Service]],Codes[],4,0),"")</f>
        <v/>
      </c>
      <c r="L39" s="49">
        <f>IF(H_Sept[[#This Row],[PNP Début]]=0,0,IF(H_Sept[[#This Row],[PNP Début]]&lt;H_Sept[[#This Row],[début]],1,0)+H_Sept[[#This Row],[PNP Début]])</f>
        <v>0</v>
      </c>
      <c r="M39" s="50">
        <f>IF(H_Sept[[#This Row],[PNP Fin]]=0,0,IF(H_Sept[[#This Row],[PNP Fin]]&lt;H_Sept[[#This Row],[début]],1,0)+H_Sept[[#This Row],[PNP Fin]])</f>
        <v>0</v>
      </c>
      <c r="N39" s="50">
        <f>IF(H_Sept[[#This Row],[Fin]]&lt;H_Sept[[#This Row],[début]],1,0)+H_Sept[[#This Row],[Fin]]</f>
        <v>0</v>
      </c>
      <c r="O39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39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3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3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3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3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0.1*(H_Sept[[#This Row],[Heures de nuit]]+IF(H_Sept[[#This Row],[majoration dim &amp; JF]]="non",0,H_Sept[[#This Row],[heures jour dimanche]]+H_Sept[[#This Row],[heures jour fériés]]))</f>
        <v>0</v>
      </c>
      <c r="J40" s="48">
        <f>(MOD(H_Sept[[#This Row],[Fin]]-H_Sept[[#This Row],[début]],1)-MOD(H_Sept[[#This Row],[PNP Fin]]-H_Sept[[#This Row],[PNP Début]],1))*24</f>
        <v>0</v>
      </c>
      <c r="K40" s="96" t="str">
        <f>IFERROR(VLOOKUP(H_Sept[[#This Row],[Service]],Codes[],4,0),"")</f>
        <v/>
      </c>
      <c r="L40" s="49">
        <f>IF(H_Sept[[#This Row],[PNP Début]]=0,0,IF(H_Sept[[#This Row],[PNP Début]]&lt;H_Sept[[#This Row],[début]],1,0)+H_Sept[[#This Row],[PNP Début]])</f>
        <v>0</v>
      </c>
      <c r="M40" s="50">
        <f>IF(H_Sept[[#This Row],[PNP Fin]]=0,0,IF(H_Sept[[#This Row],[PNP Fin]]&lt;H_Sept[[#This Row],[début]],1,0)+H_Sept[[#This Row],[PNP Fin]])</f>
        <v>0</v>
      </c>
      <c r="N40" s="50">
        <f>IF(H_Sept[[#This Row],[Fin]]&lt;H_Sept[[#This Row],[début]],1,0)+H_Sept[[#This Row],[Fin]]</f>
        <v>0</v>
      </c>
      <c r="O40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0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0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0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0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0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0.1*(H_Sept[[#This Row],[Heures de nuit]]+IF(H_Sept[[#This Row],[majoration dim &amp; JF]]="non",0,H_Sept[[#This Row],[heures jour dimanche]]+H_Sept[[#This Row],[heures jour fériés]]))</f>
        <v>0</v>
      </c>
      <c r="J41" s="48">
        <f>(MOD(H_Sept[[#This Row],[Fin]]-H_Sept[[#This Row],[début]],1)-MOD(H_Sept[[#This Row],[PNP Fin]]-H_Sept[[#This Row],[PNP Début]],1))*24</f>
        <v>0</v>
      </c>
      <c r="K41" s="96" t="str">
        <f>IFERROR(VLOOKUP(H_Sept[[#This Row],[Service]],Codes[],4,0),"")</f>
        <v/>
      </c>
      <c r="L41" s="49">
        <f>IF(H_Sept[[#This Row],[PNP Début]]=0,0,IF(H_Sept[[#This Row],[PNP Début]]&lt;H_Sept[[#This Row],[début]],1,0)+H_Sept[[#This Row],[PNP Début]])</f>
        <v>0</v>
      </c>
      <c r="M41" s="50">
        <f>IF(H_Sept[[#This Row],[PNP Fin]]=0,0,IF(H_Sept[[#This Row],[PNP Fin]]&lt;H_Sept[[#This Row],[début]],1,0)+H_Sept[[#This Row],[PNP Fin]])</f>
        <v>0</v>
      </c>
      <c r="N41" s="50">
        <f>IF(H_Sept[[#This Row],[Fin]]&lt;H_Sept[[#This Row],[début]],1,0)+H_Sept[[#This Row],[Fin]]</f>
        <v>0</v>
      </c>
      <c r="O41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1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1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1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1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1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0.1*(H_Sept[[#This Row],[Heures de nuit]]+IF(H_Sept[[#This Row],[majoration dim &amp; JF]]="non",0,H_Sept[[#This Row],[heures jour dimanche]]+H_Sept[[#This Row],[heures jour fériés]]))</f>
        <v>0</v>
      </c>
      <c r="J42" s="48">
        <f>(MOD(H_Sept[[#This Row],[Fin]]-H_Sept[[#This Row],[début]],1)-MOD(H_Sept[[#This Row],[PNP Fin]]-H_Sept[[#This Row],[PNP Début]],1))*24</f>
        <v>0</v>
      </c>
      <c r="K42" s="96" t="str">
        <f>IFERROR(VLOOKUP(H_Sept[[#This Row],[Service]],Codes[],4,0),"")</f>
        <v/>
      </c>
      <c r="L42" s="49">
        <f>IF(H_Sept[[#This Row],[PNP Début]]=0,0,IF(H_Sept[[#This Row],[PNP Début]]&lt;H_Sept[[#This Row],[début]],1,0)+H_Sept[[#This Row],[PNP Début]])</f>
        <v>0</v>
      </c>
      <c r="M42" s="50">
        <f>IF(H_Sept[[#This Row],[PNP Fin]]=0,0,IF(H_Sept[[#This Row],[PNP Fin]]&lt;H_Sept[[#This Row],[début]],1,0)+H_Sept[[#This Row],[PNP Fin]])</f>
        <v>0</v>
      </c>
      <c r="N42" s="50">
        <f>IF(H_Sept[[#This Row],[Fin]]&lt;H_Sept[[#This Row],[début]],1,0)+H_Sept[[#This Row],[Fin]]</f>
        <v>0</v>
      </c>
      <c r="O42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2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2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2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0.1*(H_Sept[[#This Row],[Heures de nuit]]+IF(H_Sept[[#This Row],[majoration dim &amp; JF]]="non",0,H_Sept[[#This Row],[heures jour dimanche]]+H_Sept[[#This Row],[heures jour fériés]]))</f>
        <v>0</v>
      </c>
      <c r="J43" s="48">
        <f>(MOD(H_Sept[[#This Row],[Fin]]-H_Sept[[#This Row],[début]],1)-MOD(H_Sept[[#This Row],[PNP Fin]]-H_Sept[[#This Row],[PNP Début]],1))*24</f>
        <v>0</v>
      </c>
      <c r="K43" s="96" t="str">
        <f>IFERROR(VLOOKUP(H_Sept[[#This Row],[Service]],Codes[],4,0),"")</f>
        <v/>
      </c>
      <c r="L43" s="49">
        <f>IF(H_Sept[[#This Row],[PNP Début]]=0,0,IF(H_Sept[[#This Row],[PNP Début]]&lt;H_Sept[[#This Row],[début]],1,0)+H_Sept[[#This Row],[PNP Début]])</f>
        <v>0</v>
      </c>
      <c r="M43" s="50">
        <f>IF(H_Sept[[#This Row],[PNP Fin]]=0,0,IF(H_Sept[[#This Row],[PNP Fin]]&lt;H_Sept[[#This Row],[début]],1,0)+H_Sept[[#This Row],[PNP Fin]])</f>
        <v>0</v>
      </c>
      <c r="N43" s="50">
        <f>IF(H_Sept[[#This Row],[Fin]]&lt;H_Sept[[#This Row],[début]],1,0)+H_Sept[[#This Row],[Fin]]</f>
        <v>0</v>
      </c>
      <c r="O43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3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3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3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0.1*(H_Sept[[#This Row],[Heures de nuit]]+IF(H_Sept[[#This Row],[majoration dim &amp; JF]]="non",0,H_Sept[[#This Row],[heures jour dimanche]]+H_Sept[[#This Row],[heures jour fériés]]))</f>
        <v>0</v>
      </c>
      <c r="J44" s="48">
        <f>(MOD(H_Sept[[#This Row],[Fin]]-H_Sept[[#This Row],[début]],1)-MOD(H_Sept[[#This Row],[PNP Fin]]-H_Sept[[#This Row],[PNP Début]],1))*24</f>
        <v>0</v>
      </c>
      <c r="K44" s="96" t="str">
        <f>IFERROR(VLOOKUP(H_Sept[[#This Row],[Service]],Codes[],4,0),"")</f>
        <v/>
      </c>
      <c r="L44" s="49">
        <f>IF(H_Sept[[#This Row],[PNP Début]]=0,0,IF(H_Sept[[#This Row],[PNP Début]]&lt;H_Sept[[#This Row],[début]],1,0)+H_Sept[[#This Row],[PNP Début]])</f>
        <v>0</v>
      </c>
      <c r="M44" s="50">
        <f>IF(H_Sept[[#This Row],[PNP Fin]]=0,0,IF(H_Sept[[#This Row],[PNP Fin]]&lt;H_Sept[[#This Row],[début]],1,0)+H_Sept[[#This Row],[PNP Fin]])</f>
        <v>0</v>
      </c>
      <c r="N44" s="50">
        <f>IF(H_Sept[[#This Row],[Fin]]&lt;H_Sept[[#This Row],[début]],1,0)+H_Sept[[#This Row],[Fin]]</f>
        <v>0</v>
      </c>
      <c r="O44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4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4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4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0.1*(H_Sept[[#This Row],[Heures de nuit]]+IF(H_Sept[[#This Row],[majoration dim &amp; JF]]="non",0,H_Sept[[#This Row],[heures jour dimanche]]+H_Sept[[#This Row],[heures jour fériés]]))</f>
        <v>0</v>
      </c>
      <c r="J45" s="48">
        <f>(MOD(H_Sept[[#This Row],[Fin]]-H_Sept[[#This Row],[début]],1)-MOD(H_Sept[[#This Row],[PNP Fin]]-H_Sept[[#This Row],[PNP Début]],1))*24</f>
        <v>0</v>
      </c>
      <c r="K45" s="96" t="str">
        <f>IFERROR(VLOOKUP(H_Sept[[#This Row],[Service]],Codes[],4,0),"")</f>
        <v/>
      </c>
      <c r="L45" s="49">
        <f>IF(H_Sept[[#This Row],[PNP Début]]=0,0,IF(H_Sept[[#This Row],[PNP Début]]&lt;H_Sept[[#This Row],[début]],1,0)+H_Sept[[#This Row],[PNP Début]])</f>
        <v>0</v>
      </c>
      <c r="M45" s="50">
        <f>IF(H_Sept[[#This Row],[PNP Fin]]=0,0,IF(H_Sept[[#This Row],[PNP Fin]]&lt;H_Sept[[#This Row],[début]],1,0)+H_Sept[[#This Row],[PNP Fin]])</f>
        <v>0</v>
      </c>
      <c r="N45" s="50">
        <f>IF(H_Sept[[#This Row],[Fin]]&lt;H_Sept[[#This Row],[début]],1,0)+H_Sept[[#This Row],[Fin]]</f>
        <v>0</v>
      </c>
      <c r="O45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5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5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5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0.1*(H_Sept[[#This Row],[Heures de nuit]]+IF(H_Sept[[#This Row],[majoration dim &amp; JF]]="non",0,H_Sept[[#This Row],[heures jour dimanche]]+H_Sept[[#This Row],[heures jour fériés]]))</f>
        <v>0</v>
      </c>
      <c r="J46" s="48">
        <f>(MOD(H_Sept[[#This Row],[Fin]]-H_Sept[[#This Row],[début]],1)-MOD(H_Sept[[#This Row],[PNP Fin]]-H_Sept[[#This Row],[PNP Début]],1))*24</f>
        <v>0</v>
      </c>
      <c r="K46" s="96" t="str">
        <f>IFERROR(VLOOKUP(H_Sept[[#This Row],[Service]],Codes[],4,0),"")</f>
        <v/>
      </c>
      <c r="L46" s="49">
        <f>IF(H_Sept[[#This Row],[PNP Début]]=0,0,IF(H_Sept[[#This Row],[PNP Début]]&lt;H_Sept[[#This Row],[début]],1,0)+H_Sept[[#This Row],[PNP Début]])</f>
        <v>0</v>
      </c>
      <c r="M46" s="50">
        <f>IF(H_Sept[[#This Row],[PNP Fin]]=0,0,IF(H_Sept[[#This Row],[PNP Fin]]&lt;H_Sept[[#This Row],[début]],1,0)+H_Sept[[#This Row],[PNP Fin]])</f>
        <v>0</v>
      </c>
      <c r="N46" s="50">
        <f>IF(H_Sept[[#This Row],[Fin]]&lt;H_Sept[[#This Row],[début]],1,0)+H_Sept[[#This Row],[Fin]]</f>
        <v>0</v>
      </c>
      <c r="O46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6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6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6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0.1*(H_Sept[[#This Row],[Heures de nuit]]+IF(H_Sept[[#This Row],[majoration dim &amp; JF]]="non",0,H_Sept[[#This Row],[heures jour dimanche]]+H_Sept[[#This Row],[heures jour fériés]]))</f>
        <v>0</v>
      </c>
      <c r="J47" s="48">
        <f>(MOD(H_Sept[[#This Row],[Fin]]-H_Sept[[#This Row],[début]],1)-MOD(H_Sept[[#This Row],[PNP Fin]]-H_Sept[[#This Row],[PNP Début]],1))*24</f>
        <v>0</v>
      </c>
      <c r="K47" s="96" t="str">
        <f>IFERROR(VLOOKUP(H_Sept[[#This Row],[Service]],Codes[],4,0),"")</f>
        <v/>
      </c>
      <c r="L47" s="49">
        <f>IF(H_Sept[[#This Row],[PNP Début]]=0,0,IF(H_Sept[[#This Row],[PNP Début]]&lt;H_Sept[[#This Row],[début]],1,0)+H_Sept[[#This Row],[PNP Début]])</f>
        <v>0</v>
      </c>
      <c r="M47" s="50">
        <f>IF(H_Sept[[#This Row],[PNP Fin]]=0,0,IF(H_Sept[[#This Row],[PNP Fin]]&lt;H_Sept[[#This Row],[début]],1,0)+H_Sept[[#This Row],[PNP Fin]])</f>
        <v>0</v>
      </c>
      <c r="N47" s="50">
        <f>IF(H_Sept[[#This Row],[Fin]]&lt;H_Sept[[#This Row],[début]],1,0)+H_Sept[[#This Row],[Fin]]</f>
        <v>0</v>
      </c>
      <c r="O47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7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7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7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0.1*(H_Sept[[#This Row],[Heures de nuit]]+IF(H_Sept[[#This Row],[majoration dim &amp; JF]]="non",0,H_Sept[[#This Row],[heures jour dimanche]]+H_Sept[[#This Row],[heures jour fériés]]))</f>
        <v>0</v>
      </c>
      <c r="J48" s="48">
        <f>(MOD(H_Sept[[#This Row],[Fin]]-H_Sept[[#This Row],[début]],1)-MOD(H_Sept[[#This Row],[PNP Fin]]-H_Sept[[#This Row],[PNP Début]],1))*24</f>
        <v>0</v>
      </c>
      <c r="K48" s="96" t="str">
        <f>IFERROR(VLOOKUP(H_Sept[[#This Row],[Service]],Codes[],4,0),"")</f>
        <v/>
      </c>
      <c r="L48" s="49">
        <f>IF(H_Sept[[#This Row],[PNP Début]]=0,0,IF(H_Sept[[#This Row],[PNP Début]]&lt;H_Sept[[#This Row],[début]],1,0)+H_Sept[[#This Row],[PNP Début]])</f>
        <v>0</v>
      </c>
      <c r="M48" s="50">
        <f>IF(H_Sept[[#This Row],[PNP Fin]]=0,0,IF(H_Sept[[#This Row],[PNP Fin]]&lt;H_Sept[[#This Row],[début]],1,0)+H_Sept[[#This Row],[PNP Fin]])</f>
        <v>0</v>
      </c>
      <c r="N48" s="50">
        <f>IF(H_Sept[[#This Row],[Fin]]&lt;H_Sept[[#This Row],[début]],1,0)+H_Sept[[#This Row],[Fin]]</f>
        <v>0</v>
      </c>
      <c r="O48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8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8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8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0.1*(H_Sept[[#This Row],[Heures de nuit]]+IF(H_Sept[[#This Row],[majoration dim &amp; JF]]="non",0,H_Sept[[#This Row],[heures jour dimanche]]+H_Sept[[#This Row],[heures jour fériés]]))</f>
        <v>0</v>
      </c>
      <c r="J49" s="48">
        <f>(MOD(H_Sept[[#This Row],[Fin]]-H_Sept[[#This Row],[début]],1)-MOD(H_Sept[[#This Row],[PNP Fin]]-H_Sept[[#This Row],[PNP Début]],1))*24</f>
        <v>0</v>
      </c>
      <c r="K49" s="96" t="str">
        <f>IFERROR(VLOOKUP(H_Sept[[#This Row],[Service]],Codes[],4,0),"")</f>
        <v/>
      </c>
      <c r="L49" s="49">
        <f>IF(H_Sept[[#This Row],[PNP Début]]=0,0,IF(H_Sept[[#This Row],[PNP Début]]&lt;H_Sept[[#This Row],[début]],1,0)+H_Sept[[#This Row],[PNP Début]])</f>
        <v>0</v>
      </c>
      <c r="M49" s="50">
        <f>IF(H_Sept[[#This Row],[PNP Fin]]=0,0,IF(H_Sept[[#This Row],[PNP Fin]]&lt;H_Sept[[#This Row],[début]],1,0)+H_Sept[[#This Row],[PNP Fin]])</f>
        <v>0</v>
      </c>
      <c r="N49" s="50">
        <f>IF(H_Sept[[#This Row],[Fin]]&lt;H_Sept[[#This Row],[début]],1,0)+H_Sept[[#This Row],[Fin]]</f>
        <v>0</v>
      </c>
      <c r="O49" s="31">
        <f>IF(H_Sept[[#This Row],[Fin]]&lt;H_Sept[[#This Row],[début]],MAX(0,MIN(H_Sept[[#This Row],[Fin corrigée si nuit]],fin_nuit)-MAX(H_Sept[[#This Row],[début]],deb_nuit))*24,(MAX(deb_nuit,H_Sept[[#This Row],[Fin]])-MAX(deb_nuit,H_Sept[[#This Row],[début]])+MAX(MIN(fin_nuit-1,H_Sept[[#This Row],[Fin]])-MIN(fin_nuit-1,H_Sept[[#This Row],[début]]),0))*24)</f>
        <v>0</v>
      </c>
      <c r="P49" s="51">
        <f>(MAX(0,MIN(H_Sept[[#This Row],[Fin corrigée si nuit]],fin_nuit)-MAX(H_Sept[[#This Row],[début]],deb_nuit))-IF(H_Sept[[#This Row],[PNP Début]]=0,0,MIN(H_Sept[[#This Row],[PNP Fin corrigée]],fin_nuit)-MAX(H_Sept[[#This Row],[PNP Début corrigé]],deb_nuit)))*24</f>
        <v>0</v>
      </c>
      <c r="Q4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</f>
        <v>0</v>
      </c>
      <c r="R49" s="51">
        <f>(IF(WEEKDAY(H_Sept[[#This Row],[Date]],2)=7,MAX(0,MIN(fin_dimJF,H_Sept[[#This Row],[Fin corrigée si nuit]])-MAX(deb_dimJF,H_Sept[[#This Row],[début]])),0)+IF(WEEKDAY(H_Sept[[#This Row],[Date]],2)=6,MAX(0,H_Sept[[#This Row],[Fin corrigée si nuit]]-(1+deb_dimJF)),0))*24-
(IF(WEEKDAY(H_Sept[[#This Row],[Date]],2)=7,MAX(0,MIN(fin_dimJF,H_Sept[[#This Row],[PNP Fin corrigée]])-MAX(deb_dimJF,H_Sept[[#This Row],[PNP Début corrigé]])),0)+IF(WEEKDAY(H_Sept[[#This Row],[Date]],2)=6,MAX(0,H_Sept[[#This Row],[PNP Fin corrigée]]-(1+deb_dimJF)),0))*24</f>
        <v>0</v>
      </c>
      <c r="S4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</f>
        <v>0</v>
      </c>
      <c r="T49" s="51">
        <f>(IF(COUNTIF(JF,H_Sept[[#This Row],[Date]]),MAX(0,MIN(fin_dimJF,H_Sept[[#This Row],[Fin corrigée si nuit]])-MAX(deb_dimJF,H_Sept[[#This Row],[début]])),0)+IF(COUNTIF(JF,H_Sept[[#This Row],[Date]]+1),MAX(0,H_Sept[[#This Row],[Fin corrigée si nuit]]-(1+deb_dimJF)),0))*24-
(IF(COUNTIF(JF,H_Sept[[#This Row],[Date]]),MAX(0,MIN(fin_dimJF,H_Sept[[#This Row],[PNP Fin corrigée]])-MAX(deb_dimJF,H_Sept[[#This Row],[PNP Début corrigé]])),0)+IF(COUNTIF(JF,H_Sept[[#This Row],[Date]]+1),MAX(0,H_Sept[[#This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SUM(H_Sept[Majoration])</f>
        <v>0</v>
      </c>
      <c r="J50" s="54">
        <f>SUM(H_Sept[Heures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103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J5:K5" xr:uid="{00000000-0002-0000-0B00-000000000000}">
      <formula1>42736</formula1>
    </dataValidation>
    <dataValidation type="time" allowBlank="1" showInputMessage="1" showErrorMessage="1" error="Tapez les heures sous le format_x000a_00:00" sqref="C13:H49" xr:uid="{00000000-0002-0000-0B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B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print="0" autoLine="0" r:id="rId5">
            <anchor moveWithCells="1">
              <from>
                <xdr:col>9</xdr:col>
                <xdr:colOff>480060</xdr:colOff>
                <xdr:row>0</xdr:row>
                <xdr:rowOff>83820</xdr:rowOff>
              </from>
              <to>
                <xdr:col>9</xdr:col>
                <xdr:colOff>1264920</xdr:colOff>
                <xdr:row>3</xdr:row>
                <xdr:rowOff>198120</xdr:rowOff>
              </to>
            </anchor>
          </controlPr>
        </control>
      </mc:Choice>
      <mc:Fallback>
        <control shapeId="12289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B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Z60"/>
  <sheetViews>
    <sheetView topLeftCell="A2" zoomScale="80" zoomScaleNormal="80" zoomScalePageLayoutView="55" workbookViewId="0">
      <selection activeCell="V23" sqref="V23:W23"/>
    </sheetView>
  </sheetViews>
  <sheetFormatPr baseColWidth="10" defaultRowHeight="14.4" x14ac:dyDescent="0.3"/>
  <cols>
    <col min="1" max="1" width="20.332031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29.3320312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Octobre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0.1*(H_Oct[[#This Row],[Heures de nuit]]+IF(H_Oct[[#This Row],[majoration dim &amp; JF]]="non",0,H_Oct[[#This Row],[heures jour dimanche]]+H_Oct[[#This Row],[heures jour fériés]]))</f>
        <v>0</v>
      </c>
      <c r="J13" s="29">
        <f>(MOD(H_Oct[[#This Row],[Fin]]-H_Oct[[#This Row],[début]],1)-MOD(H_Oct[[#This Row],[PNP Fin]]-H_Oct[[#This Row],[PNP Début]],1))*24</f>
        <v>0</v>
      </c>
      <c r="K13" s="29" t="str">
        <f>IFERROR(VLOOKUP(H_Oct[[#This Row],[Service]],Codes[],4,0),"")</f>
        <v/>
      </c>
      <c r="L13" s="30">
        <f>IF(H_Oct[[#This Row],[PNP Début]]=0,0,IF(H_Oct[[#This Row],[PNP Début]]&lt;H_Oct[[#This Row],[début]],1,0)+H_Oct[[#This Row],[PNP Début]])</f>
        <v>0</v>
      </c>
      <c r="M13" s="30">
        <f>IF(H_Oct[[#This Row],[PNP Fin]]=0,0,IF(H_Oct[[#This Row],[PNP Fin]]&lt;H_Oct[[#This Row],[début]],1,0)+H_Oct[[#This Row],[PNP Fin]])</f>
        <v>0</v>
      </c>
      <c r="N13" s="30">
        <f>IF(H_Oct[[#This Row],[Fin]]&lt;H_Oct[[#This Row],[début]],1,0)+H_Oct[[#This Row],[Fin]]</f>
        <v>0</v>
      </c>
      <c r="O13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3" s="3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3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3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3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3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0.1*(H_Oct[[#This Row],[Heures de nuit]]+IF(H_Oct[[#This Row],[majoration dim &amp; JF]]="non",0,H_Oct[[#This Row],[heures jour dimanche]]+H_Oct[[#This Row],[heures jour fériés]]))</f>
        <v>0</v>
      </c>
      <c r="J14" s="29">
        <f>(MOD(H_Oct[[#This Row],[Fin]]-H_Oct[[#This Row],[début]],1)-MOD(H_Oct[[#This Row],[PNP Fin]]-H_Oct[[#This Row],[PNP Début]],1))*24</f>
        <v>0</v>
      </c>
      <c r="K14" s="29" t="str">
        <f>IFERROR(VLOOKUP(H_Oct[[#This Row],[Service]],Codes[],4,0),"")</f>
        <v/>
      </c>
      <c r="L14" s="30">
        <f>IF(H_Oct[[#This Row],[PNP Début]]=0,0,IF(H_Oct[[#This Row],[PNP Début]]&lt;H_Oct[[#This Row],[début]],1,0)+H_Oct[[#This Row],[PNP Début]])</f>
        <v>0</v>
      </c>
      <c r="M14" s="30">
        <f>IF(H_Oct[[#This Row],[PNP Fin]]=0,0,IF(H_Oct[[#This Row],[PNP Fin]]&lt;H_Oct[[#This Row],[début]],1,0)+H_Oct[[#This Row],[PNP Fin]])</f>
        <v>0</v>
      </c>
      <c r="N14" s="30">
        <f>IF(H_Oct[[#This Row],[Fin]]&lt;H_Oct[[#This Row],[début]],1,0)+H_Oct[[#This Row],[Fin]]</f>
        <v>0</v>
      </c>
      <c r="O14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4" s="3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4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4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4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4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0.1*(H_Oct[[#This Row],[Heures de nuit]]+IF(H_Oct[[#This Row],[majoration dim &amp; JF]]="non",0,H_Oct[[#This Row],[heures jour dimanche]]+H_Oct[[#This Row],[heures jour fériés]]))</f>
        <v>0</v>
      </c>
      <c r="J15" s="29">
        <f>(MOD(H_Oct[[#This Row],[Fin]]-H_Oct[[#This Row],[début]],1)-MOD(H_Oct[[#This Row],[PNP Fin]]-H_Oct[[#This Row],[PNP Début]],1))*24</f>
        <v>0</v>
      </c>
      <c r="K15" s="29" t="str">
        <f>IFERROR(VLOOKUP(H_Oct[[#This Row],[Service]],Codes[],4,0),"")</f>
        <v/>
      </c>
      <c r="L15" s="30">
        <f>IF(H_Oct[[#This Row],[PNP Début]]=0,0,IF(H_Oct[[#This Row],[PNP Début]]&lt;H_Oct[[#This Row],[début]],1,0)+H_Oct[[#This Row],[PNP Début]])</f>
        <v>0</v>
      </c>
      <c r="M15" s="30">
        <f>IF(H_Oct[[#This Row],[PNP Fin]]=0,0,IF(H_Oct[[#This Row],[PNP Fin]]&lt;H_Oct[[#This Row],[début]],1,0)+H_Oct[[#This Row],[PNP Fin]])</f>
        <v>0</v>
      </c>
      <c r="N15" s="30">
        <f>IF(H_Oct[[#This Row],[Fin]]&lt;H_Oct[[#This Row],[début]],1,0)+H_Oct[[#This Row],[Fin]]</f>
        <v>0</v>
      </c>
      <c r="O15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5" s="3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5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5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5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5" s="32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0.1*(H_Oct[[#This Row],[Heures de nuit]]+IF(H_Oct[[#This Row],[majoration dim &amp; JF]]="non",0,H_Oct[[#This Row],[heures jour dimanche]]+H_Oct[[#This Row],[heures jour fériés]]))</f>
        <v>0</v>
      </c>
      <c r="J16" s="33">
        <f>(MOD(H_Oct[[#This Row],[Fin]]-H_Oct[[#This Row],[début]],1)-MOD(H_Oct[[#This Row],[PNP Fin]]-H_Oct[[#This Row],[PNP Début]],1))*24</f>
        <v>0</v>
      </c>
      <c r="K16" s="33" t="str">
        <f>IFERROR(VLOOKUP(H_Oct[[#This Row],[Service]],Codes[],4,0),"")</f>
        <v/>
      </c>
      <c r="L16" s="30">
        <f>IF(H_Oct[[#This Row],[PNP Début]]=0,0,IF(H_Oct[[#This Row],[PNP Début]]&lt;H_Oct[[#This Row],[début]],1,0)+H_Oct[[#This Row],[PNP Début]])</f>
        <v>0</v>
      </c>
      <c r="M16" s="30">
        <f>IF(H_Oct[[#This Row],[PNP Fin]]=0,0,IF(H_Oct[[#This Row],[PNP Fin]]&lt;H_Oct[[#This Row],[début]],1,0)+H_Oct[[#This Row],[PNP Fin]])</f>
        <v>0</v>
      </c>
      <c r="N16" s="34">
        <f>IF(H_Oct[[#This Row],[Fin]]&lt;H_Oct[[#This Row],[début]],1,0)+H_Oct[[#This Row],[Fin]]</f>
        <v>0</v>
      </c>
      <c r="O16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6" s="35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6" s="35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6" s="3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6" s="36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6" s="36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16" s="104" t="s">
        <v>116</v>
      </c>
      <c r="W16" s="105">
        <f>'Septembre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0.1*(H_Oct[[#This Row],[Heures de nuit]]+IF(H_Oct[[#This Row],[majoration dim &amp; JF]]="non",0,H_Oct[[#This Row],[heures jour dimanche]]+H_Oct[[#This Row],[heures jour fériés]]))</f>
        <v>0</v>
      </c>
      <c r="J17" s="38">
        <f>(MOD(H_Oct[[#This Row],[Fin]]-H_Oct[[#This Row],[début]],1)-MOD(H_Oct[[#This Row],[PNP Fin]]-H_Oct[[#This Row],[PNP Début]],1))*24</f>
        <v>0</v>
      </c>
      <c r="K17" s="99" t="str">
        <f>IFERROR(VLOOKUP(H_Oct[[#This Row],[Service]],Codes[],4,0),"")</f>
        <v/>
      </c>
      <c r="L17" s="39">
        <f>IF(H_Oct[[#This Row],[PNP Début]]=0,0,IF(H_Oct[[#This Row],[PNP Début]]&lt;H_Oct[[#This Row],[début]],1,0)+H_Oct[[#This Row],[PNP Début]])</f>
        <v>0</v>
      </c>
      <c r="M17" s="40">
        <f>IF(H_Oct[[#This Row],[PNP Fin]]=0,0,IF(H_Oct[[#This Row],[PNP Fin]]&lt;H_Oct[[#This Row],[début]],1,0)+H_Oct[[#This Row],[PNP Fin]])</f>
        <v>0</v>
      </c>
      <c r="N17" s="40">
        <f>IF(H_Oct[[#This Row],[Fin]]&lt;H_Oct[[#This Row],[début]],1,0)+H_Oct[[#This Row],[Fin]]</f>
        <v>0</v>
      </c>
      <c r="O17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7" s="4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7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7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7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7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0.1*(H_Oct[[#This Row],[Heures de nuit]]+IF(H_Oct[[#This Row],[majoration dim &amp; JF]]="non",0,H_Oct[[#This Row],[heures jour dimanche]]+H_Oct[[#This Row],[heures jour fériés]]))</f>
        <v>0</v>
      </c>
      <c r="J18" s="38">
        <f>(MOD(H_Oct[[#This Row],[Fin]]-H_Oct[[#This Row],[début]],1)-MOD(H_Oct[[#This Row],[PNP Fin]]-H_Oct[[#This Row],[PNP Début]],1))*24</f>
        <v>0</v>
      </c>
      <c r="K18" s="99" t="str">
        <f>IFERROR(VLOOKUP(H_Oct[[#This Row],[Service]],Codes[],4,0),"")</f>
        <v/>
      </c>
      <c r="L18" s="39">
        <f>IF(H_Oct[[#This Row],[PNP Début]]=0,0,IF(H_Oct[[#This Row],[PNP Début]]&lt;H_Oct[[#This Row],[début]],1,0)+H_Oct[[#This Row],[PNP Début]])</f>
        <v>0</v>
      </c>
      <c r="M18" s="40">
        <f>IF(H_Oct[[#This Row],[PNP Fin]]=0,0,IF(H_Oct[[#This Row],[PNP Fin]]&lt;H_Oct[[#This Row],[début]],1,0)+H_Oct[[#This Row],[PNP Fin]])</f>
        <v>0</v>
      </c>
      <c r="N18" s="40">
        <f>IF(H_Oct[[#This Row],[Fin]]&lt;H_Oct[[#This Row],[début]],1,0)+H_Oct[[#This Row],[Fin]]</f>
        <v>0</v>
      </c>
      <c r="O18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8" s="4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8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8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8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8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0.1*(H_Oct[[#This Row],[Heures de nuit]]+IF(H_Oct[[#This Row],[majoration dim &amp; JF]]="non",0,H_Oct[[#This Row],[heures jour dimanche]]+H_Oct[[#This Row],[heures jour fériés]]))</f>
        <v>0</v>
      </c>
      <c r="J19" s="38">
        <f>(MOD(H_Oct[[#This Row],[Fin]]-H_Oct[[#This Row],[début]],1)-MOD(H_Oct[[#This Row],[PNP Fin]]-H_Oct[[#This Row],[PNP Début]],1))*24</f>
        <v>0</v>
      </c>
      <c r="K19" s="99" t="str">
        <f>IFERROR(VLOOKUP(H_Oct[[#This Row],[Service]],Codes[],4,0),"")</f>
        <v/>
      </c>
      <c r="L19" s="39">
        <f>IF(H_Oct[[#This Row],[PNP Début]]=0,0,IF(H_Oct[[#This Row],[PNP Début]]&lt;H_Oct[[#This Row],[début]],1,0)+H_Oct[[#This Row],[PNP Début]])</f>
        <v>0</v>
      </c>
      <c r="M19" s="40">
        <f>IF(H_Oct[[#This Row],[PNP Fin]]=0,0,IF(H_Oct[[#This Row],[PNP Fin]]&lt;H_Oct[[#This Row],[début]],1,0)+H_Oct[[#This Row],[PNP Fin]])</f>
        <v>0</v>
      </c>
      <c r="N19" s="40">
        <f>IF(H_Oct[[#This Row],[Fin]]&lt;H_Oct[[#This Row],[début]],1,0)+H_Oct[[#This Row],[Fin]]</f>
        <v>0</v>
      </c>
      <c r="O19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19" s="4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19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19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19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19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0.1*(H_Oct[[#This Row],[Heures de nuit]]+IF(H_Oct[[#This Row],[majoration dim &amp; JF]]="non",0,H_Oct[[#This Row],[heures jour dimanche]]+H_Oct[[#This Row],[heures jour fériés]]))</f>
        <v>0</v>
      </c>
      <c r="J20" s="38">
        <f>(MOD(H_Oct[[#This Row],[Fin]]-H_Oct[[#This Row],[début]],1)-MOD(H_Oct[[#This Row],[PNP Fin]]-H_Oct[[#This Row],[PNP Début]],1))*24</f>
        <v>0</v>
      </c>
      <c r="K20" s="99" t="str">
        <f>IFERROR(VLOOKUP(H_Oct[[#This Row],[Service]],Codes[],4,0),"")</f>
        <v/>
      </c>
      <c r="L20" s="39">
        <f>IF(H_Oct[[#This Row],[PNP Début]]=0,0,IF(H_Oct[[#This Row],[PNP Début]]&lt;H_Oct[[#This Row],[début]],1,0)+H_Oct[[#This Row],[PNP Début]])</f>
        <v>0</v>
      </c>
      <c r="M20" s="40">
        <f>IF(H_Oct[[#This Row],[PNP Fin]]=0,0,IF(H_Oct[[#This Row],[PNP Fin]]&lt;H_Oct[[#This Row],[début]],1,0)+H_Oct[[#This Row],[PNP Fin]])</f>
        <v>0</v>
      </c>
      <c r="N20" s="40">
        <f>IF(H_Oct[[#This Row],[Fin]]&lt;H_Oct[[#This Row],[début]],1,0)+H_Oct[[#This Row],[Fin]]</f>
        <v>0</v>
      </c>
      <c r="O20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0" s="4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0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0" s="4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0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0" s="4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0.1*(H_Oct[[#This Row],[Heures de nuit]]+IF(H_Oct[[#This Row],[majoration dim &amp; JF]]="non",0,H_Oct[[#This Row],[heures jour dimanche]]+H_Oct[[#This Row],[heures jour fériés]]))</f>
        <v>0</v>
      </c>
      <c r="J21" s="43">
        <f>(MOD(H_Oct[[#This Row],[Fin]]-H_Oct[[#This Row],[début]],1)-MOD(H_Oct[[#This Row],[PNP Fin]]-H_Oct[[#This Row],[PNP Début]],1))*24</f>
        <v>0</v>
      </c>
      <c r="K21" s="100" t="str">
        <f>IFERROR(VLOOKUP(H_Oct[[#This Row],[Service]],Codes[],4,0),"")</f>
        <v/>
      </c>
      <c r="L21" s="44">
        <f>IF(H_Oct[[#This Row],[PNP Début]]=0,0,IF(H_Oct[[#This Row],[PNP Début]]&lt;H_Oct[[#This Row],[début]],1,0)+H_Oct[[#This Row],[PNP Début]])</f>
        <v>0</v>
      </c>
      <c r="M21" s="45">
        <f>IF(H_Oct[[#This Row],[PNP Fin]]=0,0,IF(H_Oct[[#This Row],[PNP Fin]]&lt;H_Oct[[#This Row],[début]],1,0)+H_Oct[[#This Row],[PNP Fin]])</f>
        <v>0</v>
      </c>
      <c r="N21" s="45">
        <f>IF(H_Oct[[#This Row],[Fin]]&lt;H_Oct[[#This Row],[début]],1,0)+H_Oct[[#This Row],[Fin]]</f>
        <v>0</v>
      </c>
      <c r="O21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1" s="46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1" s="46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1" s="46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1" s="46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1" s="46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0.1*(H_Oct[[#This Row],[Heures de nuit]]+IF(H_Oct[[#This Row],[majoration dim &amp; JF]]="non",0,H_Oct[[#This Row],[heures jour dimanche]]+H_Oct[[#This Row],[heures jour fériés]]))</f>
        <v>0</v>
      </c>
      <c r="J22" s="48">
        <f>(MOD(H_Oct[[#This Row],[Fin]]-H_Oct[[#This Row],[début]],1)-MOD(H_Oct[[#This Row],[PNP Fin]]-H_Oct[[#This Row],[PNP Début]],1))*24</f>
        <v>0</v>
      </c>
      <c r="K22" s="96" t="str">
        <f>IFERROR(VLOOKUP(H_Oct[[#This Row],[Service]],Codes[],4,0),"")</f>
        <v/>
      </c>
      <c r="L22" s="49">
        <f>IF(H_Oct[[#This Row],[PNP Début]]=0,0,IF(H_Oct[[#This Row],[PNP Début]]&lt;H_Oct[[#This Row],[début]],1,0)+H_Oct[[#This Row],[PNP Début]])</f>
        <v>0</v>
      </c>
      <c r="M22" s="50">
        <f>IF(H_Oct[[#This Row],[PNP Fin]]=0,0,IF(H_Oct[[#This Row],[PNP Fin]]&lt;H_Oct[[#This Row],[début]],1,0)+H_Oct[[#This Row],[PNP Fin]])</f>
        <v>0</v>
      </c>
      <c r="N22" s="50">
        <f>IF(H_Oct[[#This Row],[Fin]]&lt;H_Oct[[#This Row],[début]],1,0)+H_Oct[[#This Row],[Fin]]</f>
        <v>0</v>
      </c>
      <c r="O22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2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0.1*(H_Oct[[#This Row],[Heures de nuit]]+IF(H_Oct[[#This Row],[majoration dim &amp; JF]]="non",0,H_Oct[[#This Row],[heures jour dimanche]]+H_Oct[[#This Row],[heures jour fériés]]))</f>
        <v>0</v>
      </c>
      <c r="J23" s="48">
        <f>(MOD(H_Oct[[#This Row],[Fin]]-H_Oct[[#This Row],[début]],1)-MOD(H_Oct[[#This Row],[PNP Fin]]-H_Oct[[#This Row],[PNP Début]],1))*24</f>
        <v>0</v>
      </c>
      <c r="K23" s="96" t="str">
        <f>IFERROR(VLOOKUP(H_Oct[[#This Row],[Service]],Codes[],4,0),"")</f>
        <v/>
      </c>
      <c r="L23" s="49">
        <f>IF(H_Oct[[#This Row],[PNP Début]]=0,0,IF(H_Oct[[#This Row],[PNP Début]]&lt;H_Oct[[#This Row],[début]],1,0)+H_Oct[[#This Row],[PNP Début]])</f>
        <v>0</v>
      </c>
      <c r="M23" s="50">
        <f>IF(H_Oct[[#This Row],[PNP Fin]]=0,0,IF(H_Oct[[#This Row],[PNP Fin]]&lt;H_Oct[[#This Row],[début]],1,0)+H_Oct[[#This Row],[PNP Fin]])</f>
        <v>0</v>
      </c>
      <c r="N23" s="50">
        <f>IF(H_Oct[[#This Row],[Fin]]&lt;H_Oct[[#This Row],[début]],1,0)+H_Oct[[#This Row],[Fin]]</f>
        <v>0</v>
      </c>
      <c r="O23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3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0.1*(H_Oct[[#This Row],[Heures de nuit]]+IF(H_Oct[[#This Row],[majoration dim &amp; JF]]="non",0,H_Oct[[#This Row],[heures jour dimanche]]+H_Oct[[#This Row],[heures jour fériés]]))</f>
        <v>0</v>
      </c>
      <c r="J24" s="48">
        <f>(MOD(H_Oct[[#This Row],[Fin]]-H_Oct[[#This Row],[début]],1)-MOD(H_Oct[[#This Row],[PNP Fin]]-H_Oct[[#This Row],[PNP Début]],1))*24</f>
        <v>0</v>
      </c>
      <c r="K24" s="96" t="str">
        <f>IFERROR(VLOOKUP(H_Oct[[#This Row],[Service]],Codes[],4,0),"")</f>
        <v/>
      </c>
      <c r="L24" s="49">
        <f>IF(H_Oct[[#This Row],[PNP Début]]=0,0,IF(H_Oct[[#This Row],[PNP Début]]&lt;H_Oct[[#This Row],[début]],1,0)+H_Oct[[#This Row],[PNP Début]])</f>
        <v>0</v>
      </c>
      <c r="M24" s="50">
        <f>IF(H_Oct[[#This Row],[PNP Fin]]=0,0,IF(H_Oct[[#This Row],[PNP Fin]]&lt;H_Oct[[#This Row],[début]],1,0)+H_Oct[[#This Row],[PNP Fin]])</f>
        <v>0</v>
      </c>
      <c r="N24" s="50">
        <f>IF(H_Oct[[#This Row],[Fin]]&lt;H_Oct[[#This Row],[début]],1,0)+H_Oct[[#This Row],[Fin]]</f>
        <v>0</v>
      </c>
      <c r="O24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4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0.1*(H_Oct[[#This Row],[Heures de nuit]]+IF(H_Oct[[#This Row],[majoration dim &amp; JF]]="non",0,H_Oct[[#This Row],[heures jour dimanche]]+H_Oct[[#This Row],[heures jour fériés]]))</f>
        <v>0</v>
      </c>
      <c r="J25" s="48">
        <f>(MOD(H_Oct[[#This Row],[Fin]]-H_Oct[[#This Row],[début]],1)-MOD(H_Oct[[#This Row],[PNP Fin]]-H_Oct[[#This Row],[PNP Début]],1))*24</f>
        <v>0</v>
      </c>
      <c r="K25" s="96" t="str">
        <f>IFERROR(VLOOKUP(H_Oct[[#This Row],[Service]],Codes[],4,0),"")</f>
        <v/>
      </c>
      <c r="L25" s="49">
        <f>IF(H_Oct[[#This Row],[PNP Début]]=0,0,IF(H_Oct[[#This Row],[PNP Début]]&lt;H_Oct[[#This Row],[début]],1,0)+H_Oct[[#This Row],[PNP Début]])</f>
        <v>0</v>
      </c>
      <c r="M25" s="50">
        <f>IF(H_Oct[[#This Row],[PNP Fin]]=0,0,IF(H_Oct[[#This Row],[PNP Fin]]&lt;H_Oct[[#This Row],[début]],1,0)+H_Oct[[#This Row],[PNP Fin]])</f>
        <v>0</v>
      </c>
      <c r="N25" s="50">
        <f>IF(H_Oct[[#This Row],[Fin]]&lt;H_Oct[[#This Row],[début]],1,0)+H_Oct[[#This Row],[Fin]]</f>
        <v>0</v>
      </c>
      <c r="O25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5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0.1*(H_Oct[[#This Row],[Heures de nuit]]+IF(H_Oct[[#This Row],[majoration dim &amp; JF]]="non",0,H_Oct[[#This Row],[heures jour dimanche]]+H_Oct[[#This Row],[heures jour fériés]]))</f>
        <v>0</v>
      </c>
      <c r="J26" s="48">
        <f>(MOD(H_Oct[[#This Row],[Fin]]-H_Oct[[#This Row],[début]],1)-MOD(H_Oct[[#This Row],[PNP Fin]]-H_Oct[[#This Row],[PNP Début]],1))*24</f>
        <v>0</v>
      </c>
      <c r="K26" s="96" t="str">
        <f>IFERROR(VLOOKUP(H_Oct[[#This Row],[Service]],Codes[],4,0),"")</f>
        <v/>
      </c>
      <c r="L26" s="49">
        <f>IF(H_Oct[[#This Row],[PNP Début]]=0,0,IF(H_Oct[[#This Row],[PNP Début]]&lt;H_Oct[[#This Row],[début]],1,0)+H_Oct[[#This Row],[PNP Début]])</f>
        <v>0</v>
      </c>
      <c r="M26" s="50">
        <f>IF(H_Oct[[#This Row],[PNP Fin]]=0,0,IF(H_Oct[[#This Row],[PNP Fin]]&lt;H_Oct[[#This Row],[début]],1,0)+H_Oct[[#This Row],[PNP Fin]])</f>
        <v>0</v>
      </c>
      <c r="N26" s="50">
        <f>IF(H_Oct[[#This Row],[Fin]]&lt;H_Oct[[#This Row],[début]],1,0)+H_Oct[[#This Row],[Fin]]</f>
        <v>0</v>
      </c>
      <c r="O26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6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0.1*(H_Oct[[#This Row],[Heures de nuit]]+IF(H_Oct[[#This Row],[majoration dim &amp; JF]]="non",0,H_Oct[[#This Row],[heures jour dimanche]]+H_Oct[[#This Row],[heures jour fériés]]))</f>
        <v>0</v>
      </c>
      <c r="J27" s="48">
        <f>(MOD(H_Oct[[#This Row],[Fin]]-H_Oct[[#This Row],[début]],1)-MOD(H_Oct[[#This Row],[PNP Fin]]-H_Oct[[#This Row],[PNP Début]],1))*24</f>
        <v>0</v>
      </c>
      <c r="K27" s="96" t="str">
        <f>IFERROR(VLOOKUP(H_Oct[[#This Row],[Service]],Codes[],4,0),"")</f>
        <v/>
      </c>
      <c r="L27" s="49">
        <f>IF(H_Oct[[#This Row],[PNP Début]]=0,0,IF(H_Oct[[#This Row],[PNP Début]]&lt;H_Oct[[#This Row],[début]],1,0)+H_Oct[[#This Row],[PNP Début]])</f>
        <v>0</v>
      </c>
      <c r="M27" s="50">
        <f>IF(H_Oct[[#This Row],[PNP Fin]]=0,0,IF(H_Oct[[#This Row],[PNP Fin]]&lt;H_Oct[[#This Row],[début]],1,0)+H_Oct[[#This Row],[PNP Fin]])</f>
        <v>0</v>
      </c>
      <c r="N27" s="50">
        <f>IF(H_Oct[[#This Row],[Fin]]&lt;H_Oct[[#This Row],[début]],1,0)+H_Oct[[#This Row],[Fin]]</f>
        <v>0</v>
      </c>
      <c r="O27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7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0.1*(H_Oct[[#This Row],[Heures de nuit]]+IF(H_Oct[[#This Row],[majoration dim &amp; JF]]="non",0,H_Oct[[#This Row],[heures jour dimanche]]+H_Oct[[#This Row],[heures jour fériés]]))</f>
        <v>0</v>
      </c>
      <c r="J28" s="48">
        <f>(MOD(H_Oct[[#This Row],[Fin]]-H_Oct[[#This Row],[début]],1)-MOD(H_Oct[[#This Row],[PNP Fin]]-H_Oct[[#This Row],[PNP Début]],1))*24</f>
        <v>0</v>
      </c>
      <c r="K28" s="96" t="str">
        <f>IFERROR(VLOOKUP(H_Oct[[#This Row],[Service]],Codes[],4,0),"")</f>
        <v/>
      </c>
      <c r="L28" s="49">
        <f>IF(H_Oct[[#This Row],[PNP Début]]=0,0,IF(H_Oct[[#This Row],[PNP Début]]&lt;H_Oct[[#This Row],[début]],1,0)+H_Oct[[#This Row],[PNP Début]])</f>
        <v>0</v>
      </c>
      <c r="M28" s="50">
        <f>IF(H_Oct[[#This Row],[PNP Fin]]=0,0,IF(H_Oct[[#This Row],[PNP Fin]]&lt;H_Oct[[#This Row],[début]],1,0)+H_Oct[[#This Row],[PNP Fin]])</f>
        <v>0</v>
      </c>
      <c r="N28" s="50">
        <f>IF(H_Oct[[#This Row],[Fin]]&lt;H_Oct[[#This Row],[début]],1,0)+H_Oct[[#This Row],[Fin]]</f>
        <v>0</v>
      </c>
      <c r="O28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8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0.1*(H_Oct[[#This Row],[Heures de nuit]]+IF(H_Oct[[#This Row],[majoration dim &amp; JF]]="non",0,H_Oct[[#This Row],[heures jour dimanche]]+H_Oct[[#This Row],[heures jour fériés]]))</f>
        <v>0</v>
      </c>
      <c r="J29" s="48">
        <f>(MOD(H_Oct[[#This Row],[Fin]]-H_Oct[[#This Row],[début]],1)-MOD(H_Oct[[#This Row],[PNP Fin]]-H_Oct[[#This Row],[PNP Début]],1))*24</f>
        <v>0</v>
      </c>
      <c r="K29" s="96" t="str">
        <f>IFERROR(VLOOKUP(H_Oct[[#This Row],[Service]],Codes[],4,0),"")</f>
        <v/>
      </c>
      <c r="L29" s="49">
        <f>IF(H_Oct[[#This Row],[PNP Début]]=0,0,IF(H_Oct[[#This Row],[PNP Début]]&lt;H_Oct[[#This Row],[début]],1,0)+H_Oct[[#This Row],[PNP Début]])</f>
        <v>0</v>
      </c>
      <c r="M29" s="50">
        <f>IF(H_Oct[[#This Row],[PNP Fin]]=0,0,IF(H_Oct[[#This Row],[PNP Fin]]&lt;H_Oct[[#This Row],[début]],1,0)+H_Oct[[#This Row],[PNP Fin]])</f>
        <v>0</v>
      </c>
      <c r="N29" s="50">
        <f>IF(H_Oct[[#This Row],[Fin]]&lt;H_Oct[[#This Row],[début]],1,0)+H_Oct[[#This Row],[Fin]]</f>
        <v>0</v>
      </c>
      <c r="O29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29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2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2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2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2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0.1*(H_Oct[[#This Row],[Heures de nuit]]+IF(H_Oct[[#This Row],[majoration dim &amp; JF]]="non",0,H_Oct[[#This Row],[heures jour dimanche]]+H_Oct[[#This Row],[heures jour fériés]]))</f>
        <v>0</v>
      </c>
      <c r="J30" s="48">
        <f>(MOD(H_Oct[[#This Row],[Fin]]-H_Oct[[#This Row],[début]],1)-MOD(H_Oct[[#This Row],[PNP Fin]]-H_Oct[[#This Row],[PNP Début]],1))*24</f>
        <v>0</v>
      </c>
      <c r="K30" s="96" t="str">
        <f>IFERROR(VLOOKUP(H_Oct[[#This Row],[Service]],Codes[],4,0),"")</f>
        <v/>
      </c>
      <c r="L30" s="49">
        <f>IF(H_Oct[[#This Row],[PNP Début]]=0,0,IF(H_Oct[[#This Row],[PNP Début]]&lt;H_Oct[[#This Row],[début]],1,0)+H_Oct[[#This Row],[PNP Début]])</f>
        <v>0</v>
      </c>
      <c r="M30" s="50">
        <f>IF(H_Oct[[#This Row],[PNP Fin]]=0,0,IF(H_Oct[[#This Row],[PNP Fin]]&lt;H_Oct[[#This Row],[début]],1,0)+H_Oct[[#This Row],[PNP Fin]])</f>
        <v>0</v>
      </c>
      <c r="N30" s="50">
        <f>IF(H_Oct[[#This Row],[Fin]]&lt;H_Oct[[#This Row],[début]],1,0)+H_Oct[[#This Row],[Fin]]</f>
        <v>0</v>
      </c>
      <c r="O30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0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0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0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0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0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0.1*(H_Oct[[#This Row],[Heures de nuit]]+IF(H_Oct[[#This Row],[majoration dim &amp; JF]]="non",0,H_Oct[[#This Row],[heures jour dimanche]]+H_Oct[[#This Row],[heures jour fériés]]))</f>
        <v>0</v>
      </c>
      <c r="J31" s="48">
        <f>(MOD(H_Oct[[#This Row],[Fin]]-H_Oct[[#This Row],[début]],1)-MOD(H_Oct[[#This Row],[PNP Fin]]-H_Oct[[#This Row],[PNP Début]],1))*24</f>
        <v>0</v>
      </c>
      <c r="K31" s="96" t="str">
        <f>IFERROR(VLOOKUP(H_Oct[[#This Row],[Service]],Codes[],4,0),"")</f>
        <v/>
      </c>
      <c r="L31" s="49">
        <f>IF(H_Oct[[#This Row],[PNP Début]]=0,0,IF(H_Oct[[#This Row],[PNP Début]]&lt;H_Oct[[#This Row],[début]],1,0)+H_Oct[[#This Row],[PNP Début]])</f>
        <v>0</v>
      </c>
      <c r="M31" s="50">
        <f>IF(H_Oct[[#This Row],[PNP Fin]]=0,0,IF(H_Oct[[#This Row],[PNP Fin]]&lt;H_Oct[[#This Row],[début]],1,0)+H_Oct[[#This Row],[PNP Fin]])</f>
        <v>0</v>
      </c>
      <c r="N31" s="50">
        <f>IF(H_Oct[[#This Row],[Fin]]&lt;H_Oct[[#This Row],[début]],1,0)+H_Oct[[#This Row],[Fin]]</f>
        <v>0</v>
      </c>
      <c r="O31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1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1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1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1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1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0.1*(H_Oct[[#This Row],[Heures de nuit]]+IF(H_Oct[[#This Row],[majoration dim &amp; JF]]="non",0,H_Oct[[#This Row],[heures jour dimanche]]+H_Oct[[#This Row],[heures jour fériés]]))</f>
        <v>0</v>
      </c>
      <c r="J32" s="48">
        <f>(MOD(H_Oct[[#This Row],[Fin]]-H_Oct[[#This Row],[début]],1)-MOD(H_Oct[[#This Row],[PNP Fin]]-H_Oct[[#This Row],[PNP Début]],1))*24</f>
        <v>0</v>
      </c>
      <c r="K32" s="96" t="str">
        <f>IFERROR(VLOOKUP(H_Oct[[#This Row],[Service]],Codes[],4,0),"")</f>
        <v/>
      </c>
      <c r="L32" s="49">
        <f>IF(H_Oct[[#This Row],[PNP Début]]=0,0,IF(H_Oct[[#This Row],[PNP Début]]&lt;H_Oct[[#This Row],[début]],1,0)+H_Oct[[#This Row],[PNP Début]])</f>
        <v>0</v>
      </c>
      <c r="M32" s="50">
        <f>IF(H_Oct[[#This Row],[PNP Fin]]=0,0,IF(H_Oct[[#This Row],[PNP Fin]]&lt;H_Oct[[#This Row],[début]],1,0)+H_Oct[[#This Row],[PNP Fin]])</f>
        <v>0</v>
      </c>
      <c r="N32" s="50">
        <f>IF(H_Oct[[#This Row],[Fin]]&lt;H_Oct[[#This Row],[début]],1,0)+H_Oct[[#This Row],[Fin]]</f>
        <v>0</v>
      </c>
      <c r="O32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2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0.1*(H_Oct[[#This Row],[Heures de nuit]]+IF(H_Oct[[#This Row],[majoration dim &amp; JF]]="non",0,H_Oct[[#This Row],[heures jour dimanche]]+H_Oct[[#This Row],[heures jour fériés]]))</f>
        <v>0</v>
      </c>
      <c r="J33" s="48">
        <f>(MOD(H_Oct[[#This Row],[Fin]]-H_Oct[[#This Row],[début]],1)-MOD(H_Oct[[#This Row],[PNP Fin]]-H_Oct[[#This Row],[PNP Début]],1))*24</f>
        <v>0</v>
      </c>
      <c r="K33" s="96" t="str">
        <f>IFERROR(VLOOKUP(H_Oct[[#This Row],[Service]],Codes[],4,0),"")</f>
        <v/>
      </c>
      <c r="L33" s="49">
        <f>IF(H_Oct[[#This Row],[PNP Début]]=0,0,IF(H_Oct[[#This Row],[PNP Début]]&lt;H_Oct[[#This Row],[début]],1,0)+H_Oct[[#This Row],[PNP Début]])</f>
        <v>0</v>
      </c>
      <c r="M33" s="50">
        <f>IF(H_Oct[[#This Row],[PNP Fin]]=0,0,IF(H_Oct[[#This Row],[PNP Fin]]&lt;H_Oct[[#This Row],[début]],1,0)+H_Oct[[#This Row],[PNP Fin]])</f>
        <v>0</v>
      </c>
      <c r="N33" s="50">
        <f>IF(H_Oct[[#This Row],[Fin]]&lt;H_Oct[[#This Row],[début]],1,0)+H_Oct[[#This Row],[Fin]]</f>
        <v>0</v>
      </c>
      <c r="O33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3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0.1*(H_Oct[[#This Row],[Heures de nuit]]+IF(H_Oct[[#This Row],[majoration dim &amp; JF]]="non",0,H_Oct[[#This Row],[heures jour dimanche]]+H_Oct[[#This Row],[heures jour fériés]]))</f>
        <v>0</v>
      </c>
      <c r="J34" s="48">
        <f>(MOD(H_Oct[[#This Row],[Fin]]-H_Oct[[#This Row],[début]],1)-MOD(H_Oct[[#This Row],[PNP Fin]]-H_Oct[[#This Row],[PNP Début]],1))*24</f>
        <v>0</v>
      </c>
      <c r="K34" s="96" t="str">
        <f>IFERROR(VLOOKUP(H_Oct[[#This Row],[Service]],Codes[],4,0),"")</f>
        <v/>
      </c>
      <c r="L34" s="49">
        <f>IF(H_Oct[[#This Row],[PNP Début]]=0,0,IF(H_Oct[[#This Row],[PNP Début]]&lt;H_Oct[[#This Row],[début]],1,0)+H_Oct[[#This Row],[PNP Début]])</f>
        <v>0</v>
      </c>
      <c r="M34" s="50">
        <f>IF(H_Oct[[#This Row],[PNP Fin]]=0,0,IF(H_Oct[[#This Row],[PNP Fin]]&lt;H_Oct[[#This Row],[début]],1,0)+H_Oct[[#This Row],[PNP Fin]])</f>
        <v>0</v>
      </c>
      <c r="N34" s="50">
        <f>IF(H_Oct[[#This Row],[Fin]]&lt;H_Oct[[#This Row],[début]],1,0)+H_Oct[[#This Row],[Fin]]</f>
        <v>0</v>
      </c>
      <c r="O34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4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0.1*(H_Oct[[#This Row],[Heures de nuit]]+IF(H_Oct[[#This Row],[majoration dim &amp; JF]]="non",0,H_Oct[[#This Row],[heures jour dimanche]]+H_Oct[[#This Row],[heures jour fériés]]))</f>
        <v>0</v>
      </c>
      <c r="J35" s="48">
        <f>(MOD(H_Oct[[#This Row],[Fin]]-H_Oct[[#This Row],[début]],1)-MOD(H_Oct[[#This Row],[PNP Fin]]-H_Oct[[#This Row],[PNP Début]],1))*24</f>
        <v>0</v>
      </c>
      <c r="K35" s="96" t="str">
        <f>IFERROR(VLOOKUP(H_Oct[[#This Row],[Service]],Codes[],4,0),"")</f>
        <v/>
      </c>
      <c r="L35" s="49">
        <f>IF(H_Oct[[#This Row],[PNP Début]]=0,0,IF(H_Oct[[#This Row],[PNP Début]]&lt;H_Oct[[#This Row],[début]],1,0)+H_Oct[[#This Row],[PNP Début]])</f>
        <v>0</v>
      </c>
      <c r="M35" s="50">
        <f>IF(H_Oct[[#This Row],[PNP Fin]]=0,0,IF(H_Oct[[#This Row],[PNP Fin]]&lt;H_Oct[[#This Row],[début]],1,0)+H_Oct[[#This Row],[PNP Fin]])</f>
        <v>0</v>
      </c>
      <c r="N35" s="50">
        <f>IF(H_Oct[[#This Row],[Fin]]&lt;H_Oct[[#This Row],[début]],1,0)+H_Oct[[#This Row],[Fin]]</f>
        <v>0</v>
      </c>
      <c r="O35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5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0.1*(H_Oct[[#This Row],[Heures de nuit]]+IF(H_Oct[[#This Row],[majoration dim &amp; JF]]="non",0,H_Oct[[#This Row],[heures jour dimanche]]+H_Oct[[#This Row],[heures jour fériés]]))</f>
        <v>0</v>
      </c>
      <c r="J36" s="48">
        <f>(MOD(H_Oct[[#This Row],[Fin]]-H_Oct[[#This Row],[début]],1)-MOD(H_Oct[[#This Row],[PNP Fin]]-H_Oct[[#This Row],[PNP Début]],1))*24</f>
        <v>0</v>
      </c>
      <c r="K36" s="96" t="str">
        <f>IFERROR(VLOOKUP(H_Oct[[#This Row],[Service]],Codes[],4,0),"")</f>
        <v/>
      </c>
      <c r="L36" s="49">
        <f>IF(H_Oct[[#This Row],[PNP Début]]=0,0,IF(H_Oct[[#This Row],[PNP Début]]&lt;H_Oct[[#This Row],[début]],1,0)+H_Oct[[#This Row],[PNP Début]])</f>
        <v>0</v>
      </c>
      <c r="M36" s="50">
        <f>IF(H_Oct[[#This Row],[PNP Fin]]=0,0,IF(H_Oct[[#This Row],[PNP Fin]]&lt;H_Oct[[#This Row],[début]],1,0)+H_Oct[[#This Row],[PNP Fin]])</f>
        <v>0</v>
      </c>
      <c r="N36" s="50">
        <f>IF(H_Oct[[#This Row],[Fin]]&lt;H_Oct[[#This Row],[début]],1,0)+H_Oct[[#This Row],[Fin]]</f>
        <v>0</v>
      </c>
      <c r="O36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6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0.1*(H_Oct[[#This Row],[Heures de nuit]]+IF(H_Oct[[#This Row],[majoration dim &amp; JF]]="non",0,H_Oct[[#This Row],[heures jour dimanche]]+H_Oct[[#This Row],[heures jour fériés]]))</f>
        <v>0</v>
      </c>
      <c r="J37" s="48">
        <f>(MOD(H_Oct[[#This Row],[Fin]]-H_Oct[[#This Row],[début]],1)-MOD(H_Oct[[#This Row],[PNP Fin]]-H_Oct[[#This Row],[PNP Début]],1))*24</f>
        <v>0</v>
      </c>
      <c r="K37" s="96" t="str">
        <f>IFERROR(VLOOKUP(H_Oct[[#This Row],[Service]],Codes[],4,0),"")</f>
        <v/>
      </c>
      <c r="L37" s="49">
        <f>IF(H_Oct[[#This Row],[PNP Début]]=0,0,IF(H_Oct[[#This Row],[PNP Début]]&lt;H_Oct[[#This Row],[début]],1,0)+H_Oct[[#This Row],[PNP Début]])</f>
        <v>0</v>
      </c>
      <c r="M37" s="50">
        <f>IF(H_Oct[[#This Row],[PNP Fin]]=0,0,IF(H_Oct[[#This Row],[PNP Fin]]&lt;H_Oct[[#This Row],[début]],1,0)+H_Oct[[#This Row],[PNP Fin]])</f>
        <v>0</v>
      </c>
      <c r="N37" s="50">
        <f>IF(H_Oct[[#This Row],[Fin]]&lt;H_Oct[[#This Row],[début]],1,0)+H_Oct[[#This Row],[Fin]]</f>
        <v>0</v>
      </c>
      <c r="O37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7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0.1*(H_Oct[[#This Row],[Heures de nuit]]+IF(H_Oct[[#This Row],[majoration dim &amp; JF]]="non",0,H_Oct[[#This Row],[heures jour dimanche]]+H_Oct[[#This Row],[heures jour fériés]]))</f>
        <v>0</v>
      </c>
      <c r="J38" s="48">
        <f>(MOD(H_Oct[[#This Row],[Fin]]-H_Oct[[#This Row],[début]],1)-MOD(H_Oct[[#This Row],[PNP Fin]]-H_Oct[[#This Row],[PNP Début]],1))*24</f>
        <v>0</v>
      </c>
      <c r="K38" s="96" t="str">
        <f>IFERROR(VLOOKUP(H_Oct[[#This Row],[Service]],Codes[],4,0),"")</f>
        <v/>
      </c>
      <c r="L38" s="49">
        <f>IF(H_Oct[[#This Row],[PNP Début]]=0,0,IF(H_Oct[[#This Row],[PNP Début]]&lt;H_Oct[[#This Row],[début]],1,0)+H_Oct[[#This Row],[PNP Début]])</f>
        <v>0</v>
      </c>
      <c r="M38" s="50">
        <f>IF(H_Oct[[#This Row],[PNP Fin]]=0,0,IF(H_Oct[[#This Row],[PNP Fin]]&lt;H_Oct[[#This Row],[début]],1,0)+H_Oct[[#This Row],[PNP Fin]])</f>
        <v>0</v>
      </c>
      <c r="N38" s="50">
        <f>IF(H_Oct[[#This Row],[Fin]]&lt;H_Oct[[#This Row],[début]],1,0)+H_Oct[[#This Row],[Fin]]</f>
        <v>0</v>
      </c>
      <c r="O38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8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0.1*(H_Oct[[#This Row],[Heures de nuit]]+IF(H_Oct[[#This Row],[majoration dim &amp; JF]]="non",0,H_Oct[[#This Row],[heures jour dimanche]]+H_Oct[[#This Row],[heures jour fériés]]))</f>
        <v>0</v>
      </c>
      <c r="J39" s="48">
        <f>(MOD(H_Oct[[#This Row],[Fin]]-H_Oct[[#This Row],[début]],1)-MOD(H_Oct[[#This Row],[PNP Fin]]-H_Oct[[#This Row],[PNP Début]],1))*24</f>
        <v>0</v>
      </c>
      <c r="K39" s="96" t="str">
        <f>IFERROR(VLOOKUP(H_Oct[[#This Row],[Service]],Codes[],4,0),"")</f>
        <v/>
      </c>
      <c r="L39" s="49">
        <f>IF(H_Oct[[#This Row],[PNP Début]]=0,0,IF(H_Oct[[#This Row],[PNP Début]]&lt;H_Oct[[#This Row],[début]],1,0)+H_Oct[[#This Row],[PNP Début]])</f>
        <v>0</v>
      </c>
      <c r="M39" s="50">
        <f>IF(H_Oct[[#This Row],[PNP Fin]]=0,0,IF(H_Oct[[#This Row],[PNP Fin]]&lt;H_Oct[[#This Row],[début]],1,0)+H_Oct[[#This Row],[PNP Fin]])</f>
        <v>0</v>
      </c>
      <c r="N39" s="50">
        <f>IF(H_Oct[[#This Row],[Fin]]&lt;H_Oct[[#This Row],[début]],1,0)+H_Oct[[#This Row],[Fin]]</f>
        <v>0</v>
      </c>
      <c r="O39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39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3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3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3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3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0.1*(H_Oct[[#This Row],[Heures de nuit]]+IF(H_Oct[[#This Row],[majoration dim &amp; JF]]="non",0,H_Oct[[#This Row],[heures jour dimanche]]+H_Oct[[#This Row],[heures jour fériés]]))</f>
        <v>0</v>
      </c>
      <c r="J40" s="48">
        <f>(MOD(H_Oct[[#This Row],[Fin]]-H_Oct[[#This Row],[début]],1)-MOD(H_Oct[[#This Row],[PNP Fin]]-H_Oct[[#This Row],[PNP Début]],1))*24</f>
        <v>0</v>
      </c>
      <c r="K40" s="96" t="str">
        <f>IFERROR(VLOOKUP(H_Oct[[#This Row],[Service]],Codes[],4,0),"")</f>
        <v/>
      </c>
      <c r="L40" s="49">
        <f>IF(H_Oct[[#This Row],[PNP Début]]=0,0,IF(H_Oct[[#This Row],[PNP Début]]&lt;H_Oct[[#This Row],[début]],1,0)+H_Oct[[#This Row],[PNP Début]])</f>
        <v>0</v>
      </c>
      <c r="M40" s="50">
        <f>IF(H_Oct[[#This Row],[PNP Fin]]=0,0,IF(H_Oct[[#This Row],[PNP Fin]]&lt;H_Oct[[#This Row],[début]],1,0)+H_Oct[[#This Row],[PNP Fin]])</f>
        <v>0</v>
      </c>
      <c r="N40" s="50">
        <f>IF(H_Oct[[#This Row],[Fin]]&lt;H_Oct[[#This Row],[début]],1,0)+H_Oct[[#This Row],[Fin]]</f>
        <v>0</v>
      </c>
      <c r="O40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0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0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0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0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0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0.1*(H_Oct[[#This Row],[Heures de nuit]]+IF(H_Oct[[#This Row],[majoration dim &amp; JF]]="non",0,H_Oct[[#This Row],[heures jour dimanche]]+H_Oct[[#This Row],[heures jour fériés]]))</f>
        <v>0</v>
      </c>
      <c r="J41" s="48">
        <f>(MOD(H_Oct[[#This Row],[Fin]]-H_Oct[[#This Row],[début]],1)-MOD(H_Oct[[#This Row],[PNP Fin]]-H_Oct[[#This Row],[PNP Début]],1))*24</f>
        <v>0</v>
      </c>
      <c r="K41" s="96" t="str">
        <f>IFERROR(VLOOKUP(H_Oct[[#This Row],[Service]],Codes[],4,0),"")</f>
        <v/>
      </c>
      <c r="L41" s="49">
        <f>IF(H_Oct[[#This Row],[PNP Début]]=0,0,IF(H_Oct[[#This Row],[PNP Début]]&lt;H_Oct[[#This Row],[début]],1,0)+H_Oct[[#This Row],[PNP Début]])</f>
        <v>0</v>
      </c>
      <c r="M41" s="50">
        <f>IF(H_Oct[[#This Row],[PNP Fin]]=0,0,IF(H_Oct[[#This Row],[PNP Fin]]&lt;H_Oct[[#This Row],[début]],1,0)+H_Oct[[#This Row],[PNP Fin]])</f>
        <v>0</v>
      </c>
      <c r="N41" s="50">
        <f>IF(H_Oct[[#This Row],[Fin]]&lt;H_Oct[[#This Row],[début]],1,0)+H_Oct[[#This Row],[Fin]]</f>
        <v>0</v>
      </c>
      <c r="O41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1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1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1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1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1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0.1*(H_Oct[[#This Row],[Heures de nuit]]+IF(H_Oct[[#This Row],[majoration dim &amp; JF]]="non",0,H_Oct[[#This Row],[heures jour dimanche]]+H_Oct[[#This Row],[heures jour fériés]]))</f>
        <v>0</v>
      </c>
      <c r="J42" s="48">
        <f>(MOD(H_Oct[[#This Row],[Fin]]-H_Oct[[#This Row],[début]],1)-MOD(H_Oct[[#This Row],[PNP Fin]]-H_Oct[[#This Row],[PNP Début]],1))*24</f>
        <v>0</v>
      </c>
      <c r="K42" s="96" t="str">
        <f>IFERROR(VLOOKUP(H_Oct[[#This Row],[Service]],Codes[],4,0),"")</f>
        <v/>
      </c>
      <c r="L42" s="49">
        <f>IF(H_Oct[[#This Row],[PNP Début]]=0,0,IF(H_Oct[[#This Row],[PNP Début]]&lt;H_Oct[[#This Row],[début]],1,0)+H_Oct[[#This Row],[PNP Début]])</f>
        <v>0</v>
      </c>
      <c r="M42" s="50">
        <f>IF(H_Oct[[#This Row],[PNP Fin]]=0,0,IF(H_Oct[[#This Row],[PNP Fin]]&lt;H_Oct[[#This Row],[début]],1,0)+H_Oct[[#This Row],[PNP Fin]])</f>
        <v>0</v>
      </c>
      <c r="N42" s="50">
        <f>IF(H_Oct[[#This Row],[Fin]]&lt;H_Oct[[#This Row],[début]],1,0)+H_Oct[[#This Row],[Fin]]</f>
        <v>0</v>
      </c>
      <c r="O42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2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2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2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0.1*(H_Oct[[#This Row],[Heures de nuit]]+IF(H_Oct[[#This Row],[majoration dim &amp; JF]]="non",0,H_Oct[[#This Row],[heures jour dimanche]]+H_Oct[[#This Row],[heures jour fériés]]))</f>
        <v>0</v>
      </c>
      <c r="J43" s="48">
        <f>(MOD(H_Oct[[#This Row],[Fin]]-H_Oct[[#This Row],[début]],1)-MOD(H_Oct[[#This Row],[PNP Fin]]-H_Oct[[#This Row],[PNP Début]],1))*24</f>
        <v>0</v>
      </c>
      <c r="K43" s="96" t="str">
        <f>IFERROR(VLOOKUP(H_Oct[[#This Row],[Service]],Codes[],4,0),"")</f>
        <v/>
      </c>
      <c r="L43" s="49">
        <f>IF(H_Oct[[#This Row],[PNP Début]]=0,0,IF(H_Oct[[#This Row],[PNP Début]]&lt;H_Oct[[#This Row],[début]],1,0)+H_Oct[[#This Row],[PNP Début]])</f>
        <v>0</v>
      </c>
      <c r="M43" s="50">
        <f>IF(H_Oct[[#This Row],[PNP Fin]]=0,0,IF(H_Oct[[#This Row],[PNP Fin]]&lt;H_Oct[[#This Row],[début]],1,0)+H_Oct[[#This Row],[PNP Fin]])</f>
        <v>0</v>
      </c>
      <c r="N43" s="50">
        <f>IF(H_Oct[[#This Row],[Fin]]&lt;H_Oct[[#This Row],[début]],1,0)+H_Oct[[#This Row],[Fin]]</f>
        <v>0</v>
      </c>
      <c r="O43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3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3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3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0.1*(H_Oct[[#This Row],[Heures de nuit]]+IF(H_Oct[[#This Row],[majoration dim &amp; JF]]="non",0,H_Oct[[#This Row],[heures jour dimanche]]+H_Oct[[#This Row],[heures jour fériés]]))</f>
        <v>0</v>
      </c>
      <c r="J44" s="48">
        <f>(MOD(H_Oct[[#This Row],[Fin]]-H_Oct[[#This Row],[début]],1)-MOD(H_Oct[[#This Row],[PNP Fin]]-H_Oct[[#This Row],[PNP Début]],1))*24</f>
        <v>0</v>
      </c>
      <c r="K44" s="96" t="str">
        <f>IFERROR(VLOOKUP(H_Oct[[#This Row],[Service]],Codes[],4,0),"")</f>
        <v/>
      </c>
      <c r="L44" s="49">
        <f>IF(H_Oct[[#This Row],[PNP Début]]=0,0,IF(H_Oct[[#This Row],[PNP Début]]&lt;H_Oct[[#This Row],[début]],1,0)+H_Oct[[#This Row],[PNP Début]])</f>
        <v>0</v>
      </c>
      <c r="M44" s="50">
        <f>IF(H_Oct[[#This Row],[PNP Fin]]=0,0,IF(H_Oct[[#This Row],[PNP Fin]]&lt;H_Oct[[#This Row],[début]],1,0)+H_Oct[[#This Row],[PNP Fin]])</f>
        <v>0</v>
      </c>
      <c r="N44" s="50">
        <f>IF(H_Oct[[#This Row],[Fin]]&lt;H_Oct[[#This Row],[début]],1,0)+H_Oct[[#This Row],[Fin]]</f>
        <v>0</v>
      </c>
      <c r="O44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4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4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4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0.1*(H_Oct[[#This Row],[Heures de nuit]]+IF(H_Oct[[#This Row],[majoration dim &amp; JF]]="non",0,H_Oct[[#This Row],[heures jour dimanche]]+H_Oct[[#This Row],[heures jour fériés]]))</f>
        <v>0</v>
      </c>
      <c r="J45" s="48">
        <f>(MOD(H_Oct[[#This Row],[Fin]]-H_Oct[[#This Row],[début]],1)-MOD(H_Oct[[#This Row],[PNP Fin]]-H_Oct[[#This Row],[PNP Début]],1))*24</f>
        <v>0</v>
      </c>
      <c r="K45" s="96" t="str">
        <f>IFERROR(VLOOKUP(H_Oct[[#This Row],[Service]],Codes[],4,0),"")</f>
        <v/>
      </c>
      <c r="L45" s="49">
        <f>IF(H_Oct[[#This Row],[PNP Début]]=0,0,IF(H_Oct[[#This Row],[PNP Début]]&lt;H_Oct[[#This Row],[début]],1,0)+H_Oct[[#This Row],[PNP Début]])</f>
        <v>0</v>
      </c>
      <c r="M45" s="50">
        <f>IF(H_Oct[[#This Row],[PNP Fin]]=0,0,IF(H_Oct[[#This Row],[PNP Fin]]&lt;H_Oct[[#This Row],[début]],1,0)+H_Oct[[#This Row],[PNP Fin]])</f>
        <v>0</v>
      </c>
      <c r="N45" s="50">
        <f>IF(H_Oct[[#This Row],[Fin]]&lt;H_Oct[[#This Row],[début]],1,0)+H_Oct[[#This Row],[Fin]]</f>
        <v>0</v>
      </c>
      <c r="O45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5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5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5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0.1*(H_Oct[[#This Row],[Heures de nuit]]+IF(H_Oct[[#This Row],[majoration dim &amp; JF]]="non",0,H_Oct[[#This Row],[heures jour dimanche]]+H_Oct[[#This Row],[heures jour fériés]]))</f>
        <v>0</v>
      </c>
      <c r="J46" s="48">
        <f>(MOD(H_Oct[[#This Row],[Fin]]-H_Oct[[#This Row],[début]],1)-MOD(H_Oct[[#This Row],[PNP Fin]]-H_Oct[[#This Row],[PNP Début]],1))*24</f>
        <v>0</v>
      </c>
      <c r="K46" s="96" t="str">
        <f>IFERROR(VLOOKUP(H_Oct[[#This Row],[Service]],Codes[],4,0),"")</f>
        <v/>
      </c>
      <c r="L46" s="49">
        <f>IF(H_Oct[[#This Row],[PNP Début]]=0,0,IF(H_Oct[[#This Row],[PNP Début]]&lt;H_Oct[[#This Row],[début]],1,0)+H_Oct[[#This Row],[PNP Début]])</f>
        <v>0</v>
      </c>
      <c r="M46" s="50">
        <f>IF(H_Oct[[#This Row],[PNP Fin]]=0,0,IF(H_Oct[[#This Row],[PNP Fin]]&lt;H_Oct[[#This Row],[début]],1,0)+H_Oct[[#This Row],[PNP Fin]])</f>
        <v>0</v>
      </c>
      <c r="N46" s="50">
        <f>IF(H_Oct[[#This Row],[Fin]]&lt;H_Oct[[#This Row],[début]],1,0)+H_Oct[[#This Row],[Fin]]</f>
        <v>0</v>
      </c>
      <c r="O46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6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6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6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0.1*(H_Oct[[#This Row],[Heures de nuit]]+IF(H_Oct[[#This Row],[majoration dim &amp; JF]]="non",0,H_Oct[[#This Row],[heures jour dimanche]]+H_Oct[[#This Row],[heures jour fériés]]))</f>
        <v>0</v>
      </c>
      <c r="J47" s="48">
        <f>(MOD(H_Oct[[#This Row],[Fin]]-H_Oct[[#This Row],[début]],1)-MOD(H_Oct[[#This Row],[PNP Fin]]-H_Oct[[#This Row],[PNP Début]],1))*24</f>
        <v>0</v>
      </c>
      <c r="K47" s="96" t="str">
        <f>IFERROR(VLOOKUP(H_Oct[[#This Row],[Service]],Codes[],4,0),"")</f>
        <v/>
      </c>
      <c r="L47" s="49">
        <f>IF(H_Oct[[#This Row],[PNP Début]]=0,0,IF(H_Oct[[#This Row],[PNP Début]]&lt;H_Oct[[#This Row],[début]],1,0)+H_Oct[[#This Row],[PNP Début]])</f>
        <v>0</v>
      </c>
      <c r="M47" s="50">
        <f>IF(H_Oct[[#This Row],[PNP Fin]]=0,0,IF(H_Oct[[#This Row],[PNP Fin]]&lt;H_Oct[[#This Row],[début]],1,0)+H_Oct[[#This Row],[PNP Fin]])</f>
        <v>0</v>
      </c>
      <c r="N47" s="50">
        <f>IF(H_Oct[[#This Row],[Fin]]&lt;H_Oct[[#This Row],[début]],1,0)+H_Oct[[#This Row],[Fin]]</f>
        <v>0</v>
      </c>
      <c r="O47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7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7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7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0.1*(H_Oct[[#This Row],[Heures de nuit]]+IF(H_Oct[[#This Row],[majoration dim &amp; JF]]="non",0,H_Oct[[#This Row],[heures jour dimanche]]+H_Oct[[#This Row],[heures jour fériés]]))</f>
        <v>0</v>
      </c>
      <c r="J48" s="48">
        <f>(MOD(H_Oct[[#This Row],[Fin]]-H_Oct[[#This Row],[début]],1)-MOD(H_Oct[[#This Row],[PNP Fin]]-H_Oct[[#This Row],[PNP Début]],1))*24</f>
        <v>0</v>
      </c>
      <c r="K48" s="96" t="str">
        <f>IFERROR(VLOOKUP(H_Oct[[#This Row],[Service]],Codes[],4,0),"")</f>
        <v/>
      </c>
      <c r="L48" s="49">
        <f>IF(H_Oct[[#This Row],[PNP Début]]=0,0,IF(H_Oct[[#This Row],[PNP Début]]&lt;H_Oct[[#This Row],[début]],1,0)+H_Oct[[#This Row],[PNP Début]])</f>
        <v>0</v>
      </c>
      <c r="M48" s="50">
        <f>IF(H_Oct[[#This Row],[PNP Fin]]=0,0,IF(H_Oct[[#This Row],[PNP Fin]]&lt;H_Oct[[#This Row],[début]],1,0)+H_Oct[[#This Row],[PNP Fin]])</f>
        <v>0</v>
      </c>
      <c r="N48" s="50">
        <f>IF(H_Oct[[#This Row],[Fin]]&lt;H_Oct[[#This Row],[début]],1,0)+H_Oct[[#This Row],[Fin]]</f>
        <v>0</v>
      </c>
      <c r="O48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8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8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8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0.1*(H_Oct[[#This Row],[Heures de nuit]]+IF(H_Oct[[#This Row],[majoration dim &amp; JF]]="non",0,H_Oct[[#This Row],[heures jour dimanche]]+H_Oct[[#This Row],[heures jour fériés]]))</f>
        <v>0</v>
      </c>
      <c r="J49" s="48">
        <f>(MOD(H_Oct[[#This Row],[Fin]]-H_Oct[[#This Row],[début]],1)-MOD(H_Oct[[#This Row],[PNP Fin]]-H_Oct[[#This Row],[PNP Début]],1))*24</f>
        <v>0</v>
      </c>
      <c r="K49" s="96" t="str">
        <f>IFERROR(VLOOKUP(H_Oct[[#This Row],[Service]],Codes[],4,0),"")</f>
        <v/>
      </c>
      <c r="L49" s="49">
        <f>IF(H_Oct[[#This Row],[PNP Début]]=0,0,IF(H_Oct[[#This Row],[PNP Début]]&lt;H_Oct[[#This Row],[début]],1,0)+H_Oct[[#This Row],[PNP Début]])</f>
        <v>0</v>
      </c>
      <c r="M49" s="50">
        <f>IF(H_Oct[[#This Row],[PNP Fin]]=0,0,IF(H_Oct[[#This Row],[PNP Fin]]&lt;H_Oct[[#This Row],[début]],1,0)+H_Oct[[#This Row],[PNP Fin]])</f>
        <v>0</v>
      </c>
      <c r="N49" s="50">
        <f>IF(H_Oct[[#This Row],[Fin]]&lt;H_Oct[[#This Row],[début]],1,0)+H_Oct[[#This Row],[Fin]]</f>
        <v>0</v>
      </c>
      <c r="O49" s="31">
        <f>IF(H_Oct[[#This Row],[Fin]]&lt;H_Oct[[#This Row],[début]],MAX(0,MIN(H_Oct[[#This Row],[Fin corrigée si nuit]],fin_nuit)-MAX(H_Oct[[#This Row],[début]],deb_nuit))*24,(MAX(deb_nuit,H_Oct[[#This Row],[Fin]])-MAX(deb_nuit,H_Oct[[#This Row],[début]])+MAX(MIN(fin_nuit-1,H_Oct[[#This Row],[Fin]])-MIN(fin_nuit-1,H_Oct[[#This Row],[début]]),0))*24)</f>
        <v>0</v>
      </c>
      <c r="P49" s="51">
        <f>(MAX(0,MIN(H_Oct[[#This Row],[Fin corrigée si nuit]],fin_nuit)-MAX(H_Oct[[#This Row],[début]],deb_nuit))-IF(H_Oct[[#This Row],[PNP Début]]=0,0,MIN(H_Oct[[#This Row],[PNP Fin corrigée]],fin_nuit)-MAX(H_Oct[[#This Row],[PNP Début corrigé]],deb_nuit)))*24</f>
        <v>0</v>
      </c>
      <c r="Q4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</f>
        <v>0</v>
      </c>
      <c r="R49" s="51">
        <f>(IF(WEEKDAY(H_Oct[[#This Row],[Date]],2)=7,MAX(0,MIN(fin_dimJF,H_Oct[[#This Row],[Fin corrigée si nuit]])-MAX(deb_dimJF,H_Oct[[#This Row],[début]])),0)+IF(WEEKDAY(H_Oct[[#This Row],[Date]],2)=6,MAX(0,H_Oct[[#This Row],[Fin corrigée si nuit]]-(1+deb_dimJF)),0))*24-
(IF(WEEKDAY(H_Oct[[#This Row],[Date]],2)=7,MAX(0,MIN(fin_dimJF,H_Oct[[#This Row],[PNP Fin corrigée]])-MAX(deb_dimJF,H_Oct[[#This Row],[PNP Début corrigé]])),0)+IF(WEEKDAY(H_Oct[[#This Row],[Date]],2)=6,MAX(0,H_Oct[[#This Row],[PNP Fin corrigée]]-(1+deb_dimJF)),0))*24</f>
        <v>0</v>
      </c>
      <c r="S4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</f>
        <v>0</v>
      </c>
      <c r="T49" s="51">
        <f>(IF(COUNTIF(JF,H_Oct[[#This Row],[Date]]),MAX(0,MIN(fin_dimJF,H_Oct[[#This Row],[Fin corrigée si nuit]])-MAX(deb_dimJF,H_Oct[[#This Row],[début]])),0)+IF(COUNTIF(JF,H_Oct[[#This Row],[Date]]+1),MAX(0,H_Oct[[#This Row],[Fin corrigée si nuit]]-(1+deb_dimJF)),0))*24-
(IF(COUNTIF(JF,H_Oct[[#This Row],[Date]]),MAX(0,MIN(fin_dimJF,H_Oct[[#This Row],[PNP Fin corrigée]])-MAX(deb_dimJF,H_Oct[[#This Row],[PNP Début corrigé]])),0)+IF(COUNTIF(JF,H_Oct[[#This Row],[Date]]+1),MAX(0,H_Oct[[#This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SUM(H_Oct[Majoration])</f>
        <v>0</v>
      </c>
      <c r="J50" s="54">
        <f>SUM(H_Oct[Heures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77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C00-000000000000}"/>
    <dataValidation type="time" allowBlank="1" showInputMessage="1" showErrorMessage="1" error="Tapez les heures sous le format_x000a_00:00" sqref="C13:H49" xr:uid="{00000000-0002-0000-0C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K5" xr:uid="{00000000-0002-0000-0C00-000002000000}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print="0" autoLine="0" r:id="rId5">
            <anchor moveWithCells="1">
              <from>
                <xdr:col>9</xdr:col>
                <xdr:colOff>495300</xdr:colOff>
                <xdr:row>0</xdr:row>
                <xdr:rowOff>99060</xdr:rowOff>
              </from>
              <to>
                <xdr:col>9</xdr:col>
                <xdr:colOff>1280160</xdr:colOff>
                <xdr:row>3</xdr:row>
                <xdr:rowOff>213360</xdr:rowOff>
              </to>
            </anchor>
          </controlPr>
        </control>
      </mc:Choice>
      <mc:Fallback>
        <control shapeId="13313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C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Z60"/>
  <sheetViews>
    <sheetView topLeftCell="B1" zoomScale="80" zoomScaleNormal="80" zoomScalePageLayoutView="55" workbookViewId="0">
      <selection activeCell="V23" sqref="V23:W23"/>
    </sheetView>
  </sheetViews>
  <sheetFormatPr baseColWidth="10" defaultRowHeight="14.4" x14ac:dyDescent="0.3"/>
  <cols>
    <col min="1" max="1" width="20.664062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31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>
        <f>'Janvier 18'!B5</f>
        <v>0</v>
      </c>
      <c r="C5" s="17" t="s">
        <v>35</v>
      </c>
      <c r="D5" s="222">
        <f>'Janvier 18'!D5:F5</f>
        <v>0</v>
      </c>
      <c r="E5" s="223"/>
      <c r="F5" s="223"/>
      <c r="G5" s="193" t="s">
        <v>21</v>
      </c>
      <c r="H5" s="193"/>
      <c r="I5" s="59" t="str">
        <f ca="1">MID(CELL("filename",A1),FIND("]",CELL("filename",A1))+1,99)</f>
        <v>Novembre 18</v>
      </c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>
        <f>'Janvier 18'!B7</f>
        <v>0</v>
      </c>
      <c r="C7" s="21" t="s">
        <v>23</v>
      </c>
      <c r="D7" s="21"/>
      <c r="E7" s="68">
        <f>'Janvier 18'!E7</f>
        <v>0</v>
      </c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ht="14.4" customHeight="1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ht="14.4" customHeight="1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customHeight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0.1*(H_Nov[[#This Row],[Heures de nuit]]+IF(H_Nov[[#This Row],[majoration dim &amp; JF]]="non",0,H_Nov[[#This Row],[heures jour dimanche]]+H_Nov[[#This Row],[heures jour fériés]]))</f>
        <v>0</v>
      </c>
      <c r="J13" s="29">
        <f>(MOD(H_Nov[[#This Row],[Fin]]-H_Nov[[#This Row],[début]],1)-MOD(H_Nov[[#This Row],[PNP Fin]]-H_Nov[[#This Row],[PNP Début]],1))*24</f>
        <v>0</v>
      </c>
      <c r="K13" s="29" t="str">
        <f>IFERROR(VLOOKUP(H_Nov[[#This Row],[Service]],Codes[],4,0),"")</f>
        <v/>
      </c>
      <c r="L13" s="30">
        <f>IF(H_Nov[[#This Row],[PNP Début]]=0,0,IF(H_Nov[[#This Row],[PNP Début]]&lt;H_Nov[[#This Row],[début]],1,0)+H_Nov[[#This Row],[PNP Début]])</f>
        <v>0</v>
      </c>
      <c r="M13" s="30">
        <f>IF(H_Nov[[#This Row],[PNP Fin]]=0,0,IF(H_Nov[[#This Row],[PNP Fin]]&lt;H_Nov[[#This Row],[début]],1,0)+H_Nov[[#This Row],[PNP Fin]])</f>
        <v>0</v>
      </c>
      <c r="N13" s="30">
        <f>IF(H_Nov[[#This Row],[Fin]]&lt;H_Nov[[#This Row],[début]],1,0)+H_Nov[[#This Row],[Fin]]</f>
        <v>0</v>
      </c>
      <c r="O13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3" s="3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3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3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3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3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0.1*(H_Nov[[#This Row],[Heures de nuit]]+IF(H_Nov[[#This Row],[majoration dim &amp; JF]]="non",0,H_Nov[[#This Row],[heures jour dimanche]]+H_Nov[[#This Row],[heures jour fériés]]))</f>
        <v>0</v>
      </c>
      <c r="J14" s="29">
        <f>(MOD(H_Nov[[#This Row],[Fin]]-H_Nov[[#This Row],[début]],1)-MOD(H_Nov[[#This Row],[PNP Fin]]-H_Nov[[#This Row],[PNP Début]],1))*24</f>
        <v>0</v>
      </c>
      <c r="K14" s="29" t="str">
        <f>IFERROR(VLOOKUP(H_Nov[[#This Row],[Service]],Codes[],4,0),"")</f>
        <v/>
      </c>
      <c r="L14" s="30">
        <f>IF(H_Nov[[#This Row],[PNP Début]]=0,0,IF(H_Nov[[#This Row],[PNP Début]]&lt;H_Nov[[#This Row],[début]],1,0)+H_Nov[[#This Row],[PNP Début]])</f>
        <v>0</v>
      </c>
      <c r="M14" s="30">
        <f>IF(H_Nov[[#This Row],[PNP Fin]]=0,0,IF(H_Nov[[#This Row],[PNP Fin]]&lt;H_Nov[[#This Row],[début]],1,0)+H_Nov[[#This Row],[PNP Fin]])</f>
        <v>0</v>
      </c>
      <c r="N14" s="30">
        <f>IF(H_Nov[[#This Row],[Fin]]&lt;H_Nov[[#This Row],[début]],1,0)+H_Nov[[#This Row],[Fin]]</f>
        <v>0</v>
      </c>
      <c r="O14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4" s="3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4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4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4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4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0.1*(H_Nov[[#This Row],[Heures de nuit]]+IF(H_Nov[[#This Row],[majoration dim &amp; JF]]="non",0,H_Nov[[#This Row],[heures jour dimanche]]+H_Nov[[#This Row],[heures jour fériés]]))</f>
        <v>0</v>
      </c>
      <c r="J15" s="29">
        <f>(MOD(H_Nov[[#This Row],[Fin]]-H_Nov[[#This Row],[début]],1)-MOD(H_Nov[[#This Row],[PNP Fin]]-H_Nov[[#This Row],[PNP Début]],1))*24</f>
        <v>0</v>
      </c>
      <c r="K15" s="29" t="str">
        <f>IFERROR(VLOOKUP(H_Nov[[#This Row],[Service]],Codes[],4,0),"")</f>
        <v/>
      </c>
      <c r="L15" s="30">
        <f>IF(H_Nov[[#This Row],[PNP Début]]=0,0,IF(H_Nov[[#This Row],[PNP Début]]&lt;H_Nov[[#This Row],[début]],1,0)+H_Nov[[#This Row],[PNP Début]])</f>
        <v>0</v>
      </c>
      <c r="M15" s="30">
        <f>IF(H_Nov[[#This Row],[PNP Fin]]=0,0,IF(H_Nov[[#This Row],[PNP Fin]]&lt;H_Nov[[#This Row],[début]],1,0)+H_Nov[[#This Row],[PNP Fin]])</f>
        <v>0</v>
      </c>
      <c r="N15" s="30">
        <f>IF(H_Nov[[#This Row],[Fin]]&lt;H_Nov[[#This Row],[début]],1,0)+H_Nov[[#This Row],[Fin]]</f>
        <v>0</v>
      </c>
      <c r="O15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5" s="3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5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5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5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5" s="32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0.1*(H_Nov[[#This Row],[Heures de nuit]]+IF(H_Nov[[#This Row],[majoration dim &amp; JF]]="non",0,H_Nov[[#This Row],[heures jour dimanche]]+H_Nov[[#This Row],[heures jour fériés]]))</f>
        <v>0</v>
      </c>
      <c r="J16" s="33">
        <f>(MOD(H_Nov[[#This Row],[Fin]]-H_Nov[[#This Row],[début]],1)-MOD(H_Nov[[#This Row],[PNP Fin]]-H_Nov[[#This Row],[PNP Début]],1))*24</f>
        <v>0</v>
      </c>
      <c r="K16" s="33" t="str">
        <f>IFERROR(VLOOKUP(H_Nov[[#This Row],[Service]],Codes[],4,0),"")</f>
        <v/>
      </c>
      <c r="L16" s="30">
        <f>IF(H_Nov[[#This Row],[PNP Début]]=0,0,IF(H_Nov[[#This Row],[PNP Début]]&lt;H_Nov[[#This Row],[début]],1,0)+H_Nov[[#This Row],[PNP Début]])</f>
        <v>0</v>
      </c>
      <c r="M16" s="30">
        <f>IF(H_Nov[[#This Row],[PNP Fin]]=0,0,IF(H_Nov[[#This Row],[PNP Fin]]&lt;H_Nov[[#This Row],[début]],1,0)+H_Nov[[#This Row],[PNP Fin]])</f>
        <v>0</v>
      </c>
      <c r="N16" s="34">
        <f>IF(H_Nov[[#This Row],[Fin]]&lt;H_Nov[[#This Row],[début]],1,0)+H_Nov[[#This Row],[Fin]]</f>
        <v>0</v>
      </c>
      <c r="O16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6" s="35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6" s="35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6" s="3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6" s="36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6" s="36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16" s="104" t="s">
        <v>116</v>
      </c>
      <c r="W16" s="105">
        <f>'Octobre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0.1*(H_Nov[[#This Row],[Heures de nuit]]+IF(H_Nov[[#This Row],[majoration dim &amp; JF]]="non",0,H_Nov[[#This Row],[heures jour dimanche]]+H_Nov[[#This Row],[heures jour fériés]]))</f>
        <v>0</v>
      </c>
      <c r="J17" s="38">
        <f>(MOD(H_Nov[[#This Row],[Fin]]-H_Nov[[#This Row],[début]],1)-MOD(H_Nov[[#This Row],[PNP Fin]]-H_Nov[[#This Row],[PNP Début]],1))*24</f>
        <v>0</v>
      </c>
      <c r="K17" s="99" t="str">
        <f>IFERROR(VLOOKUP(H_Nov[[#This Row],[Service]],Codes[],4,0),"")</f>
        <v/>
      </c>
      <c r="L17" s="39">
        <f>IF(H_Nov[[#This Row],[PNP Début]]=0,0,IF(H_Nov[[#This Row],[PNP Début]]&lt;H_Nov[[#This Row],[début]],1,0)+H_Nov[[#This Row],[PNP Début]])</f>
        <v>0</v>
      </c>
      <c r="M17" s="40">
        <f>IF(H_Nov[[#This Row],[PNP Fin]]=0,0,IF(H_Nov[[#This Row],[PNP Fin]]&lt;H_Nov[[#This Row],[début]],1,0)+H_Nov[[#This Row],[PNP Fin]])</f>
        <v>0</v>
      </c>
      <c r="N17" s="40">
        <f>IF(H_Nov[[#This Row],[Fin]]&lt;H_Nov[[#This Row],[début]],1,0)+H_Nov[[#This Row],[Fin]]</f>
        <v>0</v>
      </c>
      <c r="O17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7" s="4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7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7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7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7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0.1*(H_Nov[[#This Row],[Heures de nuit]]+IF(H_Nov[[#This Row],[majoration dim &amp; JF]]="non",0,H_Nov[[#This Row],[heures jour dimanche]]+H_Nov[[#This Row],[heures jour fériés]]))</f>
        <v>0</v>
      </c>
      <c r="J18" s="38">
        <f>(MOD(H_Nov[[#This Row],[Fin]]-H_Nov[[#This Row],[début]],1)-MOD(H_Nov[[#This Row],[PNP Fin]]-H_Nov[[#This Row],[PNP Début]],1))*24</f>
        <v>0</v>
      </c>
      <c r="K18" s="99" t="str">
        <f>IFERROR(VLOOKUP(H_Nov[[#This Row],[Service]],Codes[],4,0),"")</f>
        <v/>
      </c>
      <c r="L18" s="39">
        <f>IF(H_Nov[[#This Row],[PNP Début]]=0,0,IF(H_Nov[[#This Row],[PNP Début]]&lt;H_Nov[[#This Row],[début]],1,0)+H_Nov[[#This Row],[PNP Début]])</f>
        <v>0</v>
      </c>
      <c r="M18" s="40">
        <f>IF(H_Nov[[#This Row],[PNP Fin]]=0,0,IF(H_Nov[[#This Row],[PNP Fin]]&lt;H_Nov[[#This Row],[début]],1,0)+H_Nov[[#This Row],[PNP Fin]])</f>
        <v>0</v>
      </c>
      <c r="N18" s="40">
        <f>IF(H_Nov[[#This Row],[Fin]]&lt;H_Nov[[#This Row],[début]],1,0)+H_Nov[[#This Row],[Fin]]</f>
        <v>0</v>
      </c>
      <c r="O18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8" s="4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8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8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8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8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0.1*(H_Nov[[#This Row],[Heures de nuit]]+IF(H_Nov[[#This Row],[majoration dim &amp; JF]]="non",0,H_Nov[[#This Row],[heures jour dimanche]]+H_Nov[[#This Row],[heures jour fériés]]))</f>
        <v>0</v>
      </c>
      <c r="J19" s="38">
        <f>(MOD(H_Nov[[#This Row],[Fin]]-H_Nov[[#This Row],[début]],1)-MOD(H_Nov[[#This Row],[PNP Fin]]-H_Nov[[#This Row],[PNP Début]],1))*24</f>
        <v>0</v>
      </c>
      <c r="K19" s="99" t="str">
        <f>IFERROR(VLOOKUP(H_Nov[[#This Row],[Service]],Codes[],4,0),"")</f>
        <v/>
      </c>
      <c r="L19" s="39">
        <f>IF(H_Nov[[#This Row],[PNP Début]]=0,0,IF(H_Nov[[#This Row],[PNP Début]]&lt;H_Nov[[#This Row],[début]],1,0)+H_Nov[[#This Row],[PNP Début]])</f>
        <v>0</v>
      </c>
      <c r="M19" s="40">
        <f>IF(H_Nov[[#This Row],[PNP Fin]]=0,0,IF(H_Nov[[#This Row],[PNP Fin]]&lt;H_Nov[[#This Row],[début]],1,0)+H_Nov[[#This Row],[PNP Fin]])</f>
        <v>0</v>
      </c>
      <c r="N19" s="40">
        <f>IF(H_Nov[[#This Row],[Fin]]&lt;H_Nov[[#This Row],[début]],1,0)+H_Nov[[#This Row],[Fin]]</f>
        <v>0</v>
      </c>
      <c r="O19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19" s="4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19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19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19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19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0.1*(H_Nov[[#This Row],[Heures de nuit]]+IF(H_Nov[[#This Row],[majoration dim &amp; JF]]="non",0,H_Nov[[#This Row],[heures jour dimanche]]+H_Nov[[#This Row],[heures jour fériés]]))</f>
        <v>0</v>
      </c>
      <c r="J20" s="38">
        <f>(MOD(H_Nov[[#This Row],[Fin]]-H_Nov[[#This Row],[début]],1)-MOD(H_Nov[[#This Row],[PNP Fin]]-H_Nov[[#This Row],[PNP Début]],1))*24</f>
        <v>0</v>
      </c>
      <c r="K20" s="99" t="str">
        <f>IFERROR(VLOOKUP(H_Nov[[#This Row],[Service]],Codes[],4,0),"")</f>
        <v/>
      </c>
      <c r="L20" s="39">
        <f>IF(H_Nov[[#This Row],[PNP Début]]=0,0,IF(H_Nov[[#This Row],[PNP Début]]&lt;H_Nov[[#This Row],[début]],1,0)+H_Nov[[#This Row],[PNP Début]])</f>
        <v>0</v>
      </c>
      <c r="M20" s="40">
        <f>IF(H_Nov[[#This Row],[PNP Fin]]=0,0,IF(H_Nov[[#This Row],[PNP Fin]]&lt;H_Nov[[#This Row],[début]],1,0)+H_Nov[[#This Row],[PNP Fin]])</f>
        <v>0</v>
      </c>
      <c r="N20" s="40">
        <f>IF(H_Nov[[#This Row],[Fin]]&lt;H_Nov[[#This Row],[début]],1,0)+H_Nov[[#This Row],[Fin]]</f>
        <v>0</v>
      </c>
      <c r="O20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0" s="4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0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0" s="4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0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0" s="4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1" spans="1:23" x14ac:dyDescent="0.3">
      <c r="A21" s="4"/>
      <c r="B21" s="1"/>
      <c r="C21" s="2"/>
      <c r="D21" s="2"/>
      <c r="E21" s="3"/>
      <c r="F21" s="3"/>
      <c r="G21" s="10"/>
      <c r="H21" s="10"/>
      <c r="I21" s="42">
        <f>0.1*(H_Nov[[#This Row],[Heures de nuit]]+IF(H_Nov[[#This Row],[majoration dim &amp; JF]]="non",0,H_Nov[[#This Row],[heures jour dimanche]]+H_Nov[[#This Row],[heures jour fériés]]))</f>
        <v>0</v>
      </c>
      <c r="J21" s="43">
        <f>(MOD(H_Nov[[#This Row],[Fin]]-H_Nov[[#This Row],[début]],1)-MOD(H_Nov[[#This Row],[PNP Fin]]-H_Nov[[#This Row],[PNP Début]],1))*24</f>
        <v>0</v>
      </c>
      <c r="K21" s="100" t="str">
        <f>IFERROR(VLOOKUP(H_Nov[[#This Row],[Service]],Codes[],4,0),"")</f>
        <v/>
      </c>
      <c r="L21" s="44">
        <f>IF(H_Nov[[#This Row],[PNP Début]]=0,0,IF(H_Nov[[#This Row],[PNP Début]]&lt;H_Nov[[#This Row],[début]],1,0)+H_Nov[[#This Row],[PNP Début]])</f>
        <v>0</v>
      </c>
      <c r="M21" s="45">
        <f>IF(H_Nov[[#This Row],[PNP Fin]]=0,0,IF(H_Nov[[#This Row],[PNP Fin]]&lt;H_Nov[[#This Row],[début]],1,0)+H_Nov[[#This Row],[PNP Fin]])</f>
        <v>0</v>
      </c>
      <c r="N21" s="45">
        <f>IF(H_Nov[[#This Row],[Fin]]&lt;H_Nov[[#This Row],[début]],1,0)+H_Nov[[#This Row],[Fin]]</f>
        <v>0</v>
      </c>
      <c r="O21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1" s="46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1" s="46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1" s="46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1" s="46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1" s="46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5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0.1*(H_Nov[[#This Row],[Heures de nuit]]+IF(H_Nov[[#This Row],[majoration dim &amp; JF]]="non",0,H_Nov[[#This Row],[heures jour dimanche]]+H_Nov[[#This Row],[heures jour fériés]]))</f>
        <v>0</v>
      </c>
      <c r="J22" s="48">
        <f>(MOD(H_Nov[[#This Row],[Fin]]-H_Nov[[#This Row],[début]],1)-MOD(H_Nov[[#This Row],[PNP Fin]]-H_Nov[[#This Row],[PNP Début]],1))*24</f>
        <v>0</v>
      </c>
      <c r="K22" s="96" t="str">
        <f>IFERROR(VLOOKUP(H_Nov[[#This Row],[Service]],Codes[],4,0),"")</f>
        <v/>
      </c>
      <c r="L22" s="49">
        <f>IF(H_Nov[[#This Row],[PNP Début]]=0,0,IF(H_Nov[[#This Row],[PNP Début]]&lt;H_Nov[[#This Row],[début]],1,0)+H_Nov[[#This Row],[PNP Début]])</f>
        <v>0</v>
      </c>
      <c r="M22" s="50">
        <f>IF(H_Nov[[#This Row],[PNP Fin]]=0,0,IF(H_Nov[[#This Row],[PNP Fin]]&lt;H_Nov[[#This Row],[début]],1,0)+H_Nov[[#This Row],[PNP Fin]])</f>
        <v>0</v>
      </c>
      <c r="N22" s="50">
        <f>IF(H_Nov[[#This Row],[Fin]]&lt;H_Nov[[#This Row],[début]],1,0)+H_Nov[[#This Row],[Fin]]</f>
        <v>0</v>
      </c>
      <c r="O22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2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3" spans="1:23" ht="15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0.1*(H_Nov[[#This Row],[Heures de nuit]]+IF(H_Nov[[#This Row],[majoration dim &amp; JF]]="non",0,H_Nov[[#This Row],[heures jour dimanche]]+H_Nov[[#This Row],[heures jour fériés]]))</f>
        <v>0</v>
      </c>
      <c r="J23" s="48">
        <f>(MOD(H_Nov[[#This Row],[Fin]]-H_Nov[[#This Row],[début]],1)-MOD(H_Nov[[#This Row],[PNP Fin]]-H_Nov[[#This Row],[PNP Début]],1))*24</f>
        <v>0</v>
      </c>
      <c r="K23" s="96" t="str">
        <f>IFERROR(VLOOKUP(H_Nov[[#This Row],[Service]],Codes[],4,0),"")</f>
        <v/>
      </c>
      <c r="L23" s="49">
        <f>IF(H_Nov[[#This Row],[PNP Début]]=0,0,IF(H_Nov[[#This Row],[PNP Début]]&lt;H_Nov[[#This Row],[début]],1,0)+H_Nov[[#This Row],[PNP Début]])</f>
        <v>0</v>
      </c>
      <c r="M23" s="50">
        <f>IF(H_Nov[[#This Row],[PNP Fin]]=0,0,IF(H_Nov[[#This Row],[PNP Fin]]&lt;H_Nov[[#This Row],[début]],1,0)+H_Nov[[#This Row],[PNP Fin]])</f>
        <v>0</v>
      </c>
      <c r="N23" s="50">
        <f>IF(H_Nov[[#This Row],[Fin]]&lt;H_Nov[[#This Row],[début]],1,0)+H_Nov[[#This Row],[Fin]]</f>
        <v>0</v>
      </c>
      <c r="O23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3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x14ac:dyDescent="0.3">
      <c r="A24" s="4"/>
      <c r="B24" s="1"/>
      <c r="C24" s="2"/>
      <c r="D24" s="2"/>
      <c r="E24" s="3"/>
      <c r="F24" s="3"/>
      <c r="G24" s="3"/>
      <c r="H24" s="3"/>
      <c r="I24" s="47">
        <f>0.1*(H_Nov[[#This Row],[Heures de nuit]]+IF(H_Nov[[#This Row],[majoration dim &amp; JF]]="non",0,H_Nov[[#This Row],[heures jour dimanche]]+H_Nov[[#This Row],[heures jour fériés]]))</f>
        <v>0</v>
      </c>
      <c r="J24" s="48">
        <f>(MOD(H_Nov[[#This Row],[Fin]]-H_Nov[[#This Row],[début]],1)-MOD(H_Nov[[#This Row],[PNP Fin]]-H_Nov[[#This Row],[PNP Début]],1))*24</f>
        <v>0</v>
      </c>
      <c r="K24" s="96" t="str">
        <f>IFERROR(VLOOKUP(H_Nov[[#This Row],[Service]],Codes[],4,0),"")</f>
        <v/>
      </c>
      <c r="L24" s="49">
        <f>IF(H_Nov[[#This Row],[PNP Début]]=0,0,IF(H_Nov[[#This Row],[PNP Début]]&lt;H_Nov[[#This Row],[début]],1,0)+H_Nov[[#This Row],[PNP Début]])</f>
        <v>0</v>
      </c>
      <c r="M24" s="50">
        <f>IF(H_Nov[[#This Row],[PNP Fin]]=0,0,IF(H_Nov[[#This Row],[PNP Fin]]&lt;H_Nov[[#This Row],[début]],1,0)+H_Nov[[#This Row],[PNP Fin]])</f>
        <v>0</v>
      </c>
      <c r="N24" s="50">
        <f>IF(H_Nov[[#This Row],[Fin]]&lt;H_Nov[[#This Row],[début]],1,0)+H_Nov[[#This Row],[Fin]]</f>
        <v>0</v>
      </c>
      <c r="O24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4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5" spans="1:23" x14ac:dyDescent="0.3">
      <c r="A25" s="4"/>
      <c r="B25" s="1"/>
      <c r="C25" s="2"/>
      <c r="D25" s="2"/>
      <c r="E25" s="3"/>
      <c r="F25" s="3"/>
      <c r="G25" s="3"/>
      <c r="H25" s="3"/>
      <c r="I25" s="47">
        <f>0.1*(H_Nov[[#This Row],[Heures de nuit]]+IF(H_Nov[[#This Row],[majoration dim &amp; JF]]="non",0,H_Nov[[#This Row],[heures jour dimanche]]+H_Nov[[#This Row],[heures jour fériés]]))</f>
        <v>0</v>
      </c>
      <c r="J25" s="48">
        <f>(MOD(H_Nov[[#This Row],[Fin]]-H_Nov[[#This Row],[début]],1)-MOD(H_Nov[[#This Row],[PNP Fin]]-H_Nov[[#This Row],[PNP Début]],1))*24</f>
        <v>0</v>
      </c>
      <c r="K25" s="96" t="str">
        <f>IFERROR(VLOOKUP(H_Nov[[#This Row],[Service]],Codes[],4,0),"")</f>
        <v/>
      </c>
      <c r="L25" s="49">
        <f>IF(H_Nov[[#This Row],[PNP Début]]=0,0,IF(H_Nov[[#This Row],[PNP Début]]&lt;H_Nov[[#This Row],[début]],1,0)+H_Nov[[#This Row],[PNP Début]])</f>
        <v>0</v>
      </c>
      <c r="M25" s="50">
        <f>IF(H_Nov[[#This Row],[PNP Fin]]=0,0,IF(H_Nov[[#This Row],[PNP Fin]]&lt;H_Nov[[#This Row],[début]],1,0)+H_Nov[[#This Row],[PNP Fin]])</f>
        <v>0</v>
      </c>
      <c r="N25" s="50">
        <f>IF(H_Nov[[#This Row],[Fin]]&lt;H_Nov[[#This Row],[début]],1,0)+H_Nov[[#This Row],[Fin]]</f>
        <v>0</v>
      </c>
      <c r="O25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5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0.1*(H_Nov[[#This Row],[Heures de nuit]]+IF(H_Nov[[#This Row],[majoration dim &amp; JF]]="non",0,H_Nov[[#This Row],[heures jour dimanche]]+H_Nov[[#This Row],[heures jour fériés]]))</f>
        <v>0</v>
      </c>
      <c r="J26" s="48">
        <f>(MOD(H_Nov[[#This Row],[Fin]]-H_Nov[[#This Row],[début]],1)-MOD(H_Nov[[#This Row],[PNP Fin]]-H_Nov[[#This Row],[PNP Début]],1))*24</f>
        <v>0</v>
      </c>
      <c r="K26" s="96" t="str">
        <f>IFERROR(VLOOKUP(H_Nov[[#This Row],[Service]],Codes[],4,0),"")</f>
        <v/>
      </c>
      <c r="L26" s="49">
        <f>IF(H_Nov[[#This Row],[PNP Début]]=0,0,IF(H_Nov[[#This Row],[PNP Début]]&lt;H_Nov[[#This Row],[début]],1,0)+H_Nov[[#This Row],[PNP Début]])</f>
        <v>0</v>
      </c>
      <c r="M26" s="50">
        <f>IF(H_Nov[[#This Row],[PNP Fin]]=0,0,IF(H_Nov[[#This Row],[PNP Fin]]&lt;H_Nov[[#This Row],[début]],1,0)+H_Nov[[#This Row],[PNP Fin]])</f>
        <v>0</v>
      </c>
      <c r="N26" s="50">
        <f>IF(H_Nov[[#This Row],[Fin]]&lt;H_Nov[[#This Row],[début]],1,0)+H_Nov[[#This Row],[Fin]]</f>
        <v>0</v>
      </c>
      <c r="O26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6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7" spans="1:23" x14ac:dyDescent="0.3">
      <c r="A27" s="4"/>
      <c r="B27" s="1"/>
      <c r="C27" s="2"/>
      <c r="D27" s="2"/>
      <c r="E27" s="3"/>
      <c r="F27" s="3"/>
      <c r="G27" s="3"/>
      <c r="H27" s="3"/>
      <c r="I27" s="47">
        <f>0.1*(H_Nov[[#This Row],[Heures de nuit]]+IF(H_Nov[[#This Row],[majoration dim &amp; JF]]="non",0,H_Nov[[#This Row],[heures jour dimanche]]+H_Nov[[#This Row],[heures jour fériés]]))</f>
        <v>0</v>
      </c>
      <c r="J27" s="48">
        <f>(MOD(H_Nov[[#This Row],[Fin]]-H_Nov[[#This Row],[début]],1)-MOD(H_Nov[[#This Row],[PNP Fin]]-H_Nov[[#This Row],[PNP Début]],1))*24</f>
        <v>0</v>
      </c>
      <c r="K27" s="96" t="str">
        <f>IFERROR(VLOOKUP(H_Nov[[#This Row],[Service]],Codes[],4,0),"")</f>
        <v/>
      </c>
      <c r="L27" s="49">
        <f>IF(H_Nov[[#This Row],[PNP Début]]=0,0,IF(H_Nov[[#This Row],[PNP Début]]&lt;H_Nov[[#This Row],[début]],1,0)+H_Nov[[#This Row],[PNP Début]])</f>
        <v>0</v>
      </c>
      <c r="M27" s="50">
        <f>IF(H_Nov[[#This Row],[PNP Fin]]=0,0,IF(H_Nov[[#This Row],[PNP Fin]]&lt;H_Nov[[#This Row],[début]],1,0)+H_Nov[[#This Row],[PNP Fin]])</f>
        <v>0</v>
      </c>
      <c r="N27" s="50">
        <f>IF(H_Nov[[#This Row],[Fin]]&lt;H_Nov[[#This Row],[début]],1,0)+H_Nov[[#This Row],[Fin]]</f>
        <v>0</v>
      </c>
      <c r="O27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7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8" spans="1:23" x14ac:dyDescent="0.3">
      <c r="A28" s="4"/>
      <c r="B28" s="1"/>
      <c r="C28" s="2"/>
      <c r="D28" s="2"/>
      <c r="E28" s="3"/>
      <c r="F28" s="3"/>
      <c r="G28" s="3"/>
      <c r="H28" s="3"/>
      <c r="I28" s="47">
        <f>0.1*(H_Nov[[#This Row],[Heures de nuit]]+IF(H_Nov[[#This Row],[majoration dim &amp; JF]]="non",0,H_Nov[[#This Row],[heures jour dimanche]]+H_Nov[[#This Row],[heures jour fériés]]))</f>
        <v>0</v>
      </c>
      <c r="J28" s="48">
        <f>(MOD(H_Nov[[#This Row],[Fin]]-H_Nov[[#This Row],[début]],1)-MOD(H_Nov[[#This Row],[PNP Fin]]-H_Nov[[#This Row],[PNP Début]],1))*24</f>
        <v>0</v>
      </c>
      <c r="K28" s="96" t="str">
        <f>IFERROR(VLOOKUP(H_Nov[[#This Row],[Service]],Codes[],4,0),"")</f>
        <v/>
      </c>
      <c r="L28" s="49">
        <f>IF(H_Nov[[#This Row],[PNP Début]]=0,0,IF(H_Nov[[#This Row],[PNP Début]]&lt;H_Nov[[#This Row],[début]],1,0)+H_Nov[[#This Row],[PNP Début]])</f>
        <v>0</v>
      </c>
      <c r="M28" s="50">
        <f>IF(H_Nov[[#This Row],[PNP Fin]]=0,0,IF(H_Nov[[#This Row],[PNP Fin]]&lt;H_Nov[[#This Row],[début]],1,0)+H_Nov[[#This Row],[PNP Fin]])</f>
        <v>0</v>
      </c>
      <c r="N28" s="50">
        <f>IF(H_Nov[[#This Row],[Fin]]&lt;H_Nov[[#This Row],[début]],1,0)+H_Nov[[#This Row],[Fin]]</f>
        <v>0</v>
      </c>
      <c r="O28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8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29" spans="1:23" x14ac:dyDescent="0.3">
      <c r="A29" s="4"/>
      <c r="B29" s="1"/>
      <c r="C29" s="2"/>
      <c r="D29" s="2"/>
      <c r="E29" s="3"/>
      <c r="F29" s="3"/>
      <c r="G29" s="3"/>
      <c r="H29" s="3"/>
      <c r="I29" s="47">
        <f>0.1*(H_Nov[[#This Row],[Heures de nuit]]+IF(H_Nov[[#This Row],[majoration dim &amp; JF]]="non",0,H_Nov[[#This Row],[heures jour dimanche]]+H_Nov[[#This Row],[heures jour fériés]]))</f>
        <v>0</v>
      </c>
      <c r="J29" s="48">
        <f>(MOD(H_Nov[[#This Row],[Fin]]-H_Nov[[#This Row],[début]],1)-MOD(H_Nov[[#This Row],[PNP Fin]]-H_Nov[[#This Row],[PNP Début]],1))*24</f>
        <v>0</v>
      </c>
      <c r="K29" s="96" t="str">
        <f>IFERROR(VLOOKUP(H_Nov[[#This Row],[Service]],Codes[],4,0),"")</f>
        <v/>
      </c>
      <c r="L29" s="49">
        <f>IF(H_Nov[[#This Row],[PNP Début]]=0,0,IF(H_Nov[[#This Row],[PNP Début]]&lt;H_Nov[[#This Row],[début]],1,0)+H_Nov[[#This Row],[PNP Début]])</f>
        <v>0</v>
      </c>
      <c r="M29" s="50">
        <f>IF(H_Nov[[#This Row],[PNP Fin]]=0,0,IF(H_Nov[[#This Row],[PNP Fin]]&lt;H_Nov[[#This Row],[début]],1,0)+H_Nov[[#This Row],[PNP Fin]])</f>
        <v>0</v>
      </c>
      <c r="N29" s="50">
        <f>IF(H_Nov[[#This Row],[Fin]]&lt;H_Nov[[#This Row],[début]],1,0)+H_Nov[[#This Row],[Fin]]</f>
        <v>0</v>
      </c>
      <c r="O29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29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2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2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2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2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0" spans="1:23" x14ac:dyDescent="0.3">
      <c r="A30" s="4"/>
      <c r="B30" s="1"/>
      <c r="C30" s="2"/>
      <c r="D30" s="2"/>
      <c r="E30" s="3"/>
      <c r="F30" s="3"/>
      <c r="G30" s="3"/>
      <c r="H30" s="3"/>
      <c r="I30" s="47">
        <f>0.1*(H_Nov[[#This Row],[Heures de nuit]]+IF(H_Nov[[#This Row],[majoration dim &amp; JF]]="non",0,H_Nov[[#This Row],[heures jour dimanche]]+H_Nov[[#This Row],[heures jour fériés]]))</f>
        <v>0</v>
      </c>
      <c r="J30" s="48">
        <f>(MOD(H_Nov[[#This Row],[Fin]]-H_Nov[[#This Row],[début]],1)-MOD(H_Nov[[#This Row],[PNP Fin]]-H_Nov[[#This Row],[PNP Début]],1))*24</f>
        <v>0</v>
      </c>
      <c r="K30" s="96" t="str">
        <f>IFERROR(VLOOKUP(H_Nov[[#This Row],[Service]],Codes[],4,0),"")</f>
        <v/>
      </c>
      <c r="L30" s="49">
        <f>IF(H_Nov[[#This Row],[PNP Début]]=0,0,IF(H_Nov[[#This Row],[PNP Début]]&lt;H_Nov[[#This Row],[début]],1,0)+H_Nov[[#This Row],[PNP Début]])</f>
        <v>0</v>
      </c>
      <c r="M30" s="50">
        <f>IF(H_Nov[[#This Row],[PNP Fin]]=0,0,IF(H_Nov[[#This Row],[PNP Fin]]&lt;H_Nov[[#This Row],[début]],1,0)+H_Nov[[#This Row],[PNP Fin]])</f>
        <v>0</v>
      </c>
      <c r="N30" s="50">
        <f>IF(H_Nov[[#This Row],[Fin]]&lt;H_Nov[[#This Row],[début]],1,0)+H_Nov[[#This Row],[Fin]]</f>
        <v>0</v>
      </c>
      <c r="O30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0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0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0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0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0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0.1*(H_Nov[[#This Row],[Heures de nuit]]+IF(H_Nov[[#This Row],[majoration dim &amp; JF]]="non",0,H_Nov[[#This Row],[heures jour dimanche]]+H_Nov[[#This Row],[heures jour fériés]]))</f>
        <v>0</v>
      </c>
      <c r="J31" s="48">
        <f>(MOD(H_Nov[[#This Row],[Fin]]-H_Nov[[#This Row],[début]],1)-MOD(H_Nov[[#This Row],[PNP Fin]]-H_Nov[[#This Row],[PNP Début]],1))*24</f>
        <v>0</v>
      </c>
      <c r="K31" s="96" t="str">
        <f>IFERROR(VLOOKUP(H_Nov[[#This Row],[Service]],Codes[],4,0),"")</f>
        <v/>
      </c>
      <c r="L31" s="49">
        <f>IF(H_Nov[[#This Row],[PNP Début]]=0,0,IF(H_Nov[[#This Row],[PNP Début]]&lt;H_Nov[[#This Row],[début]],1,0)+H_Nov[[#This Row],[PNP Début]])</f>
        <v>0</v>
      </c>
      <c r="M31" s="50">
        <f>IF(H_Nov[[#This Row],[PNP Fin]]=0,0,IF(H_Nov[[#This Row],[PNP Fin]]&lt;H_Nov[[#This Row],[début]],1,0)+H_Nov[[#This Row],[PNP Fin]])</f>
        <v>0</v>
      </c>
      <c r="N31" s="50">
        <f>IF(H_Nov[[#This Row],[Fin]]&lt;H_Nov[[#This Row],[début]],1,0)+H_Nov[[#This Row],[Fin]]</f>
        <v>0</v>
      </c>
      <c r="O31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1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1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1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1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1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0.1*(H_Nov[[#This Row],[Heures de nuit]]+IF(H_Nov[[#This Row],[majoration dim &amp; JF]]="non",0,H_Nov[[#This Row],[heures jour dimanche]]+H_Nov[[#This Row],[heures jour fériés]]))</f>
        <v>0</v>
      </c>
      <c r="J32" s="48">
        <f>(MOD(H_Nov[[#This Row],[Fin]]-H_Nov[[#This Row],[début]],1)-MOD(H_Nov[[#This Row],[PNP Fin]]-H_Nov[[#This Row],[PNP Début]],1))*24</f>
        <v>0</v>
      </c>
      <c r="K32" s="96" t="str">
        <f>IFERROR(VLOOKUP(H_Nov[[#This Row],[Service]],Codes[],4,0),"")</f>
        <v/>
      </c>
      <c r="L32" s="49">
        <f>IF(H_Nov[[#This Row],[PNP Début]]=0,0,IF(H_Nov[[#This Row],[PNP Début]]&lt;H_Nov[[#This Row],[début]],1,0)+H_Nov[[#This Row],[PNP Début]])</f>
        <v>0</v>
      </c>
      <c r="M32" s="50">
        <f>IF(H_Nov[[#This Row],[PNP Fin]]=0,0,IF(H_Nov[[#This Row],[PNP Fin]]&lt;H_Nov[[#This Row],[début]],1,0)+H_Nov[[#This Row],[PNP Fin]])</f>
        <v>0</v>
      </c>
      <c r="N32" s="50">
        <f>IF(H_Nov[[#This Row],[Fin]]&lt;H_Nov[[#This Row],[début]],1,0)+H_Nov[[#This Row],[Fin]]</f>
        <v>0</v>
      </c>
      <c r="O32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2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0.1*(H_Nov[[#This Row],[Heures de nuit]]+IF(H_Nov[[#This Row],[majoration dim &amp; JF]]="non",0,H_Nov[[#This Row],[heures jour dimanche]]+H_Nov[[#This Row],[heures jour fériés]]))</f>
        <v>0</v>
      </c>
      <c r="J33" s="48">
        <f>(MOD(H_Nov[[#This Row],[Fin]]-H_Nov[[#This Row],[début]],1)-MOD(H_Nov[[#This Row],[PNP Fin]]-H_Nov[[#This Row],[PNP Début]],1))*24</f>
        <v>0</v>
      </c>
      <c r="K33" s="96" t="str">
        <f>IFERROR(VLOOKUP(H_Nov[[#This Row],[Service]],Codes[],4,0),"")</f>
        <v/>
      </c>
      <c r="L33" s="49">
        <f>IF(H_Nov[[#This Row],[PNP Début]]=0,0,IF(H_Nov[[#This Row],[PNP Début]]&lt;H_Nov[[#This Row],[début]],1,0)+H_Nov[[#This Row],[PNP Début]])</f>
        <v>0</v>
      </c>
      <c r="M33" s="50">
        <f>IF(H_Nov[[#This Row],[PNP Fin]]=0,0,IF(H_Nov[[#This Row],[PNP Fin]]&lt;H_Nov[[#This Row],[début]],1,0)+H_Nov[[#This Row],[PNP Fin]])</f>
        <v>0</v>
      </c>
      <c r="N33" s="50">
        <f>IF(H_Nov[[#This Row],[Fin]]&lt;H_Nov[[#This Row],[début]],1,0)+H_Nov[[#This Row],[Fin]]</f>
        <v>0</v>
      </c>
      <c r="O33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3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0.1*(H_Nov[[#This Row],[Heures de nuit]]+IF(H_Nov[[#This Row],[majoration dim &amp; JF]]="non",0,H_Nov[[#This Row],[heures jour dimanche]]+H_Nov[[#This Row],[heures jour fériés]]))</f>
        <v>0</v>
      </c>
      <c r="J34" s="48">
        <f>(MOD(H_Nov[[#This Row],[Fin]]-H_Nov[[#This Row],[début]],1)-MOD(H_Nov[[#This Row],[PNP Fin]]-H_Nov[[#This Row],[PNP Début]],1))*24</f>
        <v>0</v>
      </c>
      <c r="K34" s="96" t="str">
        <f>IFERROR(VLOOKUP(H_Nov[[#This Row],[Service]],Codes[],4,0),"")</f>
        <v/>
      </c>
      <c r="L34" s="49">
        <f>IF(H_Nov[[#This Row],[PNP Début]]=0,0,IF(H_Nov[[#This Row],[PNP Début]]&lt;H_Nov[[#This Row],[début]],1,0)+H_Nov[[#This Row],[PNP Début]])</f>
        <v>0</v>
      </c>
      <c r="M34" s="50">
        <f>IF(H_Nov[[#This Row],[PNP Fin]]=0,0,IF(H_Nov[[#This Row],[PNP Fin]]&lt;H_Nov[[#This Row],[début]],1,0)+H_Nov[[#This Row],[PNP Fin]])</f>
        <v>0</v>
      </c>
      <c r="N34" s="50">
        <f>IF(H_Nov[[#This Row],[Fin]]&lt;H_Nov[[#This Row],[début]],1,0)+H_Nov[[#This Row],[Fin]]</f>
        <v>0</v>
      </c>
      <c r="O34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4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0.1*(H_Nov[[#This Row],[Heures de nuit]]+IF(H_Nov[[#This Row],[majoration dim &amp; JF]]="non",0,H_Nov[[#This Row],[heures jour dimanche]]+H_Nov[[#This Row],[heures jour fériés]]))</f>
        <v>0</v>
      </c>
      <c r="J35" s="48">
        <f>(MOD(H_Nov[[#This Row],[Fin]]-H_Nov[[#This Row],[début]],1)-MOD(H_Nov[[#This Row],[PNP Fin]]-H_Nov[[#This Row],[PNP Début]],1))*24</f>
        <v>0</v>
      </c>
      <c r="K35" s="96" t="str">
        <f>IFERROR(VLOOKUP(H_Nov[[#This Row],[Service]],Codes[],4,0),"")</f>
        <v/>
      </c>
      <c r="L35" s="49">
        <f>IF(H_Nov[[#This Row],[PNP Début]]=0,0,IF(H_Nov[[#This Row],[PNP Début]]&lt;H_Nov[[#This Row],[début]],1,0)+H_Nov[[#This Row],[PNP Début]])</f>
        <v>0</v>
      </c>
      <c r="M35" s="50">
        <f>IF(H_Nov[[#This Row],[PNP Fin]]=0,0,IF(H_Nov[[#This Row],[PNP Fin]]&lt;H_Nov[[#This Row],[début]],1,0)+H_Nov[[#This Row],[PNP Fin]])</f>
        <v>0</v>
      </c>
      <c r="N35" s="50">
        <f>IF(H_Nov[[#This Row],[Fin]]&lt;H_Nov[[#This Row],[début]],1,0)+H_Nov[[#This Row],[Fin]]</f>
        <v>0</v>
      </c>
      <c r="O35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5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0.1*(H_Nov[[#This Row],[Heures de nuit]]+IF(H_Nov[[#This Row],[majoration dim &amp; JF]]="non",0,H_Nov[[#This Row],[heures jour dimanche]]+H_Nov[[#This Row],[heures jour fériés]]))</f>
        <v>0</v>
      </c>
      <c r="J36" s="48">
        <f>(MOD(H_Nov[[#This Row],[Fin]]-H_Nov[[#This Row],[début]],1)-MOD(H_Nov[[#This Row],[PNP Fin]]-H_Nov[[#This Row],[PNP Début]],1))*24</f>
        <v>0</v>
      </c>
      <c r="K36" s="96" t="str">
        <f>IFERROR(VLOOKUP(H_Nov[[#This Row],[Service]],Codes[],4,0),"")</f>
        <v/>
      </c>
      <c r="L36" s="49">
        <f>IF(H_Nov[[#This Row],[PNP Début]]=0,0,IF(H_Nov[[#This Row],[PNP Début]]&lt;H_Nov[[#This Row],[début]],1,0)+H_Nov[[#This Row],[PNP Début]])</f>
        <v>0</v>
      </c>
      <c r="M36" s="50">
        <f>IF(H_Nov[[#This Row],[PNP Fin]]=0,0,IF(H_Nov[[#This Row],[PNP Fin]]&lt;H_Nov[[#This Row],[début]],1,0)+H_Nov[[#This Row],[PNP Fin]])</f>
        <v>0</v>
      </c>
      <c r="N36" s="50">
        <f>IF(H_Nov[[#This Row],[Fin]]&lt;H_Nov[[#This Row],[début]],1,0)+H_Nov[[#This Row],[Fin]]</f>
        <v>0</v>
      </c>
      <c r="O36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6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0.1*(H_Nov[[#This Row],[Heures de nuit]]+IF(H_Nov[[#This Row],[majoration dim &amp; JF]]="non",0,H_Nov[[#This Row],[heures jour dimanche]]+H_Nov[[#This Row],[heures jour fériés]]))</f>
        <v>0</v>
      </c>
      <c r="J37" s="48">
        <f>(MOD(H_Nov[[#This Row],[Fin]]-H_Nov[[#This Row],[début]],1)-MOD(H_Nov[[#This Row],[PNP Fin]]-H_Nov[[#This Row],[PNP Début]],1))*24</f>
        <v>0</v>
      </c>
      <c r="K37" s="96" t="str">
        <f>IFERROR(VLOOKUP(H_Nov[[#This Row],[Service]],Codes[],4,0),"")</f>
        <v/>
      </c>
      <c r="L37" s="49">
        <f>IF(H_Nov[[#This Row],[PNP Début]]=0,0,IF(H_Nov[[#This Row],[PNP Début]]&lt;H_Nov[[#This Row],[début]],1,0)+H_Nov[[#This Row],[PNP Début]])</f>
        <v>0</v>
      </c>
      <c r="M37" s="50">
        <f>IF(H_Nov[[#This Row],[PNP Fin]]=0,0,IF(H_Nov[[#This Row],[PNP Fin]]&lt;H_Nov[[#This Row],[début]],1,0)+H_Nov[[#This Row],[PNP Fin]])</f>
        <v>0</v>
      </c>
      <c r="N37" s="50">
        <f>IF(H_Nov[[#This Row],[Fin]]&lt;H_Nov[[#This Row],[début]],1,0)+H_Nov[[#This Row],[Fin]]</f>
        <v>0</v>
      </c>
      <c r="O37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7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0.1*(H_Nov[[#This Row],[Heures de nuit]]+IF(H_Nov[[#This Row],[majoration dim &amp; JF]]="non",0,H_Nov[[#This Row],[heures jour dimanche]]+H_Nov[[#This Row],[heures jour fériés]]))</f>
        <v>0</v>
      </c>
      <c r="J38" s="48">
        <f>(MOD(H_Nov[[#This Row],[Fin]]-H_Nov[[#This Row],[début]],1)-MOD(H_Nov[[#This Row],[PNP Fin]]-H_Nov[[#This Row],[PNP Début]],1))*24</f>
        <v>0</v>
      </c>
      <c r="K38" s="96" t="str">
        <f>IFERROR(VLOOKUP(H_Nov[[#This Row],[Service]],Codes[],4,0),"")</f>
        <v/>
      </c>
      <c r="L38" s="49">
        <f>IF(H_Nov[[#This Row],[PNP Début]]=0,0,IF(H_Nov[[#This Row],[PNP Début]]&lt;H_Nov[[#This Row],[début]],1,0)+H_Nov[[#This Row],[PNP Début]])</f>
        <v>0</v>
      </c>
      <c r="M38" s="50">
        <f>IF(H_Nov[[#This Row],[PNP Fin]]=0,0,IF(H_Nov[[#This Row],[PNP Fin]]&lt;H_Nov[[#This Row],[début]],1,0)+H_Nov[[#This Row],[PNP Fin]])</f>
        <v>0</v>
      </c>
      <c r="N38" s="50">
        <f>IF(H_Nov[[#This Row],[Fin]]&lt;H_Nov[[#This Row],[début]],1,0)+H_Nov[[#This Row],[Fin]]</f>
        <v>0</v>
      </c>
      <c r="O38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8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0.1*(H_Nov[[#This Row],[Heures de nuit]]+IF(H_Nov[[#This Row],[majoration dim &amp; JF]]="non",0,H_Nov[[#This Row],[heures jour dimanche]]+H_Nov[[#This Row],[heures jour fériés]]))</f>
        <v>0</v>
      </c>
      <c r="J39" s="48">
        <f>(MOD(H_Nov[[#This Row],[Fin]]-H_Nov[[#This Row],[début]],1)-MOD(H_Nov[[#This Row],[PNP Fin]]-H_Nov[[#This Row],[PNP Début]],1))*24</f>
        <v>0</v>
      </c>
      <c r="K39" s="96" t="str">
        <f>IFERROR(VLOOKUP(H_Nov[[#This Row],[Service]],Codes[],4,0),"")</f>
        <v/>
      </c>
      <c r="L39" s="49">
        <f>IF(H_Nov[[#This Row],[PNP Début]]=0,0,IF(H_Nov[[#This Row],[PNP Début]]&lt;H_Nov[[#This Row],[début]],1,0)+H_Nov[[#This Row],[PNP Début]])</f>
        <v>0</v>
      </c>
      <c r="M39" s="50">
        <f>IF(H_Nov[[#This Row],[PNP Fin]]=0,0,IF(H_Nov[[#This Row],[PNP Fin]]&lt;H_Nov[[#This Row],[début]],1,0)+H_Nov[[#This Row],[PNP Fin]])</f>
        <v>0</v>
      </c>
      <c r="N39" s="50">
        <f>IF(H_Nov[[#This Row],[Fin]]&lt;H_Nov[[#This Row],[début]],1,0)+H_Nov[[#This Row],[Fin]]</f>
        <v>0</v>
      </c>
      <c r="O39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39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3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3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3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3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0.1*(H_Nov[[#This Row],[Heures de nuit]]+IF(H_Nov[[#This Row],[majoration dim &amp; JF]]="non",0,H_Nov[[#This Row],[heures jour dimanche]]+H_Nov[[#This Row],[heures jour fériés]]))</f>
        <v>0</v>
      </c>
      <c r="J40" s="48">
        <f>(MOD(H_Nov[[#This Row],[Fin]]-H_Nov[[#This Row],[début]],1)-MOD(H_Nov[[#This Row],[PNP Fin]]-H_Nov[[#This Row],[PNP Début]],1))*24</f>
        <v>0</v>
      </c>
      <c r="K40" s="96" t="str">
        <f>IFERROR(VLOOKUP(H_Nov[[#This Row],[Service]],Codes[],4,0),"")</f>
        <v/>
      </c>
      <c r="L40" s="49">
        <f>IF(H_Nov[[#This Row],[PNP Début]]=0,0,IF(H_Nov[[#This Row],[PNP Début]]&lt;H_Nov[[#This Row],[début]],1,0)+H_Nov[[#This Row],[PNP Début]])</f>
        <v>0</v>
      </c>
      <c r="M40" s="50">
        <f>IF(H_Nov[[#This Row],[PNP Fin]]=0,0,IF(H_Nov[[#This Row],[PNP Fin]]&lt;H_Nov[[#This Row],[début]],1,0)+H_Nov[[#This Row],[PNP Fin]])</f>
        <v>0</v>
      </c>
      <c r="N40" s="50">
        <f>IF(H_Nov[[#This Row],[Fin]]&lt;H_Nov[[#This Row],[début]],1,0)+H_Nov[[#This Row],[Fin]]</f>
        <v>0</v>
      </c>
      <c r="O40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0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0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0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0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0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0.1*(H_Nov[[#This Row],[Heures de nuit]]+IF(H_Nov[[#This Row],[majoration dim &amp; JF]]="non",0,H_Nov[[#This Row],[heures jour dimanche]]+H_Nov[[#This Row],[heures jour fériés]]))</f>
        <v>0</v>
      </c>
      <c r="J41" s="48">
        <f>(MOD(H_Nov[[#This Row],[Fin]]-H_Nov[[#This Row],[début]],1)-MOD(H_Nov[[#This Row],[PNP Fin]]-H_Nov[[#This Row],[PNP Début]],1))*24</f>
        <v>0</v>
      </c>
      <c r="K41" s="96" t="str">
        <f>IFERROR(VLOOKUP(H_Nov[[#This Row],[Service]],Codes[],4,0),"")</f>
        <v/>
      </c>
      <c r="L41" s="49">
        <f>IF(H_Nov[[#This Row],[PNP Début]]=0,0,IF(H_Nov[[#This Row],[PNP Début]]&lt;H_Nov[[#This Row],[début]],1,0)+H_Nov[[#This Row],[PNP Début]])</f>
        <v>0</v>
      </c>
      <c r="M41" s="50">
        <f>IF(H_Nov[[#This Row],[PNP Fin]]=0,0,IF(H_Nov[[#This Row],[PNP Fin]]&lt;H_Nov[[#This Row],[début]],1,0)+H_Nov[[#This Row],[PNP Fin]])</f>
        <v>0</v>
      </c>
      <c r="N41" s="50">
        <f>IF(H_Nov[[#This Row],[Fin]]&lt;H_Nov[[#This Row],[début]],1,0)+H_Nov[[#This Row],[Fin]]</f>
        <v>0</v>
      </c>
      <c r="O41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1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1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1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1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1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0.1*(H_Nov[[#This Row],[Heures de nuit]]+IF(H_Nov[[#This Row],[majoration dim &amp; JF]]="non",0,H_Nov[[#This Row],[heures jour dimanche]]+H_Nov[[#This Row],[heures jour fériés]]))</f>
        <v>0</v>
      </c>
      <c r="J42" s="48">
        <f>(MOD(H_Nov[[#This Row],[Fin]]-H_Nov[[#This Row],[début]],1)-MOD(H_Nov[[#This Row],[PNP Fin]]-H_Nov[[#This Row],[PNP Début]],1))*24</f>
        <v>0</v>
      </c>
      <c r="K42" s="96" t="str">
        <f>IFERROR(VLOOKUP(H_Nov[[#This Row],[Service]],Codes[],4,0),"")</f>
        <v/>
      </c>
      <c r="L42" s="49">
        <f>IF(H_Nov[[#This Row],[PNP Début]]=0,0,IF(H_Nov[[#This Row],[PNP Début]]&lt;H_Nov[[#This Row],[début]],1,0)+H_Nov[[#This Row],[PNP Début]])</f>
        <v>0</v>
      </c>
      <c r="M42" s="50">
        <f>IF(H_Nov[[#This Row],[PNP Fin]]=0,0,IF(H_Nov[[#This Row],[PNP Fin]]&lt;H_Nov[[#This Row],[début]],1,0)+H_Nov[[#This Row],[PNP Fin]])</f>
        <v>0</v>
      </c>
      <c r="N42" s="50">
        <f>IF(H_Nov[[#This Row],[Fin]]&lt;H_Nov[[#This Row],[début]],1,0)+H_Nov[[#This Row],[Fin]]</f>
        <v>0</v>
      </c>
      <c r="O42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2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2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2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0.1*(H_Nov[[#This Row],[Heures de nuit]]+IF(H_Nov[[#This Row],[majoration dim &amp; JF]]="non",0,H_Nov[[#This Row],[heures jour dimanche]]+H_Nov[[#This Row],[heures jour fériés]]))</f>
        <v>0</v>
      </c>
      <c r="J43" s="48">
        <f>(MOD(H_Nov[[#This Row],[Fin]]-H_Nov[[#This Row],[début]],1)-MOD(H_Nov[[#This Row],[PNP Fin]]-H_Nov[[#This Row],[PNP Début]],1))*24</f>
        <v>0</v>
      </c>
      <c r="K43" s="96" t="str">
        <f>IFERROR(VLOOKUP(H_Nov[[#This Row],[Service]],Codes[],4,0),"")</f>
        <v/>
      </c>
      <c r="L43" s="49">
        <f>IF(H_Nov[[#This Row],[PNP Début]]=0,0,IF(H_Nov[[#This Row],[PNP Début]]&lt;H_Nov[[#This Row],[début]],1,0)+H_Nov[[#This Row],[PNP Début]])</f>
        <v>0</v>
      </c>
      <c r="M43" s="50">
        <f>IF(H_Nov[[#This Row],[PNP Fin]]=0,0,IF(H_Nov[[#This Row],[PNP Fin]]&lt;H_Nov[[#This Row],[début]],1,0)+H_Nov[[#This Row],[PNP Fin]])</f>
        <v>0</v>
      </c>
      <c r="N43" s="50">
        <f>IF(H_Nov[[#This Row],[Fin]]&lt;H_Nov[[#This Row],[début]],1,0)+H_Nov[[#This Row],[Fin]]</f>
        <v>0</v>
      </c>
      <c r="O43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3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3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3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0.1*(H_Nov[[#This Row],[Heures de nuit]]+IF(H_Nov[[#This Row],[majoration dim &amp; JF]]="non",0,H_Nov[[#This Row],[heures jour dimanche]]+H_Nov[[#This Row],[heures jour fériés]]))</f>
        <v>0</v>
      </c>
      <c r="J44" s="48">
        <f>(MOD(H_Nov[[#This Row],[Fin]]-H_Nov[[#This Row],[début]],1)-MOD(H_Nov[[#This Row],[PNP Fin]]-H_Nov[[#This Row],[PNP Début]],1))*24</f>
        <v>0</v>
      </c>
      <c r="K44" s="96" t="str">
        <f>IFERROR(VLOOKUP(H_Nov[[#This Row],[Service]],Codes[],4,0),"")</f>
        <v/>
      </c>
      <c r="L44" s="49">
        <f>IF(H_Nov[[#This Row],[PNP Début]]=0,0,IF(H_Nov[[#This Row],[PNP Début]]&lt;H_Nov[[#This Row],[début]],1,0)+H_Nov[[#This Row],[PNP Début]])</f>
        <v>0</v>
      </c>
      <c r="M44" s="50">
        <f>IF(H_Nov[[#This Row],[PNP Fin]]=0,0,IF(H_Nov[[#This Row],[PNP Fin]]&lt;H_Nov[[#This Row],[début]],1,0)+H_Nov[[#This Row],[PNP Fin]])</f>
        <v>0</v>
      </c>
      <c r="N44" s="50">
        <f>IF(H_Nov[[#This Row],[Fin]]&lt;H_Nov[[#This Row],[début]],1,0)+H_Nov[[#This Row],[Fin]]</f>
        <v>0</v>
      </c>
      <c r="O44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4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4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4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0.1*(H_Nov[[#This Row],[Heures de nuit]]+IF(H_Nov[[#This Row],[majoration dim &amp; JF]]="non",0,H_Nov[[#This Row],[heures jour dimanche]]+H_Nov[[#This Row],[heures jour fériés]]))</f>
        <v>0</v>
      </c>
      <c r="J45" s="48">
        <f>(MOD(H_Nov[[#This Row],[Fin]]-H_Nov[[#This Row],[début]],1)-MOD(H_Nov[[#This Row],[PNP Fin]]-H_Nov[[#This Row],[PNP Début]],1))*24</f>
        <v>0</v>
      </c>
      <c r="K45" s="96" t="str">
        <f>IFERROR(VLOOKUP(H_Nov[[#This Row],[Service]],Codes[],4,0),"")</f>
        <v/>
      </c>
      <c r="L45" s="49">
        <f>IF(H_Nov[[#This Row],[PNP Début]]=0,0,IF(H_Nov[[#This Row],[PNP Début]]&lt;H_Nov[[#This Row],[début]],1,0)+H_Nov[[#This Row],[PNP Début]])</f>
        <v>0</v>
      </c>
      <c r="M45" s="50">
        <f>IF(H_Nov[[#This Row],[PNP Fin]]=0,0,IF(H_Nov[[#This Row],[PNP Fin]]&lt;H_Nov[[#This Row],[début]],1,0)+H_Nov[[#This Row],[PNP Fin]])</f>
        <v>0</v>
      </c>
      <c r="N45" s="50">
        <f>IF(H_Nov[[#This Row],[Fin]]&lt;H_Nov[[#This Row],[début]],1,0)+H_Nov[[#This Row],[Fin]]</f>
        <v>0</v>
      </c>
      <c r="O45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5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5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5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0.1*(H_Nov[[#This Row],[Heures de nuit]]+IF(H_Nov[[#This Row],[majoration dim &amp; JF]]="non",0,H_Nov[[#This Row],[heures jour dimanche]]+H_Nov[[#This Row],[heures jour fériés]]))</f>
        <v>0</v>
      </c>
      <c r="J46" s="48">
        <f>(MOD(H_Nov[[#This Row],[Fin]]-H_Nov[[#This Row],[début]],1)-MOD(H_Nov[[#This Row],[PNP Fin]]-H_Nov[[#This Row],[PNP Début]],1))*24</f>
        <v>0</v>
      </c>
      <c r="K46" s="96" t="str">
        <f>IFERROR(VLOOKUP(H_Nov[[#This Row],[Service]],Codes[],4,0),"")</f>
        <v/>
      </c>
      <c r="L46" s="49">
        <f>IF(H_Nov[[#This Row],[PNP Début]]=0,0,IF(H_Nov[[#This Row],[PNP Début]]&lt;H_Nov[[#This Row],[début]],1,0)+H_Nov[[#This Row],[PNP Début]])</f>
        <v>0</v>
      </c>
      <c r="M46" s="50">
        <f>IF(H_Nov[[#This Row],[PNP Fin]]=0,0,IF(H_Nov[[#This Row],[PNP Fin]]&lt;H_Nov[[#This Row],[début]],1,0)+H_Nov[[#This Row],[PNP Fin]])</f>
        <v>0</v>
      </c>
      <c r="N46" s="50">
        <f>IF(H_Nov[[#This Row],[Fin]]&lt;H_Nov[[#This Row],[début]],1,0)+H_Nov[[#This Row],[Fin]]</f>
        <v>0</v>
      </c>
      <c r="O46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6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6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6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0.1*(H_Nov[[#This Row],[Heures de nuit]]+IF(H_Nov[[#This Row],[majoration dim &amp; JF]]="non",0,H_Nov[[#This Row],[heures jour dimanche]]+H_Nov[[#This Row],[heures jour fériés]]))</f>
        <v>0</v>
      </c>
      <c r="J47" s="48">
        <f>(MOD(H_Nov[[#This Row],[Fin]]-H_Nov[[#This Row],[début]],1)-MOD(H_Nov[[#This Row],[PNP Fin]]-H_Nov[[#This Row],[PNP Début]],1))*24</f>
        <v>0</v>
      </c>
      <c r="K47" s="96" t="str">
        <f>IFERROR(VLOOKUP(H_Nov[[#This Row],[Service]],Codes[],4,0),"")</f>
        <v/>
      </c>
      <c r="L47" s="49">
        <f>IF(H_Nov[[#This Row],[PNP Début]]=0,0,IF(H_Nov[[#This Row],[PNP Début]]&lt;H_Nov[[#This Row],[début]],1,0)+H_Nov[[#This Row],[PNP Début]])</f>
        <v>0</v>
      </c>
      <c r="M47" s="50">
        <f>IF(H_Nov[[#This Row],[PNP Fin]]=0,0,IF(H_Nov[[#This Row],[PNP Fin]]&lt;H_Nov[[#This Row],[début]],1,0)+H_Nov[[#This Row],[PNP Fin]])</f>
        <v>0</v>
      </c>
      <c r="N47" s="50">
        <f>IF(H_Nov[[#This Row],[Fin]]&lt;H_Nov[[#This Row],[début]],1,0)+H_Nov[[#This Row],[Fin]]</f>
        <v>0</v>
      </c>
      <c r="O47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7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7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7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0.1*(H_Nov[[#This Row],[Heures de nuit]]+IF(H_Nov[[#This Row],[majoration dim &amp; JF]]="non",0,H_Nov[[#This Row],[heures jour dimanche]]+H_Nov[[#This Row],[heures jour fériés]]))</f>
        <v>0</v>
      </c>
      <c r="J48" s="48">
        <f>(MOD(H_Nov[[#This Row],[Fin]]-H_Nov[[#This Row],[début]],1)-MOD(H_Nov[[#This Row],[PNP Fin]]-H_Nov[[#This Row],[PNP Début]],1))*24</f>
        <v>0</v>
      </c>
      <c r="K48" s="96" t="str">
        <f>IFERROR(VLOOKUP(H_Nov[[#This Row],[Service]],Codes[],4,0),"")</f>
        <v/>
      </c>
      <c r="L48" s="49">
        <f>IF(H_Nov[[#This Row],[PNP Début]]=0,0,IF(H_Nov[[#This Row],[PNP Début]]&lt;H_Nov[[#This Row],[début]],1,0)+H_Nov[[#This Row],[PNP Début]])</f>
        <v>0</v>
      </c>
      <c r="M48" s="50">
        <f>IF(H_Nov[[#This Row],[PNP Fin]]=0,0,IF(H_Nov[[#This Row],[PNP Fin]]&lt;H_Nov[[#This Row],[début]],1,0)+H_Nov[[#This Row],[PNP Fin]])</f>
        <v>0</v>
      </c>
      <c r="N48" s="50">
        <f>IF(H_Nov[[#This Row],[Fin]]&lt;H_Nov[[#This Row],[début]],1,0)+H_Nov[[#This Row],[Fin]]</f>
        <v>0</v>
      </c>
      <c r="O48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8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8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8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0.1*(H_Nov[[#This Row],[Heures de nuit]]+IF(H_Nov[[#This Row],[majoration dim &amp; JF]]="non",0,H_Nov[[#This Row],[heures jour dimanche]]+H_Nov[[#This Row],[heures jour fériés]]))</f>
        <v>0</v>
      </c>
      <c r="J49" s="48">
        <f>(MOD(H_Nov[[#This Row],[Fin]]-H_Nov[[#This Row],[début]],1)-MOD(H_Nov[[#This Row],[PNP Fin]]-H_Nov[[#This Row],[PNP Début]],1))*24</f>
        <v>0</v>
      </c>
      <c r="K49" s="96" t="str">
        <f>IFERROR(VLOOKUP(H_Nov[[#This Row],[Service]],Codes[],4,0),"")</f>
        <v/>
      </c>
      <c r="L49" s="49">
        <f>IF(H_Nov[[#This Row],[PNP Début]]=0,0,IF(H_Nov[[#This Row],[PNP Début]]&lt;H_Nov[[#This Row],[début]],1,0)+H_Nov[[#This Row],[PNP Début]])</f>
        <v>0</v>
      </c>
      <c r="M49" s="50">
        <f>IF(H_Nov[[#This Row],[PNP Fin]]=0,0,IF(H_Nov[[#This Row],[PNP Fin]]&lt;H_Nov[[#This Row],[début]],1,0)+H_Nov[[#This Row],[PNP Fin]])</f>
        <v>0</v>
      </c>
      <c r="N49" s="50">
        <f>IF(H_Nov[[#This Row],[Fin]]&lt;H_Nov[[#This Row],[début]],1,0)+H_Nov[[#This Row],[Fin]]</f>
        <v>0</v>
      </c>
      <c r="O49" s="31">
        <f>IF(H_Nov[[#This Row],[Fin]]&lt;H_Nov[[#This Row],[début]],MAX(0,MIN(H_Nov[[#This Row],[Fin corrigée si nuit]],fin_nuit)-MAX(H_Nov[[#This Row],[début]],deb_nuit))*24,(MAX(deb_nuit,H_Nov[[#This Row],[Fin]])-MAX(deb_nuit,H_Nov[[#This Row],[début]])+MAX(MIN(fin_nuit-1,H_Nov[[#This Row],[Fin]])-MIN(fin_nuit-1,H_Nov[[#This Row],[début]]),0))*24)</f>
        <v>0</v>
      </c>
      <c r="P49" s="51">
        <f>(MAX(0,MIN(H_Nov[[#This Row],[Fin corrigée si nuit]],fin_nuit)-MAX(H_Nov[[#This Row],[début]],deb_nuit))-IF(H_Nov[[#This Row],[PNP Début]]=0,0,MIN(H_Nov[[#This Row],[PNP Fin corrigée]],fin_nuit)-MAX(H_Nov[[#This Row],[PNP Début corrigé]],deb_nuit)))*24</f>
        <v>0</v>
      </c>
      <c r="Q4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</f>
        <v>0</v>
      </c>
      <c r="R49" s="51">
        <f>(IF(WEEKDAY(H_Nov[[#This Row],[Date]],2)=7,MAX(0,MIN(fin_dimJF,H_Nov[[#This Row],[Fin corrigée si nuit]])-MAX(deb_dimJF,H_Nov[[#This Row],[début]])),0)+IF(WEEKDAY(H_Nov[[#This Row],[Date]],2)=6,MAX(0,H_Nov[[#This Row],[Fin corrigée si nuit]]-(1+deb_dimJF)),0))*24-
(IF(WEEKDAY(H_Nov[[#This Row],[Date]],2)=7,MAX(0,MIN(fin_dimJF,H_Nov[[#This Row],[PNP Fin corrigée]])-MAX(deb_dimJF,H_Nov[[#This Row],[PNP Début corrigé]])),0)+IF(WEEKDAY(H_Nov[[#This Row],[Date]],2)=6,MAX(0,H_Nov[[#This Row],[PNP Fin corrigée]]-(1+deb_dimJF)),0))*24</f>
        <v>0</v>
      </c>
      <c r="S4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</f>
        <v>0</v>
      </c>
      <c r="T49" s="51">
        <f>(IF(COUNTIF(JF,H_Nov[[#This Row],[Date]]),MAX(0,MIN(fin_dimJF,H_Nov[[#This Row],[Fin corrigée si nuit]])-MAX(deb_dimJF,H_Nov[[#This Row],[début]])),0)+IF(COUNTIF(JF,H_Nov[[#This Row],[Date]]+1),MAX(0,H_Nov[[#This Row],[Fin corrigée si nuit]]-(1+deb_dimJF)),0))*24-
(IF(COUNTIF(JF,H_Nov[[#This Row],[Date]]),MAX(0,MIN(fin_dimJF,H_Nov[[#This Row],[PNP Fin corrigée]])-MAX(deb_dimJF,H_Nov[[#This Row],[PNP Début corrigé]])),0)+IF(COUNTIF(JF,H_Nov[[#This Row],[Date]]+1),MAX(0,H_Nov[[#This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SUM(H_Nov[Majoration])</f>
        <v>0</v>
      </c>
      <c r="J50" s="54">
        <f>SUM(H_Nov[Heures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51" priority="1">
      <formula>$K13="non"</formula>
    </cfRule>
  </conditionalFormatting>
  <dataValidations count="3">
    <dataValidation type="date" operator="greaterThan" allowBlank="1" showInputMessage="1" showErrorMessage="1" error="Tapez le mois sous le format suivant_x000a_09/17" promptTitle="Mois du relevé" sqref="I5:K5" xr:uid="{00000000-0002-0000-0D00-000000000000}">
      <formula1>42736</formula1>
    </dataValidation>
    <dataValidation type="time" allowBlank="1" showInputMessage="1" showErrorMessage="1" error="Tapez les heures sous le format_x000a_00:00" sqref="C13:H49" xr:uid="{00000000-0002-0000-0D00-000001000000}">
      <formula1>0</formula1>
      <formula2>0.999305555555556</formula2>
    </dataValidation>
    <dataValidation allowBlank="1" showInputMessage="1" showErrorMessage="1" error="Tapez les heures sous le format_x000a_00:00" sqref="L12:O49" xr:uid="{00000000-0002-0000-0D00-000002000000}"/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print="0" autoLine="0" r:id="rId5">
            <anchor moveWithCells="1">
              <from>
                <xdr:col>9</xdr:col>
                <xdr:colOff>480060</xdr:colOff>
                <xdr:row>0</xdr:row>
                <xdr:rowOff>68580</xdr:rowOff>
              </from>
              <to>
                <xdr:col>9</xdr:col>
                <xdr:colOff>1272540</xdr:colOff>
                <xdr:row>3</xdr:row>
                <xdr:rowOff>190500</xdr:rowOff>
              </to>
            </anchor>
          </controlPr>
        </control>
      </mc:Choice>
      <mc:Fallback>
        <control shapeId="14337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D00-000003000000}">
          <x14:formula1>
            <xm:f>'JF '!$A$23:$A$91</xm:f>
          </x14:formula1>
          <xm:sqref>B13:B49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Z60"/>
  <sheetViews>
    <sheetView showWhiteSpace="0" topLeftCell="A4" zoomScale="80" zoomScaleNormal="80" zoomScalePageLayoutView="85" workbookViewId="0">
      <selection activeCell="Z28" sqref="Z28"/>
    </sheetView>
  </sheetViews>
  <sheetFormatPr baseColWidth="10" defaultRowHeight="14.4" x14ac:dyDescent="0.3"/>
  <cols>
    <col min="1" max="1" width="20.5546875" customWidth="1"/>
    <col min="2" max="2" width="12.88671875" customWidth="1"/>
    <col min="3" max="3" width="8.88671875" customWidth="1"/>
    <col min="4" max="4" width="7.44140625" customWidth="1"/>
    <col min="5" max="5" width="7" customWidth="1"/>
    <col min="6" max="6" width="6.77734375" customWidth="1"/>
    <col min="7" max="7" width="7" customWidth="1"/>
    <col min="8" max="8" width="7.77734375" customWidth="1"/>
    <col min="9" max="9" width="10.77734375" customWidth="1"/>
    <col min="10" max="10" width="18.77734375" style="11" bestFit="1" customWidth="1"/>
    <col min="11" max="11" width="18.77734375" style="11" hidden="1" customWidth="1"/>
    <col min="12" max="12" width="22.44140625" hidden="1" customWidth="1"/>
    <col min="13" max="13" width="20.6640625" hidden="1" customWidth="1"/>
    <col min="14" max="14" width="22.21875" hidden="1" customWidth="1"/>
    <col min="15" max="16" width="19.109375" hidden="1" customWidth="1"/>
    <col min="17" max="17" width="16.44140625" hidden="1" customWidth="1"/>
    <col min="18" max="18" width="23.6640625" hidden="1" customWidth="1"/>
    <col min="19" max="20" width="21.5546875" hidden="1" customWidth="1"/>
    <col min="21" max="21" width="6.44140625" hidden="1" customWidth="1"/>
    <col min="22" max="22" width="28.109375" customWidth="1"/>
  </cols>
  <sheetData>
    <row r="1" spans="1:26" ht="15.6" customHeight="1" x14ac:dyDescent="0.3">
      <c r="A1" s="188"/>
      <c r="B1" s="188"/>
      <c r="C1" s="12"/>
      <c r="D1" s="12"/>
      <c r="E1" s="13"/>
      <c r="F1" s="13"/>
      <c r="G1" s="13"/>
      <c r="H1" s="14" t="s">
        <v>34</v>
      </c>
      <c r="I1" s="14"/>
      <c r="J1" s="14"/>
      <c r="K1" s="14"/>
      <c r="L1" s="12"/>
      <c r="M1" s="12"/>
      <c r="N1" s="12"/>
      <c r="O1" s="12"/>
      <c r="P1" s="15"/>
      <c r="Q1" s="15"/>
      <c r="R1" s="15"/>
      <c r="S1" s="15"/>
      <c r="T1" s="15"/>
    </row>
    <row r="2" spans="1:26" ht="14.4" customHeight="1" x14ac:dyDescent="0.3">
      <c r="A2" s="188"/>
      <c r="B2" s="188"/>
      <c r="C2" s="12"/>
      <c r="D2" s="12"/>
      <c r="E2" s="12"/>
      <c r="F2" s="12"/>
      <c r="G2" s="12"/>
      <c r="H2" s="12"/>
      <c r="I2" s="12"/>
      <c r="J2" s="16"/>
      <c r="K2" s="16"/>
      <c r="L2" s="12"/>
      <c r="M2" s="12"/>
      <c r="N2" s="12"/>
      <c r="O2" s="12"/>
      <c r="P2" s="15"/>
      <c r="Q2" s="15"/>
      <c r="R2" s="15"/>
      <c r="S2" s="15"/>
      <c r="T2" s="15"/>
    </row>
    <row r="3" spans="1:26" ht="14.4" customHeight="1" x14ac:dyDescent="0.3">
      <c r="A3" s="189" t="s">
        <v>36</v>
      </c>
      <c r="B3" s="189"/>
      <c r="C3" s="189"/>
      <c r="D3" s="189"/>
      <c r="E3" s="189"/>
      <c r="F3" s="189"/>
      <c r="G3" s="189"/>
      <c r="H3" s="189"/>
      <c r="I3" s="189"/>
      <c r="J3" s="189"/>
      <c r="K3" s="82"/>
      <c r="L3" s="12"/>
      <c r="M3" s="12"/>
      <c r="N3" s="12"/>
      <c r="O3" s="12"/>
      <c r="P3" s="15"/>
      <c r="Q3" s="15"/>
      <c r="R3" s="15"/>
      <c r="S3" s="15"/>
      <c r="T3" s="15"/>
    </row>
    <row r="4" spans="1:26" ht="19.2" customHeight="1" thickBot="1" x14ac:dyDescent="0.35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91"/>
      <c r="L4" s="15"/>
      <c r="M4" s="15"/>
      <c r="N4" s="15"/>
      <c r="O4" s="15"/>
      <c r="P4" s="15"/>
      <c r="Q4" s="15"/>
      <c r="R4" s="15"/>
      <c r="S4" s="15"/>
      <c r="T4" s="15"/>
    </row>
    <row r="5" spans="1:26" ht="19.8" customHeight="1" x14ac:dyDescent="0.3">
      <c r="A5" s="65" t="s">
        <v>92</v>
      </c>
      <c r="B5" s="66"/>
      <c r="C5" s="17" t="s">
        <v>35</v>
      </c>
      <c r="D5" s="222"/>
      <c r="E5" s="223"/>
      <c r="F5" s="223"/>
      <c r="G5" s="193" t="s">
        <v>21</v>
      </c>
      <c r="H5" s="193"/>
      <c r="I5" s="59"/>
      <c r="J5" s="67"/>
      <c r="K5" s="92"/>
      <c r="L5" s="15"/>
      <c r="M5" s="15"/>
      <c r="N5" s="15"/>
      <c r="O5" s="15"/>
      <c r="P5" s="15"/>
      <c r="Q5" s="15"/>
      <c r="R5" s="15"/>
      <c r="S5" s="15"/>
      <c r="T5" s="15"/>
    </row>
    <row r="6" spans="1:26" ht="9.6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20"/>
      <c r="K6" s="93"/>
      <c r="L6" s="15"/>
      <c r="M6" s="15"/>
      <c r="N6" s="15"/>
      <c r="O6" s="15"/>
      <c r="P6" s="15"/>
      <c r="Q6" s="15"/>
      <c r="R6" s="15"/>
      <c r="S6" s="15"/>
      <c r="T6" s="15"/>
    </row>
    <row r="7" spans="1:26" ht="15" thickBot="1" x14ac:dyDescent="0.35">
      <c r="A7" s="55" t="s">
        <v>22</v>
      </c>
      <c r="B7" s="68"/>
      <c r="C7" s="21" t="s">
        <v>23</v>
      </c>
      <c r="D7" s="21"/>
      <c r="E7" s="68"/>
      <c r="F7" s="21"/>
      <c r="G7" s="21"/>
      <c r="H7" s="21"/>
      <c r="I7" s="21"/>
      <c r="J7" s="22"/>
      <c r="K7" s="94"/>
      <c r="L7" s="15"/>
      <c r="M7" s="15"/>
      <c r="N7" s="15"/>
      <c r="O7" s="15"/>
      <c r="P7" s="15"/>
      <c r="Q7" s="15"/>
      <c r="R7" s="15"/>
      <c r="S7" s="15"/>
      <c r="T7" s="15"/>
    </row>
    <row r="8" spans="1:26" ht="9.6" customHeight="1" x14ac:dyDescent="0.3">
      <c r="A8" s="15"/>
      <c r="B8" s="15"/>
      <c r="C8" s="15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5"/>
      <c r="S8" s="15"/>
      <c r="T8" s="15"/>
    </row>
    <row r="9" spans="1:26" ht="16.8" customHeight="1" x14ac:dyDescent="0.3">
      <c r="A9" s="198" t="s">
        <v>0</v>
      </c>
      <c r="B9" s="198" t="s">
        <v>1</v>
      </c>
      <c r="C9" s="198" t="s">
        <v>2</v>
      </c>
      <c r="D9" s="198"/>
      <c r="E9" s="197" t="s">
        <v>24</v>
      </c>
      <c r="F9" s="197"/>
      <c r="G9" s="197"/>
      <c r="H9" s="197"/>
      <c r="I9" s="199" t="s">
        <v>20</v>
      </c>
      <c r="J9" s="195" t="s">
        <v>53</v>
      </c>
      <c r="K9" s="95"/>
      <c r="L9" s="15"/>
      <c r="M9" s="15"/>
      <c r="N9" s="15"/>
      <c r="O9" s="15"/>
      <c r="P9" s="15"/>
      <c r="Q9" s="15"/>
      <c r="R9" s="15"/>
      <c r="S9" s="15"/>
      <c r="T9" s="15"/>
      <c r="V9" s="104" t="s">
        <v>113</v>
      </c>
      <c r="W9" s="105">
        <v>173</v>
      </c>
      <c r="X9" s="101"/>
      <c r="Y9" s="103"/>
      <c r="Z9" s="101"/>
    </row>
    <row r="10" spans="1:26" x14ac:dyDescent="0.3">
      <c r="A10" s="198"/>
      <c r="B10" s="198"/>
      <c r="C10" s="196" t="s">
        <v>3</v>
      </c>
      <c r="D10" s="196" t="s">
        <v>4</v>
      </c>
      <c r="E10" s="197" t="s">
        <v>25</v>
      </c>
      <c r="F10" s="197"/>
      <c r="G10" s="197" t="s">
        <v>26</v>
      </c>
      <c r="H10" s="197"/>
      <c r="I10" s="199"/>
      <c r="J10" s="195"/>
      <c r="K10" s="95"/>
      <c r="L10" s="15"/>
      <c r="M10" s="15"/>
      <c r="N10" s="15"/>
      <c r="O10" s="15"/>
      <c r="P10" s="15"/>
      <c r="Q10" s="15"/>
      <c r="R10" s="15"/>
      <c r="S10" s="15"/>
      <c r="T10" s="15"/>
      <c r="V10" s="104" t="s">
        <v>114</v>
      </c>
      <c r="W10" s="105">
        <f>J50</f>
        <v>0</v>
      </c>
      <c r="X10" s="101"/>
      <c r="Y10" s="101"/>
      <c r="Z10" s="101"/>
    </row>
    <row r="11" spans="1:26" x14ac:dyDescent="0.3">
      <c r="A11" s="198"/>
      <c r="B11" s="198"/>
      <c r="C11" s="196"/>
      <c r="D11" s="196"/>
      <c r="E11" s="60" t="s">
        <v>27</v>
      </c>
      <c r="F11" s="60" t="s">
        <v>4</v>
      </c>
      <c r="G11" s="60" t="s">
        <v>27</v>
      </c>
      <c r="H11" s="60" t="s">
        <v>4</v>
      </c>
      <c r="I11" s="199"/>
      <c r="J11" s="195"/>
      <c r="K11" s="95"/>
      <c r="L11" s="23"/>
      <c r="M11" s="15"/>
      <c r="N11" s="15"/>
      <c r="O11" s="15"/>
      <c r="P11" s="15"/>
      <c r="Q11" s="15"/>
      <c r="R11" s="15"/>
      <c r="S11" s="15"/>
      <c r="T11" s="15"/>
      <c r="V11" s="101"/>
      <c r="W11" s="101"/>
      <c r="X11" s="101"/>
      <c r="Y11" s="101"/>
      <c r="Z11" s="101"/>
    </row>
    <row r="12" spans="1:26" s="6" customFormat="1" ht="28.8" hidden="1" x14ac:dyDescent="0.3">
      <c r="A12" s="24" t="s">
        <v>0</v>
      </c>
      <c r="B12" s="25" t="s">
        <v>1</v>
      </c>
      <c r="C12" s="25" t="s">
        <v>3</v>
      </c>
      <c r="D12" s="25" t="s">
        <v>4</v>
      </c>
      <c r="E12" s="25" t="s">
        <v>7</v>
      </c>
      <c r="F12" s="25" t="s">
        <v>8</v>
      </c>
      <c r="G12" s="25" t="s">
        <v>9</v>
      </c>
      <c r="H12" s="25" t="s">
        <v>10</v>
      </c>
      <c r="I12" s="26" t="s">
        <v>20</v>
      </c>
      <c r="J12" s="25" t="s">
        <v>11</v>
      </c>
      <c r="K12" s="25" t="s">
        <v>112</v>
      </c>
      <c r="L12" s="25" t="s">
        <v>17</v>
      </c>
      <c r="M12" s="25" t="s">
        <v>18</v>
      </c>
      <c r="N12" s="25" t="s">
        <v>16</v>
      </c>
      <c r="O12" s="25" t="s">
        <v>31</v>
      </c>
      <c r="P12" s="25" t="s">
        <v>19</v>
      </c>
      <c r="Q12" s="25" t="s">
        <v>5</v>
      </c>
      <c r="R12" s="25" t="s">
        <v>32</v>
      </c>
      <c r="S12" s="27" t="s">
        <v>6</v>
      </c>
      <c r="T12" s="27" t="s">
        <v>33</v>
      </c>
      <c r="V12" s="102"/>
      <c r="W12" s="102"/>
      <c r="X12" s="102"/>
      <c r="Y12" s="102"/>
      <c r="Z12" s="102"/>
    </row>
    <row r="13" spans="1:26" x14ac:dyDescent="0.3">
      <c r="A13" s="4"/>
      <c r="B13" s="1"/>
      <c r="C13" s="90"/>
      <c r="D13" s="90"/>
      <c r="E13" s="3"/>
      <c r="F13" s="3"/>
      <c r="G13" s="3"/>
      <c r="H13" s="3"/>
      <c r="I13" s="28">
        <f>0.1*(H_Dec[[#This Row],[Heures de nuit]]+IF(H_Dec[[#This Row],[majoration dim &amp; JF]]="non",0,H_Dec[[#This Row],[heures jour dimanche]]+H_Dec[[#This Row],[heures jour fériés]]))</f>
        <v>0</v>
      </c>
      <c r="J13" s="29">
        <f>(MOD(H_Dec[[#This Row],[Fin]]-H_Dec[[#This Row],[début]],1)-MOD(H_Dec[[#This Row],[PNP Fin]]-H_Dec[[#This Row],[PNP Début]],1))*24</f>
        <v>0</v>
      </c>
      <c r="K13" s="29" t="str">
        <f>IFERROR(VLOOKUP(H_Dec[[#This Row],[Service]],Codes[],4,0),"")</f>
        <v/>
      </c>
      <c r="L13" s="30">
        <f>IF(H_Dec[[#This Row],[PNP Début]]=0,0,IF(H_Dec[[#This Row],[PNP Début]]&lt;H_Dec[[#This Row],[début]],1,0)+H_Dec[[#This Row],[PNP Début]])</f>
        <v>0</v>
      </c>
      <c r="M13" s="30">
        <f>IF(H_Dec[[#This Row],[PNP Fin]]=0,0,IF(H_Dec[[#This Row],[PNP Fin]]&lt;H_Dec[[#This Row],[début]],1,0)+H_Dec[[#This Row],[PNP Fin]])</f>
        <v>0</v>
      </c>
      <c r="N13" s="30">
        <f>IF(H_Dec[[#This Row],[Fin]]&lt;H_Dec[[#This Row],[début]],1,0)+H_Dec[[#This Row],[Fin]]</f>
        <v>0</v>
      </c>
      <c r="O13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3" s="3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3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3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3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3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13" s="101"/>
      <c r="W13" s="101"/>
      <c r="X13" s="101"/>
      <c r="Y13" s="101"/>
      <c r="Z13" s="101"/>
    </row>
    <row r="14" spans="1:26" x14ac:dyDescent="0.3">
      <c r="A14" s="4"/>
      <c r="B14" s="1"/>
      <c r="C14" s="90"/>
      <c r="D14" s="90"/>
      <c r="E14" s="3"/>
      <c r="F14" s="3"/>
      <c r="G14" s="3"/>
      <c r="H14" s="3"/>
      <c r="I14" s="28">
        <f>0.1*(H_Dec[[#This Row],[Heures de nuit]]+IF(H_Dec[[#This Row],[majoration dim &amp; JF]]="non",0,H_Dec[[#This Row],[heures jour dimanche]]+H_Dec[[#This Row],[heures jour fériés]]))</f>
        <v>0</v>
      </c>
      <c r="J14" s="29">
        <f>(MOD(H_Dec[[#This Row],[Fin]]-H_Dec[[#This Row],[début]],1)-MOD(H_Dec[[#This Row],[PNP Fin]]-H_Dec[[#This Row],[PNP Début]],1))*24</f>
        <v>0</v>
      </c>
      <c r="K14" s="29" t="str">
        <f>IFERROR(VLOOKUP(H_Dec[[#This Row],[Service]],Codes[],4,0),"")</f>
        <v/>
      </c>
      <c r="L14" s="30">
        <f>IF(H_Dec[[#This Row],[PNP Début]]=0,0,IF(H_Dec[[#This Row],[PNP Début]]&lt;H_Dec[[#This Row],[début]],1,0)+H_Dec[[#This Row],[PNP Début]])</f>
        <v>0</v>
      </c>
      <c r="M14" s="30">
        <f>IF(H_Dec[[#This Row],[PNP Fin]]=0,0,IF(H_Dec[[#This Row],[PNP Fin]]&lt;H_Dec[[#This Row],[début]],1,0)+H_Dec[[#This Row],[PNP Fin]])</f>
        <v>0</v>
      </c>
      <c r="N14" s="30">
        <f>IF(H_Dec[[#This Row],[Fin]]&lt;H_Dec[[#This Row],[début]],1,0)+H_Dec[[#This Row],[Fin]]</f>
        <v>0</v>
      </c>
      <c r="O14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4" s="3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4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4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4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4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14" s="101"/>
      <c r="W14" s="101"/>
      <c r="X14" s="101"/>
      <c r="Y14" s="101"/>
      <c r="Z14" s="101"/>
    </row>
    <row r="15" spans="1:26" x14ac:dyDescent="0.3">
      <c r="A15" s="4"/>
      <c r="B15" s="1"/>
      <c r="C15" s="2"/>
      <c r="D15" s="2"/>
      <c r="E15" s="3"/>
      <c r="F15" s="3"/>
      <c r="G15" s="3"/>
      <c r="H15" s="3"/>
      <c r="I15" s="28">
        <f>0.1*(H_Dec[[#This Row],[Heures de nuit]]+IF(H_Dec[[#This Row],[majoration dim &amp; JF]]="non",0,H_Dec[[#This Row],[heures jour dimanche]]+H_Dec[[#This Row],[heures jour fériés]]))</f>
        <v>0</v>
      </c>
      <c r="J15" s="29">
        <f>(MOD(H_Dec[[#This Row],[Fin]]-H_Dec[[#This Row],[début]],1)-MOD(H_Dec[[#This Row],[PNP Fin]]-H_Dec[[#This Row],[PNP Début]],1))*24</f>
        <v>0</v>
      </c>
      <c r="K15" s="29" t="str">
        <f>IFERROR(VLOOKUP(H_Dec[[#This Row],[Service]],Codes[],4,0),"")</f>
        <v/>
      </c>
      <c r="L15" s="30">
        <f>IF(H_Dec[[#This Row],[PNP Début]]=0,0,IF(H_Dec[[#This Row],[PNP Début]]&lt;H_Dec[[#This Row],[début]],1,0)+H_Dec[[#This Row],[PNP Début]])</f>
        <v>0</v>
      </c>
      <c r="M15" s="30">
        <f>IF(H_Dec[[#This Row],[PNP Fin]]=0,0,IF(H_Dec[[#This Row],[PNP Fin]]&lt;H_Dec[[#This Row],[début]],1,0)+H_Dec[[#This Row],[PNP Fin]])</f>
        <v>0</v>
      </c>
      <c r="N15" s="30">
        <f>IF(H_Dec[[#This Row],[Fin]]&lt;H_Dec[[#This Row],[début]],1,0)+H_Dec[[#This Row],[Fin]]</f>
        <v>0</v>
      </c>
      <c r="O15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5" s="3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5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5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5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5" s="32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15" s="104" t="s">
        <v>115</v>
      </c>
      <c r="W15" s="104" t="s">
        <v>117</v>
      </c>
      <c r="X15" s="104" t="s">
        <v>120</v>
      </c>
      <c r="Y15" s="104" t="s">
        <v>119</v>
      </c>
      <c r="Z15" s="104" t="s">
        <v>118</v>
      </c>
    </row>
    <row r="16" spans="1:26" x14ac:dyDescent="0.3">
      <c r="A16" s="4"/>
      <c r="B16" s="1"/>
      <c r="C16" s="2"/>
      <c r="D16" s="2"/>
      <c r="E16" s="3"/>
      <c r="F16" s="3"/>
      <c r="G16" s="5"/>
      <c r="H16" s="5"/>
      <c r="I16" s="28">
        <f>0.1*(H_Dec[[#This Row],[Heures de nuit]]+IF(H_Dec[[#This Row],[majoration dim &amp; JF]]="non",0,H_Dec[[#This Row],[heures jour dimanche]]+H_Dec[[#This Row],[heures jour fériés]]))</f>
        <v>0</v>
      </c>
      <c r="J16" s="33">
        <f>(MOD(H_Dec[[#This Row],[Fin]]-H_Dec[[#This Row],[début]],1)-MOD(H_Dec[[#This Row],[PNP Fin]]-H_Dec[[#This Row],[PNP Début]],1))*24</f>
        <v>0</v>
      </c>
      <c r="K16" s="33" t="str">
        <f>IFERROR(VLOOKUP(H_Dec[[#This Row],[Service]],Codes[],4,0),"")</f>
        <v/>
      </c>
      <c r="L16" s="30">
        <f>IF(H_Dec[[#This Row],[PNP Début]]=0,0,IF(H_Dec[[#This Row],[PNP Début]]&lt;H_Dec[[#This Row],[début]],1,0)+H_Dec[[#This Row],[PNP Début]])</f>
        <v>0</v>
      </c>
      <c r="M16" s="30">
        <f>IF(H_Dec[[#This Row],[PNP Fin]]=0,0,IF(H_Dec[[#This Row],[PNP Fin]]&lt;H_Dec[[#This Row],[début]],1,0)+H_Dec[[#This Row],[PNP Fin]])</f>
        <v>0</v>
      </c>
      <c r="N16" s="34">
        <f>IF(H_Dec[[#This Row],[Fin]]&lt;H_Dec[[#This Row],[début]],1,0)+H_Dec[[#This Row],[Fin]]</f>
        <v>0</v>
      </c>
      <c r="O16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6" s="35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6" s="35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6" s="3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6" s="36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6" s="36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16" s="104" t="s">
        <v>116</v>
      </c>
      <c r="W16" s="105">
        <f>'Novembre 18'!Z16</f>
        <v>24.9</v>
      </c>
      <c r="X16" s="105">
        <f>I50</f>
        <v>0</v>
      </c>
      <c r="Y16" s="105"/>
      <c r="Z16" s="105">
        <f>W16+X16-Y16</f>
        <v>24.9</v>
      </c>
    </row>
    <row r="17" spans="1:23" x14ac:dyDescent="0.3">
      <c r="A17" s="4"/>
      <c r="B17" s="1"/>
      <c r="C17" s="2"/>
      <c r="D17" s="2"/>
      <c r="E17" s="3"/>
      <c r="F17" s="3"/>
      <c r="G17" s="9"/>
      <c r="H17" s="9"/>
      <c r="I17" s="37">
        <f>0.1*(H_Dec[[#This Row],[Heures de nuit]]+IF(H_Dec[[#This Row],[majoration dim &amp; JF]]="non",0,H_Dec[[#This Row],[heures jour dimanche]]+H_Dec[[#This Row],[heures jour fériés]]))</f>
        <v>0</v>
      </c>
      <c r="J17" s="38">
        <f>(MOD(H_Dec[[#This Row],[Fin]]-H_Dec[[#This Row],[début]],1)-MOD(H_Dec[[#This Row],[PNP Fin]]-H_Dec[[#This Row],[PNP Début]],1))*24</f>
        <v>0</v>
      </c>
      <c r="K17" s="99" t="str">
        <f>IFERROR(VLOOKUP(H_Dec[[#This Row],[Service]],Codes[],4,0),"")</f>
        <v/>
      </c>
      <c r="L17" s="39">
        <f>IF(H_Dec[[#This Row],[PNP Début]]=0,0,IF(H_Dec[[#This Row],[PNP Début]]&lt;H_Dec[[#This Row],[début]],1,0)+H_Dec[[#This Row],[PNP Début]])</f>
        <v>0</v>
      </c>
      <c r="M17" s="40">
        <f>IF(H_Dec[[#This Row],[PNP Fin]]=0,0,IF(H_Dec[[#This Row],[PNP Fin]]&lt;H_Dec[[#This Row],[début]],1,0)+H_Dec[[#This Row],[PNP Fin]])</f>
        <v>0</v>
      </c>
      <c r="N17" s="40">
        <f>IF(H_Dec[[#This Row],[Fin]]&lt;H_Dec[[#This Row],[début]],1,0)+H_Dec[[#This Row],[Fin]]</f>
        <v>0</v>
      </c>
      <c r="O17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7" s="4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7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7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7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7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18" spans="1:23" x14ac:dyDescent="0.3">
      <c r="A18" s="4"/>
      <c r="B18" s="1"/>
      <c r="C18" s="2"/>
      <c r="D18" s="2"/>
      <c r="E18" s="9"/>
      <c r="F18" s="9"/>
      <c r="G18" s="9"/>
      <c r="H18" s="9"/>
      <c r="I18" s="37">
        <f>0.1*(H_Dec[[#This Row],[Heures de nuit]]+IF(H_Dec[[#This Row],[majoration dim &amp; JF]]="non",0,H_Dec[[#This Row],[heures jour dimanche]]+H_Dec[[#This Row],[heures jour fériés]]))</f>
        <v>0</v>
      </c>
      <c r="J18" s="38">
        <f>(MOD(H_Dec[[#This Row],[Fin]]-H_Dec[[#This Row],[début]],1)-MOD(H_Dec[[#This Row],[PNP Fin]]-H_Dec[[#This Row],[PNP Début]],1))*24</f>
        <v>0</v>
      </c>
      <c r="K18" s="99" t="str">
        <f>IFERROR(VLOOKUP(H_Dec[[#This Row],[Service]],Codes[],4,0),"")</f>
        <v/>
      </c>
      <c r="L18" s="39">
        <f>IF(H_Dec[[#This Row],[PNP Début]]=0,0,IF(H_Dec[[#This Row],[PNP Début]]&lt;H_Dec[[#This Row],[début]],1,0)+H_Dec[[#This Row],[PNP Début]])</f>
        <v>0</v>
      </c>
      <c r="M18" s="40">
        <f>IF(H_Dec[[#This Row],[PNP Fin]]=0,0,IF(H_Dec[[#This Row],[PNP Fin]]&lt;H_Dec[[#This Row],[début]],1,0)+H_Dec[[#This Row],[PNP Fin]])</f>
        <v>0</v>
      </c>
      <c r="N18" s="40">
        <f>IF(H_Dec[[#This Row],[Fin]]&lt;H_Dec[[#This Row],[début]],1,0)+H_Dec[[#This Row],[Fin]]</f>
        <v>0</v>
      </c>
      <c r="O18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8" s="4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8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8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8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8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19" spans="1:23" x14ac:dyDescent="0.3">
      <c r="A19" s="4"/>
      <c r="B19" s="1"/>
      <c r="C19" s="2"/>
      <c r="D19" s="2"/>
      <c r="E19" s="3"/>
      <c r="F19" s="3"/>
      <c r="G19" s="9"/>
      <c r="H19" s="9"/>
      <c r="I19" s="37">
        <f>0.1*(H_Dec[[#This Row],[Heures de nuit]]+IF(H_Dec[[#This Row],[majoration dim &amp; JF]]="non",0,H_Dec[[#This Row],[heures jour dimanche]]+H_Dec[[#This Row],[heures jour fériés]]))</f>
        <v>0</v>
      </c>
      <c r="J19" s="38">
        <f>(MOD(H_Dec[[#This Row],[Fin]]-H_Dec[[#This Row],[début]],1)-MOD(H_Dec[[#This Row],[PNP Fin]]-H_Dec[[#This Row],[PNP Début]],1))*24</f>
        <v>0</v>
      </c>
      <c r="K19" s="99" t="str">
        <f>IFERROR(VLOOKUP(H_Dec[[#This Row],[Service]],Codes[],4,0),"")</f>
        <v/>
      </c>
      <c r="L19" s="39">
        <f>IF(H_Dec[[#This Row],[PNP Début]]=0,0,IF(H_Dec[[#This Row],[PNP Début]]&lt;H_Dec[[#This Row],[début]],1,0)+H_Dec[[#This Row],[PNP Début]])</f>
        <v>0</v>
      </c>
      <c r="M19" s="40">
        <f>IF(H_Dec[[#This Row],[PNP Fin]]=0,0,IF(H_Dec[[#This Row],[PNP Fin]]&lt;H_Dec[[#This Row],[début]],1,0)+H_Dec[[#This Row],[PNP Fin]])</f>
        <v>0</v>
      </c>
      <c r="N19" s="40">
        <f>IF(H_Dec[[#This Row],[Fin]]&lt;H_Dec[[#This Row],[début]],1,0)+H_Dec[[#This Row],[Fin]]</f>
        <v>0</v>
      </c>
      <c r="O19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19" s="4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19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19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19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19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19" s="111" t="s">
        <v>121</v>
      </c>
      <c r="W19" s="110">
        <f>COUNTIF(B13:B49,"*Vacances*")</f>
        <v>0</v>
      </c>
    </row>
    <row r="20" spans="1:23" x14ac:dyDescent="0.3">
      <c r="A20" s="4"/>
      <c r="B20" s="1"/>
      <c r="C20" s="2"/>
      <c r="D20" s="2"/>
      <c r="E20" s="9"/>
      <c r="F20" s="9"/>
      <c r="G20" s="9"/>
      <c r="H20" s="9"/>
      <c r="I20" s="37">
        <f>0.1*(H_Dec[[#This Row],[Heures de nuit]]+IF(H_Dec[[#This Row],[majoration dim &amp; JF]]="non",0,H_Dec[[#This Row],[heures jour dimanche]]+H_Dec[[#This Row],[heures jour fériés]]))</f>
        <v>0</v>
      </c>
      <c r="J20" s="38">
        <f>(MOD(H_Dec[[#This Row],[Fin]]-H_Dec[[#This Row],[début]],1)-MOD(H_Dec[[#This Row],[PNP Fin]]-H_Dec[[#This Row],[PNP Début]],1))*24</f>
        <v>0</v>
      </c>
      <c r="K20" s="99" t="str">
        <f>IFERROR(VLOOKUP(H_Dec[[#This Row],[Service]],Codes[],4,0),"")</f>
        <v/>
      </c>
      <c r="L20" s="39">
        <f>IF(H_Dec[[#This Row],[PNP Début]]=0,0,IF(H_Dec[[#This Row],[PNP Début]]&lt;H_Dec[[#This Row],[début]],1,0)+H_Dec[[#This Row],[PNP Début]])</f>
        <v>0</v>
      </c>
      <c r="M20" s="40">
        <f>IF(H_Dec[[#This Row],[PNP Fin]]=0,0,IF(H_Dec[[#This Row],[PNP Fin]]&lt;H_Dec[[#This Row],[début]],1,0)+H_Dec[[#This Row],[PNP Fin]])</f>
        <v>0</v>
      </c>
      <c r="N20" s="40">
        <f>IF(H_Dec[[#This Row],[Fin]]&lt;H_Dec[[#This Row],[début]],1,0)+H_Dec[[#This Row],[Fin]]</f>
        <v>0</v>
      </c>
      <c r="O20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0" s="4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0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0" s="4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0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0" s="4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1" spans="1:23" ht="14.4" customHeight="1" x14ac:dyDescent="0.3">
      <c r="A21" s="4"/>
      <c r="B21" s="1"/>
      <c r="C21" s="2"/>
      <c r="D21" s="2"/>
      <c r="E21" s="3"/>
      <c r="F21" s="3"/>
      <c r="G21" s="10"/>
      <c r="H21" s="10"/>
      <c r="I21" s="42">
        <f>0.1*(H_Dec[[#This Row],[Heures de nuit]]+IF(H_Dec[[#This Row],[majoration dim &amp; JF]]="non",0,H_Dec[[#This Row],[heures jour dimanche]]+H_Dec[[#This Row],[heures jour fériés]]))</f>
        <v>0</v>
      </c>
      <c r="J21" s="43">
        <f>(MOD(H_Dec[[#This Row],[Fin]]-H_Dec[[#This Row],[début]],1)-MOD(H_Dec[[#This Row],[PNP Fin]]-H_Dec[[#This Row],[PNP Début]],1))*24</f>
        <v>0</v>
      </c>
      <c r="K21" s="100" t="str">
        <f>IFERROR(VLOOKUP(H_Dec[[#This Row],[Service]],Codes[],4,0),"")</f>
        <v/>
      </c>
      <c r="L21" s="44">
        <f>IF(H_Dec[[#This Row],[PNP Début]]=0,0,IF(H_Dec[[#This Row],[PNP Début]]&lt;H_Dec[[#This Row],[début]],1,0)+H_Dec[[#This Row],[PNP Début]])</f>
        <v>0</v>
      </c>
      <c r="M21" s="45">
        <f>IF(H_Dec[[#This Row],[PNP Fin]]=0,0,IF(H_Dec[[#This Row],[PNP Fin]]&lt;H_Dec[[#This Row],[début]],1,0)+H_Dec[[#This Row],[PNP Fin]])</f>
        <v>0</v>
      </c>
      <c r="N21" s="45">
        <f>IF(H_Dec[[#This Row],[Fin]]&lt;H_Dec[[#This Row],[début]],1,0)+H_Dec[[#This Row],[Fin]]</f>
        <v>0</v>
      </c>
      <c r="O21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1" s="46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1" s="46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1" s="46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1" s="46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1" s="46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21" s="111" t="s">
        <v>164</v>
      </c>
      <c r="W21" s="111">
        <f>COUNTIF(B13:B49,"*récuperations*")</f>
        <v>0</v>
      </c>
    </row>
    <row r="22" spans="1:23" ht="14.4" customHeight="1" thickBot="1" x14ac:dyDescent="0.35">
      <c r="A22" s="4"/>
      <c r="B22" s="1"/>
      <c r="C22" s="2"/>
      <c r="D22" s="2"/>
      <c r="E22" s="3"/>
      <c r="F22" s="3"/>
      <c r="G22" s="3"/>
      <c r="H22" s="3"/>
      <c r="I22" s="47">
        <f>0.1*(H_Dec[[#This Row],[Heures de nuit]]+IF(H_Dec[[#This Row],[majoration dim &amp; JF]]="non",0,H_Dec[[#This Row],[heures jour dimanche]]+H_Dec[[#This Row],[heures jour fériés]]))</f>
        <v>0</v>
      </c>
      <c r="J22" s="48">
        <f>(MOD(H_Dec[[#This Row],[Fin]]-H_Dec[[#This Row],[début]],1)-MOD(H_Dec[[#This Row],[PNP Fin]]-H_Dec[[#This Row],[PNP Début]],1))*24</f>
        <v>0</v>
      </c>
      <c r="K22" s="96" t="str">
        <f>IFERROR(VLOOKUP(H_Dec[[#This Row],[Service]],Codes[],4,0),"")</f>
        <v/>
      </c>
      <c r="L22" s="49">
        <f>IF(H_Dec[[#This Row],[PNP Début]]=0,0,IF(H_Dec[[#This Row],[PNP Début]]&lt;H_Dec[[#This Row],[début]],1,0)+H_Dec[[#This Row],[PNP Début]])</f>
        <v>0</v>
      </c>
      <c r="M22" s="50">
        <f>IF(H_Dec[[#This Row],[PNP Fin]]=0,0,IF(H_Dec[[#This Row],[PNP Fin]]&lt;H_Dec[[#This Row],[début]],1,0)+H_Dec[[#This Row],[PNP Fin]])</f>
        <v>0</v>
      </c>
      <c r="N22" s="50">
        <f>IF(H_Dec[[#This Row],[Fin]]&lt;H_Dec[[#This Row],[début]],1,0)+H_Dec[[#This Row],[Fin]]</f>
        <v>0</v>
      </c>
      <c r="O22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2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3" spans="1:23" ht="14.4" customHeight="1" thickBot="1" x14ac:dyDescent="0.35">
      <c r="A23" s="4"/>
      <c r="B23" s="1"/>
      <c r="C23" s="2"/>
      <c r="D23" s="2"/>
      <c r="E23" s="3"/>
      <c r="F23" s="3"/>
      <c r="G23" s="3"/>
      <c r="H23" s="3"/>
      <c r="I23" s="47">
        <f>0.1*(H_Dec[[#This Row],[Heures de nuit]]+IF(H_Dec[[#This Row],[majoration dim &amp; JF]]="non",0,H_Dec[[#This Row],[heures jour dimanche]]+H_Dec[[#This Row],[heures jour fériés]]))</f>
        <v>0</v>
      </c>
      <c r="J23" s="48">
        <f>(MOD(H_Dec[[#This Row],[Fin]]-H_Dec[[#This Row],[début]],1)-MOD(H_Dec[[#This Row],[PNP Fin]]-H_Dec[[#This Row],[PNP Début]],1))*24</f>
        <v>0</v>
      </c>
      <c r="K23" s="96" t="str">
        <f>IFERROR(VLOOKUP(H_Dec[[#This Row],[Service]],Codes[],4,0),"")</f>
        <v/>
      </c>
      <c r="L23" s="49">
        <f>IF(H_Dec[[#This Row],[PNP Début]]=0,0,IF(H_Dec[[#This Row],[PNP Début]]&lt;H_Dec[[#This Row],[début]],1,0)+H_Dec[[#This Row],[PNP Début]])</f>
        <v>0</v>
      </c>
      <c r="M23" s="50">
        <f>IF(H_Dec[[#This Row],[PNP Fin]]=0,0,IF(H_Dec[[#This Row],[PNP Fin]]&lt;H_Dec[[#This Row],[début]],1,0)+H_Dec[[#This Row],[PNP Fin]])</f>
        <v>0</v>
      </c>
      <c r="N23" s="50">
        <f>IF(H_Dec[[#This Row],[Fin]]&lt;H_Dec[[#This Row],[début]],1,0)+H_Dec[[#This Row],[Fin]]</f>
        <v>0</v>
      </c>
      <c r="O23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3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  <c r="V23" s="184" t="s">
        <v>166</v>
      </c>
      <c r="W23" s="185">
        <f>COUNTIF(B13:B49,"*CCT*")</f>
        <v>0</v>
      </c>
    </row>
    <row r="24" spans="1:23" ht="14.4" customHeight="1" x14ac:dyDescent="0.3">
      <c r="A24" s="4"/>
      <c r="B24" s="1"/>
      <c r="C24" s="2"/>
      <c r="D24" s="2"/>
      <c r="E24" s="3"/>
      <c r="F24" s="3"/>
      <c r="G24" s="3"/>
      <c r="H24" s="3"/>
      <c r="I24" s="47">
        <f>0.1*(H_Dec[[#This Row],[Heures de nuit]]+IF(H_Dec[[#This Row],[majoration dim &amp; JF]]="non",0,H_Dec[[#This Row],[heures jour dimanche]]+H_Dec[[#This Row],[heures jour fériés]]))</f>
        <v>0</v>
      </c>
      <c r="J24" s="48">
        <f>(MOD(H_Dec[[#This Row],[Fin]]-H_Dec[[#This Row],[début]],1)-MOD(H_Dec[[#This Row],[PNP Fin]]-H_Dec[[#This Row],[PNP Début]],1))*24</f>
        <v>0</v>
      </c>
      <c r="K24" s="96" t="str">
        <f>IFERROR(VLOOKUP(H_Dec[[#This Row],[Service]],Codes[],4,0),"")</f>
        <v/>
      </c>
      <c r="L24" s="49">
        <f>IF(H_Dec[[#This Row],[PNP Début]]=0,0,IF(H_Dec[[#This Row],[PNP Début]]&lt;H_Dec[[#This Row],[début]],1,0)+H_Dec[[#This Row],[PNP Début]])</f>
        <v>0</v>
      </c>
      <c r="M24" s="50">
        <f>IF(H_Dec[[#This Row],[PNP Fin]]=0,0,IF(H_Dec[[#This Row],[PNP Fin]]&lt;H_Dec[[#This Row],[début]],1,0)+H_Dec[[#This Row],[PNP Fin]])</f>
        <v>0</v>
      </c>
      <c r="N24" s="50">
        <f>IF(H_Dec[[#This Row],[Fin]]&lt;H_Dec[[#This Row],[début]],1,0)+H_Dec[[#This Row],[Fin]]</f>
        <v>0</v>
      </c>
      <c r="O24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4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5" spans="1:23" ht="14.4" customHeight="1" x14ac:dyDescent="0.3">
      <c r="A25" s="4"/>
      <c r="B25" s="1"/>
      <c r="C25" s="2"/>
      <c r="D25" s="2"/>
      <c r="E25" s="3"/>
      <c r="F25" s="3"/>
      <c r="G25" s="3"/>
      <c r="H25" s="3"/>
      <c r="I25" s="47">
        <f>0.1*(H_Dec[[#This Row],[Heures de nuit]]+IF(H_Dec[[#This Row],[majoration dim &amp; JF]]="non",0,H_Dec[[#This Row],[heures jour dimanche]]+H_Dec[[#This Row],[heures jour fériés]]))</f>
        <v>0</v>
      </c>
      <c r="J25" s="48">
        <f>(MOD(H_Dec[[#This Row],[Fin]]-H_Dec[[#This Row],[début]],1)-MOD(H_Dec[[#This Row],[PNP Fin]]-H_Dec[[#This Row],[PNP Début]],1))*24</f>
        <v>0</v>
      </c>
      <c r="K25" s="96" t="str">
        <f>IFERROR(VLOOKUP(H_Dec[[#This Row],[Service]],Codes[],4,0),"")</f>
        <v/>
      </c>
      <c r="L25" s="49">
        <f>IF(H_Dec[[#This Row],[PNP Début]]=0,0,IF(H_Dec[[#This Row],[PNP Début]]&lt;H_Dec[[#This Row],[début]],1,0)+H_Dec[[#This Row],[PNP Début]])</f>
        <v>0</v>
      </c>
      <c r="M25" s="50">
        <f>IF(H_Dec[[#This Row],[PNP Fin]]=0,0,IF(H_Dec[[#This Row],[PNP Fin]]&lt;H_Dec[[#This Row],[début]],1,0)+H_Dec[[#This Row],[PNP Fin]])</f>
        <v>0</v>
      </c>
      <c r="N25" s="50">
        <f>IF(H_Dec[[#This Row],[Fin]]&lt;H_Dec[[#This Row],[début]],1,0)+H_Dec[[#This Row],[Fin]]</f>
        <v>0</v>
      </c>
      <c r="O25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5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6" spans="1:23" ht="14.4" customHeight="1" x14ac:dyDescent="0.3">
      <c r="A26" s="4"/>
      <c r="B26" s="1"/>
      <c r="C26" s="2"/>
      <c r="D26" s="2"/>
      <c r="E26" s="3"/>
      <c r="F26" s="3"/>
      <c r="G26" s="3"/>
      <c r="H26" s="3"/>
      <c r="I26" s="47">
        <f>0.1*(H_Dec[[#This Row],[Heures de nuit]]+IF(H_Dec[[#This Row],[majoration dim &amp; JF]]="non",0,H_Dec[[#This Row],[heures jour dimanche]]+H_Dec[[#This Row],[heures jour fériés]]))</f>
        <v>0</v>
      </c>
      <c r="J26" s="48">
        <f>(MOD(H_Dec[[#This Row],[Fin]]-H_Dec[[#This Row],[début]],1)-MOD(H_Dec[[#This Row],[PNP Fin]]-H_Dec[[#This Row],[PNP Début]],1))*24</f>
        <v>0</v>
      </c>
      <c r="K26" s="96" t="str">
        <f>IFERROR(VLOOKUP(H_Dec[[#This Row],[Service]],Codes[],4,0),"")</f>
        <v/>
      </c>
      <c r="L26" s="49">
        <f>IF(H_Dec[[#This Row],[PNP Début]]=0,0,IF(H_Dec[[#This Row],[PNP Début]]&lt;H_Dec[[#This Row],[début]],1,0)+H_Dec[[#This Row],[PNP Début]])</f>
        <v>0</v>
      </c>
      <c r="M26" s="50">
        <f>IF(H_Dec[[#This Row],[PNP Fin]]=0,0,IF(H_Dec[[#This Row],[PNP Fin]]&lt;H_Dec[[#This Row],[début]],1,0)+H_Dec[[#This Row],[PNP Fin]])</f>
        <v>0</v>
      </c>
      <c r="N26" s="50">
        <f>IF(H_Dec[[#This Row],[Fin]]&lt;H_Dec[[#This Row],[début]],1,0)+H_Dec[[#This Row],[Fin]]</f>
        <v>0</v>
      </c>
      <c r="O26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6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7" spans="1:23" ht="14.4" customHeight="1" x14ac:dyDescent="0.3">
      <c r="A27" s="4"/>
      <c r="B27" s="1"/>
      <c r="C27" s="2"/>
      <c r="D27" s="2"/>
      <c r="E27" s="3"/>
      <c r="F27" s="3"/>
      <c r="G27" s="3"/>
      <c r="H27" s="3"/>
      <c r="I27" s="47">
        <f>0.1*(H_Dec[[#This Row],[Heures de nuit]]+IF(H_Dec[[#This Row],[majoration dim &amp; JF]]="non",0,H_Dec[[#This Row],[heures jour dimanche]]+H_Dec[[#This Row],[heures jour fériés]]))</f>
        <v>0</v>
      </c>
      <c r="J27" s="48">
        <f>(MOD(H_Dec[[#This Row],[Fin]]-H_Dec[[#This Row],[début]],1)-MOD(H_Dec[[#This Row],[PNP Fin]]-H_Dec[[#This Row],[PNP Début]],1))*24</f>
        <v>0</v>
      </c>
      <c r="K27" s="96" t="str">
        <f>IFERROR(VLOOKUP(H_Dec[[#This Row],[Service]],Codes[],4,0),"")</f>
        <v/>
      </c>
      <c r="L27" s="49">
        <f>IF(H_Dec[[#This Row],[PNP Début]]=0,0,IF(H_Dec[[#This Row],[PNP Début]]&lt;H_Dec[[#This Row],[début]],1,0)+H_Dec[[#This Row],[PNP Début]])</f>
        <v>0</v>
      </c>
      <c r="M27" s="50">
        <f>IF(H_Dec[[#This Row],[PNP Fin]]=0,0,IF(H_Dec[[#This Row],[PNP Fin]]&lt;H_Dec[[#This Row],[début]],1,0)+H_Dec[[#This Row],[PNP Fin]])</f>
        <v>0</v>
      </c>
      <c r="N27" s="50">
        <f>IF(H_Dec[[#This Row],[Fin]]&lt;H_Dec[[#This Row],[début]],1,0)+H_Dec[[#This Row],[Fin]]</f>
        <v>0</v>
      </c>
      <c r="O27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7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8" spans="1:23" ht="14.4" customHeight="1" x14ac:dyDescent="0.3">
      <c r="A28" s="4"/>
      <c r="B28" s="1"/>
      <c r="C28" s="2"/>
      <c r="D28" s="2"/>
      <c r="E28" s="3"/>
      <c r="F28" s="3"/>
      <c r="G28" s="3"/>
      <c r="H28" s="3"/>
      <c r="I28" s="47">
        <f>0.1*(H_Dec[[#This Row],[Heures de nuit]]+IF(H_Dec[[#This Row],[majoration dim &amp; JF]]="non",0,H_Dec[[#This Row],[heures jour dimanche]]+H_Dec[[#This Row],[heures jour fériés]]))</f>
        <v>0</v>
      </c>
      <c r="J28" s="48">
        <f>(MOD(H_Dec[[#This Row],[Fin]]-H_Dec[[#This Row],[début]],1)-MOD(H_Dec[[#This Row],[PNP Fin]]-H_Dec[[#This Row],[PNP Début]],1))*24</f>
        <v>0</v>
      </c>
      <c r="K28" s="96" t="str">
        <f>IFERROR(VLOOKUP(H_Dec[[#This Row],[Service]],Codes[],4,0),"")</f>
        <v/>
      </c>
      <c r="L28" s="49">
        <f>IF(H_Dec[[#This Row],[PNP Début]]=0,0,IF(H_Dec[[#This Row],[PNP Début]]&lt;H_Dec[[#This Row],[début]],1,0)+H_Dec[[#This Row],[PNP Début]])</f>
        <v>0</v>
      </c>
      <c r="M28" s="50">
        <f>IF(H_Dec[[#This Row],[PNP Fin]]=0,0,IF(H_Dec[[#This Row],[PNP Fin]]&lt;H_Dec[[#This Row],[début]],1,0)+H_Dec[[#This Row],[PNP Fin]])</f>
        <v>0</v>
      </c>
      <c r="N28" s="50">
        <f>IF(H_Dec[[#This Row],[Fin]]&lt;H_Dec[[#This Row],[début]],1,0)+H_Dec[[#This Row],[Fin]]</f>
        <v>0</v>
      </c>
      <c r="O28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8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29" spans="1:23" ht="14.4" customHeight="1" x14ac:dyDescent="0.3">
      <c r="A29" s="4"/>
      <c r="B29" s="1"/>
      <c r="C29" s="2"/>
      <c r="D29" s="2"/>
      <c r="E29" s="3"/>
      <c r="F29" s="3"/>
      <c r="G29" s="3"/>
      <c r="H29" s="3"/>
      <c r="I29" s="47">
        <f>0.1*(H_Dec[[#This Row],[Heures de nuit]]+IF(H_Dec[[#This Row],[majoration dim &amp; JF]]="non",0,H_Dec[[#This Row],[heures jour dimanche]]+H_Dec[[#This Row],[heures jour fériés]]))</f>
        <v>0</v>
      </c>
      <c r="J29" s="48">
        <f>(MOD(H_Dec[[#This Row],[Fin]]-H_Dec[[#This Row],[début]],1)-MOD(H_Dec[[#This Row],[PNP Fin]]-H_Dec[[#This Row],[PNP Début]],1))*24</f>
        <v>0</v>
      </c>
      <c r="K29" s="96" t="str">
        <f>IFERROR(VLOOKUP(H_Dec[[#This Row],[Service]],Codes[],4,0),"")</f>
        <v/>
      </c>
      <c r="L29" s="49">
        <f>IF(H_Dec[[#This Row],[PNP Début]]=0,0,IF(H_Dec[[#This Row],[PNP Début]]&lt;H_Dec[[#This Row],[début]],1,0)+H_Dec[[#This Row],[PNP Début]])</f>
        <v>0</v>
      </c>
      <c r="M29" s="50">
        <f>IF(H_Dec[[#This Row],[PNP Fin]]=0,0,IF(H_Dec[[#This Row],[PNP Fin]]&lt;H_Dec[[#This Row],[début]],1,0)+H_Dec[[#This Row],[PNP Fin]])</f>
        <v>0</v>
      </c>
      <c r="N29" s="50">
        <f>IF(H_Dec[[#This Row],[Fin]]&lt;H_Dec[[#This Row],[début]],1,0)+H_Dec[[#This Row],[Fin]]</f>
        <v>0</v>
      </c>
      <c r="O29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29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2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2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2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2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0" spans="1:23" ht="14.4" customHeight="1" x14ac:dyDescent="0.3">
      <c r="A30" s="4"/>
      <c r="B30" s="1"/>
      <c r="C30" s="2"/>
      <c r="D30" s="2"/>
      <c r="E30" s="3"/>
      <c r="F30" s="3"/>
      <c r="G30" s="3"/>
      <c r="H30" s="3"/>
      <c r="I30" s="47">
        <f>0.1*(H_Dec[[#This Row],[Heures de nuit]]+IF(H_Dec[[#This Row],[majoration dim &amp; JF]]="non",0,H_Dec[[#This Row],[heures jour dimanche]]+H_Dec[[#This Row],[heures jour fériés]]))</f>
        <v>0</v>
      </c>
      <c r="J30" s="48">
        <f>(MOD(H_Dec[[#This Row],[Fin]]-H_Dec[[#This Row],[début]],1)-MOD(H_Dec[[#This Row],[PNP Fin]]-H_Dec[[#This Row],[PNP Début]],1))*24</f>
        <v>0</v>
      </c>
      <c r="K30" s="96" t="str">
        <f>IFERROR(VLOOKUP(H_Dec[[#This Row],[Service]],Codes[],4,0),"")</f>
        <v/>
      </c>
      <c r="L30" s="49">
        <f>IF(H_Dec[[#This Row],[PNP Début]]=0,0,IF(H_Dec[[#This Row],[PNP Début]]&lt;H_Dec[[#This Row],[début]],1,0)+H_Dec[[#This Row],[PNP Début]])</f>
        <v>0</v>
      </c>
      <c r="M30" s="50">
        <f>IF(H_Dec[[#This Row],[PNP Fin]]=0,0,IF(H_Dec[[#This Row],[PNP Fin]]&lt;H_Dec[[#This Row],[début]],1,0)+H_Dec[[#This Row],[PNP Fin]])</f>
        <v>0</v>
      </c>
      <c r="N30" s="50">
        <f>IF(H_Dec[[#This Row],[Fin]]&lt;H_Dec[[#This Row],[début]],1,0)+H_Dec[[#This Row],[Fin]]</f>
        <v>0</v>
      </c>
      <c r="O30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0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0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0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0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0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1" spans="1:23" x14ac:dyDescent="0.3">
      <c r="A31" s="4"/>
      <c r="B31" s="1"/>
      <c r="C31" s="2"/>
      <c r="D31" s="2"/>
      <c r="E31" s="3"/>
      <c r="F31" s="3"/>
      <c r="G31" s="3"/>
      <c r="H31" s="3"/>
      <c r="I31" s="47">
        <f>0.1*(H_Dec[[#This Row],[Heures de nuit]]+IF(H_Dec[[#This Row],[majoration dim &amp; JF]]="non",0,H_Dec[[#This Row],[heures jour dimanche]]+H_Dec[[#This Row],[heures jour fériés]]))</f>
        <v>0</v>
      </c>
      <c r="J31" s="48">
        <f>(MOD(H_Dec[[#This Row],[Fin]]-H_Dec[[#This Row],[début]],1)-MOD(H_Dec[[#This Row],[PNP Fin]]-H_Dec[[#This Row],[PNP Début]],1))*24</f>
        <v>0</v>
      </c>
      <c r="K31" s="96" t="str">
        <f>IFERROR(VLOOKUP(H_Dec[[#This Row],[Service]],Codes[],4,0),"")</f>
        <v/>
      </c>
      <c r="L31" s="49">
        <f>IF(H_Dec[[#This Row],[PNP Début]]=0,0,IF(H_Dec[[#This Row],[PNP Début]]&lt;H_Dec[[#This Row],[début]],1,0)+H_Dec[[#This Row],[PNP Début]])</f>
        <v>0</v>
      </c>
      <c r="M31" s="50">
        <f>IF(H_Dec[[#This Row],[PNP Fin]]=0,0,IF(H_Dec[[#This Row],[PNP Fin]]&lt;H_Dec[[#This Row],[début]],1,0)+H_Dec[[#This Row],[PNP Fin]])</f>
        <v>0</v>
      </c>
      <c r="N31" s="50">
        <f>IF(H_Dec[[#This Row],[Fin]]&lt;H_Dec[[#This Row],[début]],1,0)+H_Dec[[#This Row],[Fin]]</f>
        <v>0</v>
      </c>
      <c r="O31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1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1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1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1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1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2" spans="1:23" ht="14.55" customHeight="1" x14ac:dyDescent="0.3">
      <c r="A32" s="4"/>
      <c r="B32" s="1"/>
      <c r="C32" s="2"/>
      <c r="D32" s="2"/>
      <c r="E32" s="3"/>
      <c r="F32" s="3"/>
      <c r="G32" s="3"/>
      <c r="H32" s="3"/>
      <c r="I32" s="47">
        <f>0.1*(H_Dec[[#This Row],[Heures de nuit]]+IF(H_Dec[[#This Row],[majoration dim &amp; JF]]="non",0,H_Dec[[#This Row],[heures jour dimanche]]+H_Dec[[#This Row],[heures jour fériés]]))</f>
        <v>0</v>
      </c>
      <c r="J32" s="48">
        <f>(MOD(H_Dec[[#This Row],[Fin]]-H_Dec[[#This Row],[début]],1)-MOD(H_Dec[[#This Row],[PNP Fin]]-H_Dec[[#This Row],[PNP Début]],1))*24</f>
        <v>0</v>
      </c>
      <c r="K32" s="96" t="str">
        <f>IFERROR(VLOOKUP(H_Dec[[#This Row],[Service]],Codes[],4,0),"")</f>
        <v/>
      </c>
      <c r="L32" s="49">
        <f>IF(H_Dec[[#This Row],[PNP Début]]=0,0,IF(H_Dec[[#This Row],[PNP Début]]&lt;H_Dec[[#This Row],[début]],1,0)+H_Dec[[#This Row],[PNP Début]])</f>
        <v>0</v>
      </c>
      <c r="M32" s="50">
        <f>IF(H_Dec[[#This Row],[PNP Fin]]=0,0,IF(H_Dec[[#This Row],[PNP Fin]]&lt;H_Dec[[#This Row],[début]],1,0)+H_Dec[[#This Row],[PNP Fin]])</f>
        <v>0</v>
      </c>
      <c r="N32" s="50">
        <f>IF(H_Dec[[#This Row],[Fin]]&lt;H_Dec[[#This Row],[début]],1,0)+H_Dec[[#This Row],[Fin]]</f>
        <v>0</v>
      </c>
      <c r="O32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2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3" spans="1:20" x14ac:dyDescent="0.3">
      <c r="A33" s="4"/>
      <c r="B33" s="1"/>
      <c r="C33" s="2"/>
      <c r="D33" s="2"/>
      <c r="E33" s="3"/>
      <c r="F33" s="3"/>
      <c r="G33" s="3"/>
      <c r="H33" s="3"/>
      <c r="I33" s="47">
        <f>0.1*(H_Dec[[#This Row],[Heures de nuit]]+IF(H_Dec[[#This Row],[majoration dim &amp; JF]]="non",0,H_Dec[[#This Row],[heures jour dimanche]]+H_Dec[[#This Row],[heures jour fériés]]))</f>
        <v>0</v>
      </c>
      <c r="J33" s="48">
        <f>(MOD(H_Dec[[#This Row],[Fin]]-H_Dec[[#This Row],[début]],1)-MOD(H_Dec[[#This Row],[PNP Fin]]-H_Dec[[#This Row],[PNP Début]],1))*24</f>
        <v>0</v>
      </c>
      <c r="K33" s="96" t="str">
        <f>IFERROR(VLOOKUP(H_Dec[[#This Row],[Service]],Codes[],4,0),"")</f>
        <v/>
      </c>
      <c r="L33" s="49">
        <f>IF(H_Dec[[#This Row],[PNP Début]]=0,0,IF(H_Dec[[#This Row],[PNP Début]]&lt;H_Dec[[#This Row],[début]],1,0)+H_Dec[[#This Row],[PNP Début]])</f>
        <v>0</v>
      </c>
      <c r="M33" s="50">
        <f>IF(H_Dec[[#This Row],[PNP Fin]]=0,0,IF(H_Dec[[#This Row],[PNP Fin]]&lt;H_Dec[[#This Row],[début]],1,0)+H_Dec[[#This Row],[PNP Fin]])</f>
        <v>0</v>
      </c>
      <c r="N33" s="50">
        <f>IF(H_Dec[[#This Row],[Fin]]&lt;H_Dec[[#This Row],[début]],1,0)+H_Dec[[#This Row],[Fin]]</f>
        <v>0</v>
      </c>
      <c r="O33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3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4" spans="1:20" x14ac:dyDescent="0.3">
      <c r="A34" s="4"/>
      <c r="B34" s="1"/>
      <c r="C34" s="2"/>
      <c r="D34" s="2"/>
      <c r="E34" s="3"/>
      <c r="F34" s="3"/>
      <c r="G34" s="3"/>
      <c r="H34" s="3"/>
      <c r="I34" s="47">
        <f>0.1*(H_Dec[[#This Row],[Heures de nuit]]+IF(H_Dec[[#This Row],[majoration dim &amp; JF]]="non",0,H_Dec[[#This Row],[heures jour dimanche]]+H_Dec[[#This Row],[heures jour fériés]]))</f>
        <v>0</v>
      </c>
      <c r="J34" s="48">
        <f>(MOD(H_Dec[[#This Row],[Fin]]-H_Dec[[#This Row],[début]],1)-MOD(H_Dec[[#This Row],[PNP Fin]]-H_Dec[[#This Row],[PNP Début]],1))*24</f>
        <v>0</v>
      </c>
      <c r="K34" s="96" t="str">
        <f>IFERROR(VLOOKUP(H_Dec[[#This Row],[Service]],Codes[],4,0),"")</f>
        <v/>
      </c>
      <c r="L34" s="49">
        <f>IF(H_Dec[[#This Row],[PNP Début]]=0,0,IF(H_Dec[[#This Row],[PNP Début]]&lt;H_Dec[[#This Row],[début]],1,0)+H_Dec[[#This Row],[PNP Début]])</f>
        <v>0</v>
      </c>
      <c r="M34" s="50">
        <f>IF(H_Dec[[#This Row],[PNP Fin]]=0,0,IF(H_Dec[[#This Row],[PNP Fin]]&lt;H_Dec[[#This Row],[début]],1,0)+H_Dec[[#This Row],[PNP Fin]])</f>
        <v>0</v>
      </c>
      <c r="N34" s="50">
        <f>IF(H_Dec[[#This Row],[Fin]]&lt;H_Dec[[#This Row],[début]],1,0)+H_Dec[[#This Row],[Fin]]</f>
        <v>0</v>
      </c>
      <c r="O34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4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5" spans="1:20" x14ac:dyDescent="0.3">
      <c r="A35" s="4"/>
      <c r="B35" s="1"/>
      <c r="C35" s="2"/>
      <c r="D35" s="2"/>
      <c r="E35" s="3"/>
      <c r="F35" s="3"/>
      <c r="G35" s="3"/>
      <c r="H35" s="3"/>
      <c r="I35" s="47">
        <f>0.1*(H_Dec[[#This Row],[Heures de nuit]]+IF(H_Dec[[#This Row],[majoration dim &amp; JF]]="non",0,H_Dec[[#This Row],[heures jour dimanche]]+H_Dec[[#This Row],[heures jour fériés]]))</f>
        <v>0</v>
      </c>
      <c r="J35" s="48">
        <f>(MOD(H_Dec[[#This Row],[Fin]]-H_Dec[[#This Row],[début]],1)-MOD(H_Dec[[#This Row],[PNP Fin]]-H_Dec[[#This Row],[PNP Début]],1))*24</f>
        <v>0</v>
      </c>
      <c r="K35" s="96" t="str">
        <f>IFERROR(VLOOKUP(H_Dec[[#This Row],[Service]],Codes[],4,0),"")</f>
        <v/>
      </c>
      <c r="L35" s="49">
        <f>IF(H_Dec[[#This Row],[PNP Début]]=0,0,IF(H_Dec[[#This Row],[PNP Début]]&lt;H_Dec[[#This Row],[début]],1,0)+H_Dec[[#This Row],[PNP Début]])</f>
        <v>0</v>
      </c>
      <c r="M35" s="50">
        <f>IF(H_Dec[[#This Row],[PNP Fin]]=0,0,IF(H_Dec[[#This Row],[PNP Fin]]&lt;H_Dec[[#This Row],[début]],1,0)+H_Dec[[#This Row],[PNP Fin]])</f>
        <v>0</v>
      </c>
      <c r="N35" s="50">
        <f>IF(H_Dec[[#This Row],[Fin]]&lt;H_Dec[[#This Row],[début]],1,0)+H_Dec[[#This Row],[Fin]]</f>
        <v>0</v>
      </c>
      <c r="O35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5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6" spans="1:20" x14ac:dyDescent="0.3">
      <c r="A36" s="4"/>
      <c r="B36" s="1"/>
      <c r="C36" s="2"/>
      <c r="D36" s="2"/>
      <c r="E36" s="3"/>
      <c r="F36" s="3"/>
      <c r="G36" s="3"/>
      <c r="H36" s="3"/>
      <c r="I36" s="47">
        <f>0.1*(H_Dec[[#This Row],[Heures de nuit]]+IF(H_Dec[[#This Row],[majoration dim &amp; JF]]="non",0,H_Dec[[#This Row],[heures jour dimanche]]+H_Dec[[#This Row],[heures jour fériés]]))</f>
        <v>0</v>
      </c>
      <c r="J36" s="48">
        <f>(MOD(H_Dec[[#This Row],[Fin]]-H_Dec[[#This Row],[début]],1)-MOD(H_Dec[[#This Row],[PNP Fin]]-H_Dec[[#This Row],[PNP Début]],1))*24</f>
        <v>0</v>
      </c>
      <c r="K36" s="96" t="str">
        <f>IFERROR(VLOOKUP(H_Dec[[#This Row],[Service]],Codes[],4,0),"")</f>
        <v/>
      </c>
      <c r="L36" s="49">
        <f>IF(H_Dec[[#This Row],[PNP Début]]=0,0,IF(H_Dec[[#This Row],[PNP Début]]&lt;H_Dec[[#This Row],[début]],1,0)+H_Dec[[#This Row],[PNP Début]])</f>
        <v>0</v>
      </c>
      <c r="M36" s="50">
        <f>IF(H_Dec[[#This Row],[PNP Fin]]=0,0,IF(H_Dec[[#This Row],[PNP Fin]]&lt;H_Dec[[#This Row],[début]],1,0)+H_Dec[[#This Row],[PNP Fin]])</f>
        <v>0</v>
      </c>
      <c r="N36" s="50">
        <f>IF(H_Dec[[#This Row],[Fin]]&lt;H_Dec[[#This Row],[début]],1,0)+H_Dec[[#This Row],[Fin]]</f>
        <v>0</v>
      </c>
      <c r="O36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6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7" spans="1:20" x14ac:dyDescent="0.3">
      <c r="A37" s="4"/>
      <c r="B37" s="1"/>
      <c r="C37" s="2"/>
      <c r="D37" s="2"/>
      <c r="E37" s="3"/>
      <c r="F37" s="3"/>
      <c r="G37" s="3"/>
      <c r="H37" s="3"/>
      <c r="I37" s="47">
        <f>0.1*(H_Dec[[#This Row],[Heures de nuit]]+IF(H_Dec[[#This Row],[majoration dim &amp; JF]]="non",0,H_Dec[[#This Row],[heures jour dimanche]]+H_Dec[[#This Row],[heures jour fériés]]))</f>
        <v>0</v>
      </c>
      <c r="J37" s="48">
        <f>(MOD(H_Dec[[#This Row],[Fin]]-H_Dec[[#This Row],[début]],1)-MOD(H_Dec[[#This Row],[PNP Fin]]-H_Dec[[#This Row],[PNP Début]],1))*24</f>
        <v>0</v>
      </c>
      <c r="K37" s="96" t="str">
        <f>IFERROR(VLOOKUP(H_Dec[[#This Row],[Service]],Codes[],4,0),"")</f>
        <v/>
      </c>
      <c r="L37" s="49">
        <f>IF(H_Dec[[#This Row],[PNP Début]]=0,0,IF(H_Dec[[#This Row],[PNP Début]]&lt;H_Dec[[#This Row],[début]],1,0)+H_Dec[[#This Row],[PNP Début]])</f>
        <v>0</v>
      </c>
      <c r="M37" s="50">
        <f>IF(H_Dec[[#This Row],[PNP Fin]]=0,0,IF(H_Dec[[#This Row],[PNP Fin]]&lt;H_Dec[[#This Row],[début]],1,0)+H_Dec[[#This Row],[PNP Fin]])</f>
        <v>0</v>
      </c>
      <c r="N37" s="50">
        <f>IF(H_Dec[[#This Row],[Fin]]&lt;H_Dec[[#This Row],[début]],1,0)+H_Dec[[#This Row],[Fin]]</f>
        <v>0</v>
      </c>
      <c r="O37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7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8" spans="1:20" x14ac:dyDescent="0.3">
      <c r="A38" s="4"/>
      <c r="B38" s="1"/>
      <c r="C38" s="2"/>
      <c r="D38" s="2"/>
      <c r="E38" s="3"/>
      <c r="F38" s="3"/>
      <c r="G38" s="3"/>
      <c r="H38" s="3"/>
      <c r="I38" s="47">
        <f>0.1*(H_Dec[[#This Row],[Heures de nuit]]+IF(H_Dec[[#This Row],[majoration dim &amp; JF]]="non",0,H_Dec[[#This Row],[heures jour dimanche]]+H_Dec[[#This Row],[heures jour fériés]]))</f>
        <v>0</v>
      </c>
      <c r="J38" s="48">
        <f>(MOD(H_Dec[[#This Row],[Fin]]-H_Dec[[#This Row],[début]],1)-MOD(H_Dec[[#This Row],[PNP Fin]]-H_Dec[[#This Row],[PNP Début]],1))*24</f>
        <v>0</v>
      </c>
      <c r="K38" s="96" t="str">
        <f>IFERROR(VLOOKUP(H_Dec[[#This Row],[Service]],Codes[],4,0),"")</f>
        <v/>
      </c>
      <c r="L38" s="49">
        <f>IF(H_Dec[[#This Row],[PNP Début]]=0,0,IF(H_Dec[[#This Row],[PNP Début]]&lt;H_Dec[[#This Row],[début]],1,0)+H_Dec[[#This Row],[PNP Début]])</f>
        <v>0</v>
      </c>
      <c r="M38" s="50">
        <f>IF(H_Dec[[#This Row],[PNP Fin]]=0,0,IF(H_Dec[[#This Row],[PNP Fin]]&lt;H_Dec[[#This Row],[début]],1,0)+H_Dec[[#This Row],[PNP Fin]])</f>
        <v>0</v>
      </c>
      <c r="N38" s="50">
        <f>IF(H_Dec[[#This Row],[Fin]]&lt;H_Dec[[#This Row],[début]],1,0)+H_Dec[[#This Row],[Fin]]</f>
        <v>0</v>
      </c>
      <c r="O38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8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39" spans="1:20" x14ac:dyDescent="0.3">
      <c r="A39" s="4"/>
      <c r="B39" s="1"/>
      <c r="C39" s="2"/>
      <c r="D39" s="2"/>
      <c r="E39" s="3"/>
      <c r="F39" s="3"/>
      <c r="G39" s="3"/>
      <c r="H39" s="3"/>
      <c r="I39" s="47">
        <f>0.1*(H_Dec[[#This Row],[Heures de nuit]]+IF(H_Dec[[#This Row],[majoration dim &amp; JF]]="non",0,H_Dec[[#This Row],[heures jour dimanche]]+H_Dec[[#This Row],[heures jour fériés]]))</f>
        <v>0</v>
      </c>
      <c r="J39" s="48">
        <f>(MOD(H_Dec[[#This Row],[Fin]]-H_Dec[[#This Row],[début]],1)-MOD(H_Dec[[#This Row],[PNP Fin]]-H_Dec[[#This Row],[PNP Début]],1))*24</f>
        <v>0</v>
      </c>
      <c r="K39" s="96" t="str">
        <f>IFERROR(VLOOKUP(H_Dec[[#This Row],[Service]],Codes[],4,0),"")</f>
        <v/>
      </c>
      <c r="L39" s="49">
        <f>IF(H_Dec[[#This Row],[PNP Début]]=0,0,IF(H_Dec[[#This Row],[PNP Début]]&lt;H_Dec[[#This Row],[début]],1,0)+H_Dec[[#This Row],[PNP Début]])</f>
        <v>0</v>
      </c>
      <c r="M39" s="50">
        <f>IF(H_Dec[[#This Row],[PNP Fin]]=0,0,IF(H_Dec[[#This Row],[PNP Fin]]&lt;H_Dec[[#This Row],[début]],1,0)+H_Dec[[#This Row],[PNP Fin]])</f>
        <v>0</v>
      </c>
      <c r="N39" s="50">
        <f>IF(H_Dec[[#This Row],[Fin]]&lt;H_Dec[[#This Row],[début]],1,0)+H_Dec[[#This Row],[Fin]]</f>
        <v>0</v>
      </c>
      <c r="O39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39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3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3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3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3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0" spans="1:20" x14ac:dyDescent="0.3">
      <c r="A40" s="4"/>
      <c r="B40" s="1"/>
      <c r="C40" s="2"/>
      <c r="D40" s="2"/>
      <c r="E40" s="3"/>
      <c r="F40" s="3"/>
      <c r="G40" s="3"/>
      <c r="H40" s="3"/>
      <c r="I40" s="47">
        <f>0.1*(H_Dec[[#This Row],[Heures de nuit]]+IF(H_Dec[[#This Row],[majoration dim &amp; JF]]="non",0,H_Dec[[#This Row],[heures jour dimanche]]+H_Dec[[#This Row],[heures jour fériés]]))</f>
        <v>0</v>
      </c>
      <c r="J40" s="48">
        <f>(MOD(H_Dec[[#This Row],[Fin]]-H_Dec[[#This Row],[début]],1)-MOD(H_Dec[[#This Row],[PNP Fin]]-H_Dec[[#This Row],[PNP Début]],1))*24</f>
        <v>0</v>
      </c>
      <c r="K40" s="96" t="str">
        <f>IFERROR(VLOOKUP(H_Dec[[#This Row],[Service]],Codes[],4,0),"")</f>
        <v/>
      </c>
      <c r="L40" s="49">
        <f>IF(H_Dec[[#This Row],[PNP Début]]=0,0,IF(H_Dec[[#This Row],[PNP Début]]&lt;H_Dec[[#This Row],[début]],1,0)+H_Dec[[#This Row],[PNP Début]])</f>
        <v>0</v>
      </c>
      <c r="M40" s="50">
        <f>IF(H_Dec[[#This Row],[PNP Fin]]=0,0,IF(H_Dec[[#This Row],[PNP Fin]]&lt;H_Dec[[#This Row],[début]],1,0)+H_Dec[[#This Row],[PNP Fin]])</f>
        <v>0</v>
      </c>
      <c r="N40" s="50">
        <f>IF(H_Dec[[#This Row],[Fin]]&lt;H_Dec[[#This Row],[début]],1,0)+H_Dec[[#This Row],[Fin]]</f>
        <v>0</v>
      </c>
      <c r="O40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0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0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0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0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0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1" spans="1:20" x14ac:dyDescent="0.3">
      <c r="A41" s="4"/>
      <c r="B41" s="1"/>
      <c r="C41" s="2"/>
      <c r="D41" s="2"/>
      <c r="E41" s="3"/>
      <c r="F41" s="3"/>
      <c r="G41" s="3"/>
      <c r="H41" s="3"/>
      <c r="I41" s="47">
        <f>0.1*(H_Dec[[#This Row],[Heures de nuit]]+IF(H_Dec[[#This Row],[majoration dim &amp; JF]]="non",0,H_Dec[[#This Row],[heures jour dimanche]]+H_Dec[[#This Row],[heures jour fériés]]))</f>
        <v>0</v>
      </c>
      <c r="J41" s="48">
        <f>(MOD(H_Dec[[#This Row],[Fin]]-H_Dec[[#This Row],[début]],1)-MOD(H_Dec[[#This Row],[PNP Fin]]-H_Dec[[#This Row],[PNP Début]],1))*24</f>
        <v>0</v>
      </c>
      <c r="K41" s="96" t="str">
        <f>IFERROR(VLOOKUP(H_Dec[[#This Row],[Service]],Codes[],4,0),"")</f>
        <v/>
      </c>
      <c r="L41" s="49">
        <f>IF(H_Dec[[#This Row],[PNP Début]]=0,0,IF(H_Dec[[#This Row],[PNP Début]]&lt;H_Dec[[#This Row],[début]],1,0)+H_Dec[[#This Row],[PNP Début]])</f>
        <v>0</v>
      </c>
      <c r="M41" s="50">
        <f>IF(H_Dec[[#This Row],[PNP Fin]]=0,0,IF(H_Dec[[#This Row],[PNP Fin]]&lt;H_Dec[[#This Row],[début]],1,0)+H_Dec[[#This Row],[PNP Fin]])</f>
        <v>0</v>
      </c>
      <c r="N41" s="50">
        <f>IF(H_Dec[[#This Row],[Fin]]&lt;H_Dec[[#This Row],[début]],1,0)+H_Dec[[#This Row],[Fin]]</f>
        <v>0</v>
      </c>
      <c r="O41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1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1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1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1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1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2" spans="1:20" x14ac:dyDescent="0.3">
      <c r="A42" s="4"/>
      <c r="B42" s="1"/>
      <c r="C42" s="2"/>
      <c r="D42" s="2"/>
      <c r="E42" s="3"/>
      <c r="F42" s="3"/>
      <c r="G42" s="3"/>
      <c r="H42" s="3"/>
      <c r="I42" s="47">
        <f>0.1*(H_Dec[[#This Row],[Heures de nuit]]+IF(H_Dec[[#This Row],[majoration dim &amp; JF]]="non",0,H_Dec[[#This Row],[heures jour dimanche]]+H_Dec[[#This Row],[heures jour fériés]]))</f>
        <v>0</v>
      </c>
      <c r="J42" s="48">
        <f>(MOD(H_Dec[[#This Row],[Fin]]-H_Dec[[#This Row],[début]],1)-MOD(H_Dec[[#This Row],[PNP Fin]]-H_Dec[[#This Row],[PNP Début]],1))*24</f>
        <v>0</v>
      </c>
      <c r="K42" s="96" t="str">
        <f>IFERROR(VLOOKUP(H_Dec[[#This Row],[Service]],Codes[],4,0),"")</f>
        <v/>
      </c>
      <c r="L42" s="49">
        <f>IF(H_Dec[[#This Row],[PNP Début]]=0,0,IF(H_Dec[[#This Row],[PNP Début]]&lt;H_Dec[[#This Row],[début]],1,0)+H_Dec[[#This Row],[PNP Début]])</f>
        <v>0</v>
      </c>
      <c r="M42" s="50">
        <f>IF(H_Dec[[#This Row],[PNP Fin]]=0,0,IF(H_Dec[[#This Row],[PNP Fin]]&lt;H_Dec[[#This Row],[début]],1,0)+H_Dec[[#This Row],[PNP Fin]])</f>
        <v>0</v>
      </c>
      <c r="N42" s="50">
        <f>IF(H_Dec[[#This Row],[Fin]]&lt;H_Dec[[#This Row],[début]],1,0)+H_Dec[[#This Row],[Fin]]</f>
        <v>0</v>
      </c>
      <c r="O42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2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2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2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3" spans="1:20" x14ac:dyDescent="0.3">
      <c r="A43" s="4"/>
      <c r="B43" s="1"/>
      <c r="C43" s="2"/>
      <c r="D43" s="2"/>
      <c r="E43" s="3"/>
      <c r="F43" s="3"/>
      <c r="G43" s="3"/>
      <c r="H43" s="3"/>
      <c r="I43" s="47">
        <f>0.1*(H_Dec[[#This Row],[Heures de nuit]]+IF(H_Dec[[#This Row],[majoration dim &amp; JF]]="non",0,H_Dec[[#This Row],[heures jour dimanche]]+H_Dec[[#This Row],[heures jour fériés]]))</f>
        <v>0</v>
      </c>
      <c r="J43" s="48">
        <f>(MOD(H_Dec[[#This Row],[Fin]]-H_Dec[[#This Row],[début]],1)-MOD(H_Dec[[#This Row],[PNP Fin]]-H_Dec[[#This Row],[PNP Début]],1))*24</f>
        <v>0</v>
      </c>
      <c r="K43" s="96" t="str">
        <f>IFERROR(VLOOKUP(H_Dec[[#This Row],[Service]],Codes[],4,0),"")</f>
        <v/>
      </c>
      <c r="L43" s="49">
        <f>IF(H_Dec[[#This Row],[PNP Début]]=0,0,IF(H_Dec[[#This Row],[PNP Début]]&lt;H_Dec[[#This Row],[début]],1,0)+H_Dec[[#This Row],[PNP Début]])</f>
        <v>0</v>
      </c>
      <c r="M43" s="50">
        <f>IF(H_Dec[[#This Row],[PNP Fin]]=0,0,IF(H_Dec[[#This Row],[PNP Fin]]&lt;H_Dec[[#This Row],[début]],1,0)+H_Dec[[#This Row],[PNP Fin]])</f>
        <v>0</v>
      </c>
      <c r="N43" s="50">
        <f>IF(H_Dec[[#This Row],[Fin]]&lt;H_Dec[[#This Row],[début]],1,0)+H_Dec[[#This Row],[Fin]]</f>
        <v>0</v>
      </c>
      <c r="O43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3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3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3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4" spans="1:20" x14ac:dyDescent="0.3">
      <c r="A44" s="4"/>
      <c r="B44" s="1"/>
      <c r="C44" s="2"/>
      <c r="D44" s="2"/>
      <c r="E44" s="3"/>
      <c r="F44" s="3"/>
      <c r="G44" s="3"/>
      <c r="H44" s="3"/>
      <c r="I44" s="47">
        <f>0.1*(H_Dec[[#This Row],[Heures de nuit]]+IF(H_Dec[[#This Row],[majoration dim &amp; JF]]="non",0,H_Dec[[#This Row],[heures jour dimanche]]+H_Dec[[#This Row],[heures jour fériés]]))</f>
        <v>0</v>
      </c>
      <c r="J44" s="48">
        <f>(MOD(H_Dec[[#This Row],[Fin]]-H_Dec[[#This Row],[début]],1)-MOD(H_Dec[[#This Row],[PNP Fin]]-H_Dec[[#This Row],[PNP Début]],1))*24</f>
        <v>0</v>
      </c>
      <c r="K44" s="96" t="str">
        <f>IFERROR(VLOOKUP(H_Dec[[#This Row],[Service]],Codes[],4,0),"")</f>
        <v/>
      </c>
      <c r="L44" s="49">
        <f>IF(H_Dec[[#This Row],[PNP Début]]=0,0,IF(H_Dec[[#This Row],[PNP Début]]&lt;H_Dec[[#This Row],[début]],1,0)+H_Dec[[#This Row],[PNP Début]])</f>
        <v>0</v>
      </c>
      <c r="M44" s="50">
        <f>IF(H_Dec[[#This Row],[PNP Fin]]=0,0,IF(H_Dec[[#This Row],[PNP Fin]]&lt;H_Dec[[#This Row],[début]],1,0)+H_Dec[[#This Row],[PNP Fin]])</f>
        <v>0</v>
      </c>
      <c r="N44" s="50">
        <f>IF(H_Dec[[#This Row],[Fin]]&lt;H_Dec[[#This Row],[début]],1,0)+H_Dec[[#This Row],[Fin]]</f>
        <v>0</v>
      </c>
      <c r="O44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4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4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4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5" spans="1:20" x14ac:dyDescent="0.3">
      <c r="A45" s="4"/>
      <c r="B45" s="1"/>
      <c r="C45" s="2"/>
      <c r="D45" s="2"/>
      <c r="E45" s="3"/>
      <c r="F45" s="3"/>
      <c r="G45" s="3"/>
      <c r="H45" s="3"/>
      <c r="I45" s="47">
        <f>0.1*(H_Dec[[#This Row],[Heures de nuit]]+IF(H_Dec[[#This Row],[majoration dim &amp; JF]]="non",0,H_Dec[[#This Row],[heures jour dimanche]]+H_Dec[[#This Row],[heures jour fériés]]))</f>
        <v>0</v>
      </c>
      <c r="J45" s="48">
        <f>(MOD(H_Dec[[#This Row],[Fin]]-H_Dec[[#This Row],[début]],1)-MOD(H_Dec[[#This Row],[PNP Fin]]-H_Dec[[#This Row],[PNP Début]],1))*24</f>
        <v>0</v>
      </c>
      <c r="K45" s="96" t="str">
        <f>IFERROR(VLOOKUP(H_Dec[[#This Row],[Service]],Codes[],4,0),"")</f>
        <v/>
      </c>
      <c r="L45" s="49">
        <f>IF(H_Dec[[#This Row],[PNP Début]]=0,0,IF(H_Dec[[#This Row],[PNP Début]]&lt;H_Dec[[#This Row],[début]],1,0)+H_Dec[[#This Row],[PNP Début]])</f>
        <v>0</v>
      </c>
      <c r="M45" s="50">
        <f>IF(H_Dec[[#This Row],[PNP Fin]]=0,0,IF(H_Dec[[#This Row],[PNP Fin]]&lt;H_Dec[[#This Row],[début]],1,0)+H_Dec[[#This Row],[PNP Fin]])</f>
        <v>0</v>
      </c>
      <c r="N45" s="50">
        <f>IF(H_Dec[[#This Row],[Fin]]&lt;H_Dec[[#This Row],[début]],1,0)+H_Dec[[#This Row],[Fin]]</f>
        <v>0</v>
      </c>
      <c r="O45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5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5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5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6" spans="1:20" x14ac:dyDescent="0.3">
      <c r="A46" s="4"/>
      <c r="B46" s="1"/>
      <c r="C46" s="2"/>
      <c r="D46" s="2"/>
      <c r="E46" s="3"/>
      <c r="F46" s="3"/>
      <c r="G46" s="3"/>
      <c r="H46" s="3"/>
      <c r="I46" s="47">
        <f>0.1*(H_Dec[[#This Row],[Heures de nuit]]+IF(H_Dec[[#This Row],[majoration dim &amp; JF]]="non",0,H_Dec[[#This Row],[heures jour dimanche]]+H_Dec[[#This Row],[heures jour fériés]]))</f>
        <v>0</v>
      </c>
      <c r="J46" s="48">
        <f>(MOD(H_Dec[[#This Row],[Fin]]-H_Dec[[#This Row],[début]],1)-MOD(H_Dec[[#This Row],[PNP Fin]]-H_Dec[[#This Row],[PNP Début]],1))*24</f>
        <v>0</v>
      </c>
      <c r="K46" s="96" t="str">
        <f>IFERROR(VLOOKUP(H_Dec[[#This Row],[Service]],Codes[],4,0),"")</f>
        <v/>
      </c>
      <c r="L46" s="49">
        <f>IF(H_Dec[[#This Row],[PNP Début]]=0,0,IF(H_Dec[[#This Row],[PNP Début]]&lt;H_Dec[[#This Row],[début]],1,0)+H_Dec[[#This Row],[PNP Début]])</f>
        <v>0</v>
      </c>
      <c r="M46" s="50">
        <f>IF(H_Dec[[#This Row],[PNP Fin]]=0,0,IF(H_Dec[[#This Row],[PNP Fin]]&lt;H_Dec[[#This Row],[début]],1,0)+H_Dec[[#This Row],[PNP Fin]])</f>
        <v>0</v>
      </c>
      <c r="N46" s="50">
        <f>IF(H_Dec[[#This Row],[Fin]]&lt;H_Dec[[#This Row],[début]],1,0)+H_Dec[[#This Row],[Fin]]</f>
        <v>0</v>
      </c>
      <c r="O46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6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6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6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7" spans="1:20" x14ac:dyDescent="0.3">
      <c r="A47" s="4"/>
      <c r="B47" s="1"/>
      <c r="C47" s="2"/>
      <c r="D47" s="2"/>
      <c r="E47" s="3"/>
      <c r="F47" s="3"/>
      <c r="G47" s="3"/>
      <c r="H47" s="3"/>
      <c r="I47" s="47">
        <f>0.1*(H_Dec[[#This Row],[Heures de nuit]]+IF(H_Dec[[#This Row],[majoration dim &amp; JF]]="non",0,H_Dec[[#This Row],[heures jour dimanche]]+H_Dec[[#This Row],[heures jour fériés]]))</f>
        <v>0</v>
      </c>
      <c r="J47" s="48">
        <f>(MOD(H_Dec[[#This Row],[Fin]]-H_Dec[[#This Row],[début]],1)-MOD(H_Dec[[#This Row],[PNP Fin]]-H_Dec[[#This Row],[PNP Début]],1))*24</f>
        <v>0</v>
      </c>
      <c r="K47" s="96" t="str">
        <f>IFERROR(VLOOKUP(H_Dec[[#This Row],[Service]],Codes[],4,0),"")</f>
        <v/>
      </c>
      <c r="L47" s="49">
        <f>IF(H_Dec[[#This Row],[PNP Début]]=0,0,IF(H_Dec[[#This Row],[PNP Début]]&lt;H_Dec[[#This Row],[début]],1,0)+H_Dec[[#This Row],[PNP Début]])</f>
        <v>0</v>
      </c>
      <c r="M47" s="50">
        <f>IF(H_Dec[[#This Row],[PNP Fin]]=0,0,IF(H_Dec[[#This Row],[PNP Fin]]&lt;H_Dec[[#This Row],[début]],1,0)+H_Dec[[#This Row],[PNP Fin]])</f>
        <v>0</v>
      </c>
      <c r="N47" s="50">
        <f>IF(H_Dec[[#This Row],[Fin]]&lt;H_Dec[[#This Row],[début]],1,0)+H_Dec[[#This Row],[Fin]]</f>
        <v>0</v>
      </c>
      <c r="O47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7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7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7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8" spans="1:20" x14ac:dyDescent="0.3">
      <c r="A48" s="4"/>
      <c r="B48" s="1"/>
      <c r="C48" s="2"/>
      <c r="D48" s="2"/>
      <c r="E48" s="3"/>
      <c r="F48" s="3"/>
      <c r="G48" s="3"/>
      <c r="H48" s="3"/>
      <c r="I48" s="47">
        <f>0.1*(H_Dec[[#This Row],[Heures de nuit]]+IF(H_Dec[[#This Row],[majoration dim &amp; JF]]="non",0,H_Dec[[#This Row],[heures jour dimanche]]+H_Dec[[#This Row],[heures jour fériés]]))</f>
        <v>0</v>
      </c>
      <c r="J48" s="48">
        <f>(MOD(H_Dec[[#This Row],[Fin]]-H_Dec[[#This Row],[début]],1)-MOD(H_Dec[[#This Row],[PNP Fin]]-H_Dec[[#This Row],[PNP Début]],1))*24</f>
        <v>0</v>
      </c>
      <c r="K48" s="96" t="str">
        <f>IFERROR(VLOOKUP(H_Dec[[#This Row],[Service]],Codes[],4,0),"")</f>
        <v/>
      </c>
      <c r="L48" s="49">
        <f>IF(H_Dec[[#This Row],[PNP Début]]=0,0,IF(H_Dec[[#This Row],[PNP Début]]&lt;H_Dec[[#This Row],[début]],1,0)+H_Dec[[#This Row],[PNP Début]])</f>
        <v>0</v>
      </c>
      <c r="M48" s="50">
        <f>IF(H_Dec[[#This Row],[PNP Fin]]=0,0,IF(H_Dec[[#This Row],[PNP Fin]]&lt;H_Dec[[#This Row],[début]],1,0)+H_Dec[[#This Row],[PNP Fin]])</f>
        <v>0</v>
      </c>
      <c r="N48" s="50">
        <f>IF(H_Dec[[#This Row],[Fin]]&lt;H_Dec[[#This Row],[début]],1,0)+H_Dec[[#This Row],[Fin]]</f>
        <v>0</v>
      </c>
      <c r="O48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8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8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8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49" spans="1:20" ht="15" thickBot="1" x14ac:dyDescent="0.35">
      <c r="A49" s="4"/>
      <c r="B49" s="1"/>
      <c r="C49" s="2"/>
      <c r="D49" s="2"/>
      <c r="E49" s="3"/>
      <c r="F49" s="3"/>
      <c r="G49" s="3"/>
      <c r="H49" s="3"/>
      <c r="I49" s="47">
        <f>0.1*(H_Dec[[#This Row],[Heures de nuit]]+IF(H_Dec[[#This Row],[majoration dim &amp; JF]]="non",0,H_Dec[[#This Row],[heures jour dimanche]]+H_Dec[[#This Row],[heures jour fériés]]))</f>
        <v>0</v>
      </c>
      <c r="J49" s="48">
        <f>(MOD(H_Dec[[#This Row],[Fin]]-H_Dec[[#This Row],[début]],1)-MOD(H_Dec[[#This Row],[PNP Fin]]-H_Dec[[#This Row],[PNP Début]],1))*24</f>
        <v>0</v>
      </c>
      <c r="K49" s="96" t="str">
        <f>IFERROR(VLOOKUP(H_Dec[[#This Row],[Service]],Codes[],4,0),"")</f>
        <v/>
      </c>
      <c r="L49" s="49">
        <f>IF(H_Dec[[#This Row],[PNP Début]]=0,0,IF(H_Dec[[#This Row],[PNP Début]]&lt;H_Dec[[#This Row],[début]],1,0)+H_Dec[[#This Row],[PNP Début]])</f>
        <v>0</v>
      </c>
      <c r="M49" s="50">
        <f>IF(H_Dec[[#This Row],[PNP Fin]]=0,0,IF(H_Dec[[#This Row],[PNP Fin]]&lt;H_Dec[[#This Row],[début]],1,0)+H_Dec[[#This Row],[PNP Fin]])</f>
        <v>0</v>
      </c>
      <c r="N49" s="50">
        <f>IF(H_Dec[[#This Row],[Fin]]&lt;H_Dec[[#This Row],[début]],1,0)+H_Dec[[#This Row],[Fin]]</f>
        <v>0</v>
      </c>
      <c r="O49" s="31">
        <f>IF(H_Dec[[#This Row],[Fin]]&lt;H_Dec[[#This Row],[début]],MAX(0,MIN(H_Dec[[#This Row],[Fin corrigée si nuit]],fin_nuit)-MAX(H_Dec[[#This Row],[début]],deb_nuit))*24,(MAX(deb_nuit,H_Dec[[#This Row],[Fin]])-MAX(deb_nuit,H_Dec[[#This Row],[début]])+MAX(MIN(fin_nuit-1,H_Dec[[#This Row],[Fin]])-MIN(fin_nuit-1,H_Dec[[#This Row],[début]]),0))*24)</f>
        <v>0</v>
      </c>
      <c r="P49" s="51">
        <f>(MAX(0,MIN(H_Dec[[#This Row],[Fin corrigée si nuit]],fin_nuit)-MAX(H_Dec[[#This Row],[début]],deb_nuit))-IF(H_Dec[[#This Row],[PNP Début]]=0,0,MIN(H_Dec[[#This Row],[PNP Fin corrigée]],fin_nuit)-MAX(H_Dec[[#This Row],[PNP Début corrigé]],deb_nuit)))*24</f>
        <v>0</v>
      </c>
      <c r="Q4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</f>
        <v>0</v>
      </c>
      <c r="R49" s="51">
        <f>(IF(WEEKDAY(H_Dec[[#This Row],[Date]],2)=7,MAX(0,MIN(fin_dimJF,H_Dec[[#This Row],[Fin corrigée si nuit]])-MAX(deb_dimJF,H_Dec[[#This Row],[début]])),0)+IF(WEEKDAY(H_Dec[[#This Row],[Date]],2)=6,MAX(0,H_Dec[[#This Row],[Fin corrigée si nuit]]-(1+deb_dimJF)),0))*24-
(IF(WEEKDAY(H_Dec[[#This Row],[Date]],2)=7,MAX(0,MIN(fin_dimJF,H_Dec[[#This Row],[PNP Fin corrigée]])-MAX(deb_dimJF,H_Dec[[#This Row],[PNP Début corrigé]])),0)+IF(WEEKDAY(H_Dec[[#This Row],[Date]],2)=6,MAX(0,H_Dec[[#This Row],[PNP Fin corrigée]]-(1+deb_dimJF)),0))*24</f>
        <v>0</v>
      </c>
      <c r="S4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</f>
        <v>0</v>
      </c>
      <c r="T49" s="51">
        <f>(IF(COUNTIF(JF,H_Dec[[#This Row],[Date]]),MAX(0,MIN(fin_dimJF,H_Dec[[#This Row],[Fin corrigée si nuit]])-MAX(deb_dimJF,H_Dec[[#This Row],[début]])),0)+IF(COUNTIF(JF,H_Dec[[#This Row],[Date]]+1),MAX(0,H_Dec[[#This Row],[Fin corrigée si nuit]]-(1+deb_dimJF)),0))*24-
(IF(COUNTIF(JF,H_Dec[[#This Row],[Date]]),MAX(0,MIN(fin_dimJF,H_Dec[[#This Row],[PNP Fin corrigée]])-MAX(deb_dimJF,H_Dec[[#This Row],[PNP Début corrigé]])),0)+IF(COUNTIF(JF,H_Dec[[#This Row],[Date]]+1),MAX(0,H_Dec[[#This Row],[PNP Fin corrigée]]-(1+deb_dimJF)),0))*24</f>
        <v>0</v>
      </c>
    </row>
    <row r="50" spans="1:20" ht="16.2" thickBot="1" x14ac:dyDescent="0.35">
      <c r="A50" s="52"/>
      <c r="B50" s="15"/>
      <c r="C50" s="15"/>
      <c r="D50" s="15"/>
      <c r="E50" s="200" t="s">
        <v>28</v>
      </c>
      <c r="F50" s="201"/>
      <c r="G50" s="201"/>
      <c r="H50" s="202"/>
      <c r="I50" s="53">
        <f>SUM(H_Dec[Majoration])</f>
        <v>0</v>
      </c>
      <c r="J50" s="54">
        <f>SUM(H_Dec[Heures totales payées])</f>
        <v>0</v>
      </c>
      <c r="K50" s="98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17.399999999999999" customHeight="1" x14ac:dyDescent="0.3">
      <c r="A51" s="203" t="s">
        <v>29</v>
      </c>
      <c r="B51" s="203"/>
      <c r="C51" s="203"/>
      <c r="D51" s="203"/>
      <c r="E51" s="15"/>
      <c r="F51" s="15"/>
      <c r="G51" s="204" t="s">
        <v>30</v>
      </c>
      <c r="H51" s="204"/>
      <c r="I51" s="204"/>
      <c r="J51" s="204"/>
      <c r="K51" s="94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">
      <c r="A52" s="214"/>
      <c r="B52" s="215"/>
      <c r="C52" s="215"/>
      <c r="D52" s="224"/>
      <c r="E52" s="52"/>
      <c r="F52" s="15"/>
      <c r="G52" s="214"/>
      <c r="H52" s="215"/>
      <c r="I52" s="215"/>
      <c r="J52" s="215"/>
      <c r="K52" s="81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">
      <c r="A53" s="216"/>
      <c r="B53" s="217"/>
      <c r="C53" s="217"/>
      <c r="D53" s="225"/>
      <c r="E53" s="15"/>
      <c r="F53" s="15"/>
      <c r="G53" s="216"/>
      <c r="H53" s="217"/>
      <c r="I53" s="217"/>
      <c r="J53" s="217"/>
      <c r="K53" s="81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7.8" customHeight="1" x14ac:dyDescent="0.3">
      <c r="A54" s="218"/>
      <c r="B54" s="219"/>
      <c r="C54" s="219"/>
      <c r="D54" s="226"/>
      <c r="E54" s="52"/>
      <c r="F54" s="15"/>
      <c r="G54" s="218"/>
      <c r="H54" s="219"/>
      <c r="I54" s="219"/>
      <c r="J54" s="219"/>
      <c r="K54" s="81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">
      <c r="A55" s="52"/>
      <c r="B55" s="15"/>
      <c r="C55" s="15"/>
      <c r="D55" s="15"/>
      <c r="E55" s="15"/>
      <c r="F55" s="15"/>
      <c r="G55" s="15"/>
      <c r="H55" s="15"/>
      <c r="I55" s="15"/>
      <c r="J55" s="57"/>
      <c r="K55" s="81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6"/>
      <c r="K56" s="16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6"/>
      <c r="K57" s="16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6"/>
      <c r="K58" s="16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6"/>
      <c r="K60" s="16"/>
      <c r="L60" s="15"/>
      <c r="M60" s="15"/>
      <c r="N60" s="15"/>
      <c r="O60" s="15"/>
      <c r="P60" s="15"/>
      <c r="Q60" s="15"/>
      <c r="R60" s="15"/>
      <c r="S60" s="15"/>
      <c r="T60" s="15"/>
    </row>
  </sheetData>
  <sheetProtection selectLockedCells="1"/>
  <mergeCells count="19">
    <mergeCell ref="E50:H50"/>
    <mergeCell ref="A51:D51"/>
    <mergeCell ref="G51:J51"/>
    <mergeCell ref="A52:D54"/>
    <mergeCell ref="G52:J54"/>
    <mergeCell ref="A1:B2"/>
    <mergeCell ref="A3:J4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</mergeCells>
  <conditionalFormatting sqref="C13:D49">
    <cfRule type="expression" dxfId="25" priority="1">
      <formula>$K13="non"</formula>
    </cfRule>
  </conditionalFormatting>
  <dataValidations count="3">
    <dataValidation allowBlank="1" showInputMessage="1" showErrorMessage="1" error="Tapez les heures sous le format_x000a_00:00" sqref="L12:O49" xr:uid="{00000000-0002-0000-0E00-000000000000}"/>
    <dataValidation type="time" allowBlank="1" showInputMessage="1" showErrorMessage="1" error="Tapez les heures sous le format_x000a_00:00" sqref="C13:H49" xr:uid="{00000000-0002-0000-0E00-000001000000}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K5" xr:uid="{00000000-0002-0000-0E00-000002000000}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print="0" autoLine="0" r:id="rId5">
            <anchor moveWithCells="1">
              <from>
                <xdr:col>9</xdr:col>
                <xdr:colOff>487680</xdr:colOff>
                <xdr:row>0</xdr:row>
                <xdr:rowOff>53340</xdr:rowOff>
              </from>
              <to>
                <xdr:col>9</xdr:col>
                <xdr:colOff>1272540</xdr:colOff>
                <xdr:row>3</xdr:row>
                <xdr:rowOff>175260</xdr:rowOff>
              </to>
            </anchor>
          </controlPr>
        </control>
      </mc:Choice>
      <mc:Fallback>
        <control shapeId="1536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Mettre le service avec la bonne orthographe" promptTitle="Services" xr:uid="{00000000-0002-0000-0E00-000003000000}">
          <x14:formula1>
            <xm:f>'JF '!$A$23:$A$91</xm:f>
          </x14:formula1>
          <xm:sqref>B13:B49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20</vt:i4>
      </vt:variant>
    </vt:vector>
  </HeadingPairs>
  <TitlesOfParts>
    <vt:vector size="35" baseType="lpstr">
      <vt:lpstr>TOTAUX ANNUEL </vt:lpstr>
      <vt:lpstr>JF </vt:lpstr>
      <vt:lpstr>parametres </vt:lpstr>
      <vt:lpstr>Janvier 18</vt:lpstr>
      <vt:lpstr>Février 18</vt:lpstr>
      <vt:lpstr>Mars 18</vt:lpstr>
      <vt:lpstr>Avril 18</vt:lpstr>
      <vt:lpstr>Mai 18</vt:lpstr>
      <vt:lpstr>Juin 18</vt:lpstr>
      <vt:lpstr>Juillet 18</vt:lpstr>
      <vt:lpstr>Août 18</vt:lpstr>
      <vt:lpstr>Septembre 18</vt:lpstr>
      <vt:lpstr>Octobre 18</vt:lpstr>
      <vt:lpstr>Novembre 18</vt:lpstr>
      <vt:lpstr>Décembre 18</vt:lpstr>
      <vt:lpstr>deb_dimJF</vt:lpstr>
      <vt:lpstr>deb_nuit</vt:lpstr>
      <vt:lpstr>fin_dimJF</vt:lpstr>
      <vt:lpstr>fin_nuit</vt:lpstr>
      <vt:lpstr>JF</vt:lpstr>
      <vt:lpstr>Maladie</vt:lpstr>
      <vt:lpstr>Services</vt:lpstr>
      <vt:lpstr>Vacances</vt:lpstr>
      <vt:lpstr>'Août 18'!Zone_d_impression</vt:lpstr>
      <vt:lpstr>'Avril 18'!Zone_d_impression</vt:lpstr>
      <vt:lpstr>'Décembre 18'!Zone_d_impression</vt:lpstr>
      <vt:lpstr>'Février 18'!Zone_d_impression</vt:lpstr>
      <vt:lpstr>'Janvier 18'!Zone_d_impression</vt:lpstr>
      <vt:lpstr>'Juillet 18'!Zone_d_impression</vt:lpstr>
      <vt:lpstr>'Juin 18'!Zone_d_impression</vt:lpstr>
      <vt:lpstr>'Mai 18'!Zone_d_impression</vt:lpstr>
      <vt:lpstr>'Mars 18'!Zone_d_impression</vt:lpstr>
      <vt:lpstr>'Novembre 18'!Zone_d_impression</vt:lpstr>
      <vt:lpstr>'Octobre 18'!Zone_d_impression</vt:lpstr>
      <vt:lpstr>'Septembre 18'!Zone_d_impression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philippe CONTE</cp:lastModifiedBy>
  <cp:lastPrinted>2018-04-27T19:36:37Z</cp:lastPrinted>
  <dcterms:created xsi:type="dcterms:W3CDTF">2017-09-02T09:30:55Z</dcterms:created>
  <dcterms:modified xsi:type="dcterms:W3CDTF">2018-05-15T15:11:29Z</dcterms:modified>
</cp:coreProperties>
</file>