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F48A954C-E0E2-49FB-BF6E-C015034B1EF7}" xr6:coauthVersionLast="47" xr6:coauthVersionMax="47" xr10:uidLastSave="{00000000-0000-0000-0000-000000000000}"/>
  <bookViews>
    <workbookView xWindow="-110" yWindow="-110" windowWidth="25820" windowHeight="14020" tabRatio="516" firstSheet="1" activeTab="1" xr2:uid="{00000000-000D-0000-FFFF-FFFF00000000}"/>
  </bookViews>
  <sheets>
    <sheet name="Divid 2021" sheetId="11" r:id="rId1"/>
    <sheet name="Achat" sheetId="6" r:id="rId2"/>
  </sheets>
  <functionGroups builtInGroupCount="19"/>
  <definedNames>
    <definedName name="_xlnm._FilterDatabase" localSheetId="1" hidden="1">Achat!$A$4:$K$8</definedName>
    <definedName name="Cotation">#REF!</definedName>
    <definedName name="REF">#REF!</definedName>
    <definedName name="WWW">#REF!</definedName>
  </definedNames>
  <calcPr calcId="181029"/>
  <extLst>
    <ext xmlns:x15="http://schemas.microsoft.com/office/spreadsheetml/2010/11/main" uri="{FCE2AD5D-F65C-4FA6-A056-5C36A1767C68}">
      <x15:dataModel>
        <x15:modelTables>
          <x15:modelTable id="Document_053915ef-8597-478f-910c-c33e5177da07" name="Document" connection="Requête - Document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6" l="1"/>
  <c r="H23" i="6"/>
  <c r="H14" i="6"/>
  <c r="H17" i="6"/>
  <c r="H18" i="6"/>
  <c r="F13" i="6"/>
  <c r="H15" i="6" s="1"/>
  <c r="AC46" i="11"/>
  <c r="AB18" i="11"/>
  <c r="F42" i="11"/>
  <c r="H16" i="6" l="1"/>
  <c r="H21" i="6"/>
  <c r="H13" i="6"/>
  <c r="AH69" i="11"/>
  <c r="AI60" i="11"/>
  <c r="AH60" i="11"/>
  <c r="H60" i="11"/>
  <c r="G60" i="11"/>
  <c r="F60" i="11"/>
  <c r="E60" i="11"/>
  <c r="D60" i="11"/>
  <c r="D61" i="11"/>
  <c r="E61" i="11"/>
  <c r="F61" i="11"/>
  <c r="G61" i="11"/>
  <c r="H61" i="11"/>
  <c r="S61" i="11"/>
  <c r="T61" i="11"/>
  <c r="AE65" i="11"/>
  <c r="X38" i="11"/>
  <c r="S87" i="11"/>
  <c r="AB46" i="11"/>
  <c r="AB50" i="11" s="1"/>
  <c r="AC17" i="11"/>
  <c r="E4" i="6"/>
  <c r="Y91" i="11"/>
  <c r="AD64" i="11"/>
  <c r="AC64" i="11"/>
  <c r="AC59" i="11"/>
  <c r="AD59" i="11"/>
  <c r="F59" i="11"/>
  <c r="G59" i="11"/>
  <c r="H59" i="11"/>
  <c r="D59" i="11"/>
  <c r="E59" i="11"/>
  <c r="F56" i="11"/>
  <c r="AH16" i="11"/>
  <c r="AD74" i="11"/>
  <c r="AC74" i="11"/>
  <c r="H57" i="11"/>
  <c r="H58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G57" i="11"/>
  <c r="G58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H56" i="11"/>
  <c r="G56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H4" i="11"/>
  <c r="G4" i="11"/>
  <c r="D42" i="11"/>
  <c r="E42" i="11"/>
  <c r="D39" i="11"/>
  <c r="E39" i="11"/>
  <c r="F39" i="11"/>
  <c r="F72" i="11"/>
  <c r="F30" i="11"/>
  <c r="F31" i="11"/>
  <c r="G3" i="11"/>
  <c r="G55" i="11"/>
  <c r="E57" i="11"/>
  <c r="E58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D57" i="11"/>
  <c r="D58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E56" i="11"/>
  <c r="D56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40" i="11"/>
  <c r="E41" i="11"/>
  <c r="E43" i="11"/>
  <c r="E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40" i="11"/>
  <c r="D41" i="11"/>
  <c r="D5" i="11"/>
  <c r="D6" i="11"/>
  <c r="D7" i="11"/>
  <c r="D8" i="11"/>
  <c r="D9" i="11"/>
  <c r="D10" i="11"/>
  <c r="D11" i="11"/>
  <c r="D12" i="11"/>
  <c r="D13" i="11"/>
  <c r="D14" i="11"/>
  <c r="D4" i="11"/>
  <c r="D43" i="11"/>
  <c r="AI69" i="11"/>
  <c r="AH29" i="11"/>
  <c r="O67" i="11"/>
  <c r="P67" i="11"/>
  <c r="T77" i="11"/>
  <c r="S77" i="11"/>
  <c r="Y71" i="11"/>
  <c r="X71" i="11"/>
  <c r="P56" i="11"/>
  <c r="O56" i="11"/>
  <c r="L71" i="11"/>
  <c r="L77" i="11" s="1"/>
  <c r="AD17" i="11"/>
  <c r="AC25" i="11"/>
  <c r="AC18" i="11"/>
  <c r="AC7" i="11"/>
  <c r="AD19" i="11"/>
  <c r="AC40" i="11"/>
  <c r="AD40" i="11"/>
  <c r="AI35" i="11"/>
  <c r="X11" i="11"/>
  <c r="AI56" i="11"/>
  <c r="Y56" i="11"/>
  <c r="AH56" i="11"/>
  <c r="X56" i="11"/>
  <c r="K71" i="11"/>
  <c r="AI29" i="11"/>
  <c r="AI5" i="11"/>
  <c r="AH5" i="11"/>
  <c r="AI42" i="11"/>
  <c r="AH42" i="11"/>
  <c r="AI9" i="11"/>
  <c r="AH9" i="11"/>
  <c r="AI21" i="11"/>
  <c r="AH21" i="11"/>
  <c r="AI16" i="11"/>
  <c r="AI26" i="11"/>
  <c r="AH26" i="11"/>
  <c r="AD18" i="11"/>
  <c r="AC6" i="11"/>
  <c r="AD6" i="11"/>
  <c r="AH35" i="11"/>
  <c r="AD8" i="11"/>
  <c r="Y31" i="11"/>
  <c r="Y38" i="11"/>
  <c r="T31" i="11"/>
  <c r="T47" i="11" s="1"/>
  <c r="F22" i="11"/>
  <c r="K38" i="11"/>
  <c r="K47" i="11" s="1"/>
  <c r="K48" i="11" s="1"/>
  <c r="F57" i="11"/>
  <c r="F58" i="11"/>
  <c r="F62" i="11"/>
  <c r="F63" i="11"/>
  <c r="F64" i="11"/>
  <c r="F65" i="11"/>
  <c r="F66" i="11"/>
  <c r="F67" i="11"/>
  <c r="F68" i="11"/>
  <c r="F69" i="11"/>
  <c r="F70" i="11"/>
  <c r="F71" i="11"/>
  <c r="F73" i="11"/>
  <c r="F7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3" i="11"/>
  <c r="F24" i="11"/>
  <c r="F25" i="11"/>
  <c r="F26" i="11"/>
  <c r="F27" i="11"/>
  <c r="F28" i="11"/>
  <c r="F29" i="11"/>
  <c r="F32" i="11"/>
  <c r="F33" i="11"/>
  <c r="F34" i="11"/>
  <c r="F35" i="11"/>
  <c r="F36" i="11"/>
  <c r="F37" i="11"/>
  <c r="F38" i="11"/>
  <c r="F40" i="11"/>
  <c r="F41" i="11"/>
  <c r="F43" i="11"/>
  <c r="F4" i="11"/>
  <c r="L38" i="11"/>
  <c r="AD124" i="11"/>
  <c r="AD123" i="11"/>
  <c r="S47" i="11"/>
  <c r="AD122" i="11"/>
  <c r="AD121" i="11"/>
  <c r="AD120" i="11"/>
  <c r="AD119" i="11"/>
  <c r="AD118" i="11"/>
  <c r="AD117" i="11"/>
  <c r="AD116" i="11"/>
  <c r="AD115" i="11"/>
  <c r="AD114" i="11"/>
  <c r="AD113" i="11"/>
  <c r="AD112" i="11"/>
  <c r="Y104" i="11"/>
  <c r="AA104" i="11" s="1"/>
  <c r="AD111" i="11"/>
  <c r="AD110" i="11"/>
  <c r="AD109" i="11"/>
  <c r="AD108" i="11"/>
  <c r="AD107" i="11"/>
  <c r="AG142" i="11"/>
  <c r="AG141" i="11"/>
  <c r="AG140" i="11"/>
  <c r="AG139" i="11"/>
  <c r="AG138" i="11"/>
  <c r="AG137" i="11"/>
  <c r="AG136" i="11"/>
  <c r="AG135" i="11"/>
  <c r="AG134" i="11"/>
  <c r="AG133" i="11"/>
  <c r="AG132" i="11"/>
  <c r="AG131" i="11"/>
  <c r="AG130" i="11"/>
  <c r="AG129" i="11"/>
  <c r="AG128" i="11"/>
  <c r="AG127" i="11"/>
  <c r="AG126" i="11"/>
  <c r="AG125" i="11"/>
  <c r="AG124" i="11"/>
  <c r="AG123" i="11"/>
  <c r="AG118" i="11"/>
  <c r="T118" i="11"/>
  <c r="S118" i="11"/>
  <c r="R118" i="11"/>
  <c r="Q118" i="11"/>
  <c r="P118" i="11"/>
  <c r="O118" i="11"/>
  <c r="AG117" i="11"/>
  <c r="U117" i="11"/>
  <c r="AG116" i="11"/>
  <c r="U116" i="11"/>
  <c r="AG115" i="11"/>
  <c r="U104" i="11"/>
  <c r="U115" i="11"/>
  <c r="AG114" i="11"/>
  <c r="U114" i="11"/>
  <c r="AG113" i="11"/>
  <c r="U113" i="11"/>
  <c r="AG112" i="11"/>
  <c r="AG111" i="11"/>
  <c r="AG110" i="11"/>
  <c r="AG109" i="11"/>
  <c r="AG108" i="11"/>
  <c r="AG107" i="11"/>
  <c r="T107" i="11"/>
  <c r="S107" i="11"/>
  <c r="R107" i="11"/>
  <c r="Q107" i="11"/>
  <c r="AG106" i="11"/>
  <c r="AD106" i="11"/>
  <c r="R106" i="11"/>
  <c r="U106" i="11" s="1"/>
  <c r="AG105" i="11"/>
  <c r="AD105" i="11"/>
  <c r="T105" i="11"/>
  <c r="Q105" i="11"/>
  <c r="P105" i="11"/>
  <c r="O105" i="11"/>
  <c r="AG104" i="11"/>
  <c r="AD104" i="11"/>
  <c r="AG103" i="11"/>
  <c r="AD103" i="11"/>
  <c r="AA103" i="11"/>
  <c r="U103" i="11"/>
  <c r="AG102" i="11"/>
  <c r="AD102" i="11"/>
  <c r="Y102" i="11"/>
  <c r="AA102" i="11" s="1"/>
  <c r="U102" i="11"/>
  <c r="AG101" i="11"/>
  <c r="AA101" i="11"/>
  <c r="AG100" i="11"/>
  <c r="AA100" i="11"/>
  <c r="R99" i="11"/>
  <c r="Q98" i="11"/>
  <c r="Q96" i="11"/>
  <c r="P47" i="11"/>
  <c r="O47" i="11"/>
  <c r="F3" i="11"/>
  <c r="F55" i="11" s="1"/>
  <c r="O49" i="11"/>
  <c r="L5" i="6"/>
  <c r="L4" i="6"/>
  <c r="F4" i="6" l="1"/>
  <c r="G4" i="6" s="1"/>
  <c r="H4" i="6"/>
  <c r="T87" i="11"/>
  <c r="P77" i="11"/>
  <c r="K49" i="11"/>
  <c r="AC77" i="11"/>
  <c r="R96" i="11"/>
  <c r="X77" i="11"/>
  <c r="AD77" i="11"/>
  <c r="K80" i="11"/>
  <c r="Y77" i="11"/>
  <c r="S46" i="11"/>
  <c r="Q108" i="11" s="1"/>
  <c r="S49" i="11"/>
  <c r="W114" i="11"/>
  <c r="X80" i="11"/>
  <c r="X47" i="11"/>
  <c r="AC80" i="11"/>
  <c r="S96" i="11"/>
  <c r="Y47" i="11"/>
  <c r="AI77" i="11"/>
  <c r="AC47" i="11"/>
  <c r="O77" i="11"/>
  <c r="O76" i="11" s="1"/>
  <c r="P119" i="11" s="1"/>
  <c r="W113" i="11"/>
  <c r="AH80" i="11"/>
  <c r="AH49" i="11"/>
  <c r="AD47" i="11"/>
  <c r="Z71" i="11"/>
  <c r="X49" i="11"/>
  <c r="U105" i="11"/>
  <c r="W116" i="11" s="1"/>
  <c r="K77" i="11"/>
  <c r="K76" i="11" s="1"/>
  <c r="O119" i="11" s="1"/>
  <c r="AI47" i="11"/>
  <c r="O80" i="11"/>
  <c r="AE64" i="11"/>
  <c r="Y105" i="11"/>
  <c r="O46" i="11"/>
  <c r="P108" i="11" s="1"/>
  <c r="U107" i="11"/>
  <c r="W115" i="11"/>
  <c r="W117" i="11"/>
  <c r="U118" i="11"/>
  <c r="AH77" i="11"/>
  <c r="AH47" i="11"/>
  <c r="AC49" i="11"/>
  <c r="S76" i="11"/>
  <c r="Q119" i="11" s="1"/>
  <c r="O48" i="11"/>
  <c r="S48" i="11" s="1"/>
  <c r="L47" i="11"/>
  <c r="L48" i="11" s="1"/>
  <c r="P48" i="11" s="1"/>
  <c r="T48" i="11" s="1"/>
  <c r="S80" i="11"/>
  <c r="G78" i="11"/>
  <c r="G79" i="11"/>
  <c r="I4" i="6" l="1"/>
  <c r="K4" i="6" s="1"/>
  <c r="J4" i="6" s="1"/>
  <c r="AC76" i="11"/>
  <c r="S119" i="11" s="1"/>
  <c r="X48" i="11"/>
  <c r="AC48" i="11" s="1"/>
  <c r="AH48" i="11" s="1"/>
  <c r="K78" i="11" s="1"/>
  <c r="O78" i="11" s="1"/>
  <c r="S78" i="11" s="1"/>
  <c r="X78" i="11" s="1"/>
  <c r="AC78" i="11" s="1"/>
  <c r="AH78" i="11" s="1"/>
  <c r="AH76" i="11"/>
  <c r="T119" i="11" s="1"/>
  <c r="X76" i="11"/>
  <c r="R119" i="11" s="1"/>
  <c r="X46" i="11"/>
  <c r="R108" i="11" s="1"/>
  <c r="Y48" i="11"/>
  <c r="AD48" i="11" s="1"/>
  <c r="AI48" i="11" s="1"/>
  <c r="L78" i="11" s="1"/>
  <c r="P78" i="11" s="1"/>
  <c r="T78" i="11" s="1"/>
  <c r="Y78" i="11" s="1"/>
  <c r="AD78" i="11" s="1"/>
  <c r="AI78" i="11" s="1"/>
  <c r="AK49" i="11"/>
  <c r="S88" i="11"/>
  <c r="S108" i="11"/>
  <c r="AK79" i="11"/>
  <c r="W118" i="11"/>
  <c r="AH46" i="11"/>
  <c r="T108" i="11" s="1"/>
  <c r="AA105" i="11"/>
  <c r="Y106" i="11"/>
  <c r="S89" i="11"/>
  <c r="T89" i="11" s="1"/>
  <c r="K46" i="11"/>
  <c r="AK46" i="11" s="1"/>
  <c r="G80" i="11"/>
  <c r="H78" i="11" s="1"/>
  <c r="D4" i="6" l="1"/>
  <c r="T88" i="11"/>
  <c r="S92" i="11"/>
  <c r="U92" i="11" s="1"/>
  <c r="AK83" i="11"/>
  <c r="U119" i="11"/>
  <c r="AK76" i="11"/>
  <c r="AA106" i="11"/>
  <c r="Y107" i="11"/>
  <c r="AA107" i="11" s="1"/>
  <c r="O108" i="11"/>
  <c r="U108" i="11" s="1"/>
  <c r="K50" i="11"/>
  <c r="H79" i="11"/>
  <c r="H80" i="11" s="1"/>
  <c r="T96" i="11" l="1"/>
  <c r="AK81" i="11"/>
  <c r="Y89" i="11" s="1"/>
  <c r="T92" i="11"/>
  <c r="W119" i="11"/>
  <c r="W120" i="11" s="1"/>
  <c r="O50" i="11"/>
  <c r="K51" i="11"/>
  <c r="Y92" i="11" l="1"/>
  <c r="Y94" i="11"/>
  <c r="AA94" i="11" s="1"/>
  <c r="O51" i="11"/>
  <c r="S50" i="11"/>
  <c r="Z94" i="11" l="1"/>
  <c r="S51" i="11"/>
  <c r="X50" i="11"/>
  <c r="AB51" i="11" l="1"/>
  <c r="AH50" i="11"/>
  <c r="X51" i="11"/>
  <c r="AH51" i="11" l="1"/>
  <c r="K81" i="11"/>
  <c r="K82" i="11" l="1"/>
  <c r="O81" i="11"/>
  <c r="O82" i="11" l="1"/>
  <c r="S81" i="11"/>
  <c r="X81" i="11" l="1"/>
  <c r="S82" i="11"/>
  <c r="X82" i="11" l="1"/>
  <c r="AC81" i="11"/>
  <c r="AC82" i="11" l="1"/>
  <c r="AH81" i="11"/>
  <c r="AH82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pasdan sam</author>
    <author>pasdan</author>
  </authors>
  <commentList>
    <comment ref="A3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détach    :   03 /07
vers        :   05 /07
div          :   0,30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1847DC-E023-4B10-8392-B9CCEF6B6AC9}" name="Requête - Document" description="Connexion à la requête « Document » dans le classeur." type="100" refreshedVersion="7" minRefreshableVersion="5">
    <extLst>
      <ext xmlns:x15="http://schemas.microsoft.com/office/spreadsheetml/2010/11/main" uri="{DE250136-89BD-433C-8126-D09CA5730AF9}">
        <x15:connection id="f9c10acc-2e74-4753-b2b7-f24daf78b364"/>
      </ext>
    </extLst>
  </connection>
  <connection id="2" xr16:uid="{5BB1091E-ADB4-4112-B30B-5921F16B025E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<sst xmlns="http://schemas.openxmlformats.org/spreadsheetml/2006/main" count="332" uniqueCount="224">
  <si>
    <t>ABC ARBITRAGE</t>
  </si>
  <si>
    <t>FR0004040608</t>
  </si>
  <si>
    <t>ADLPARTNER</t>
  </si>
  <si>
    <t>AXA</t>
  </si>
  <si>
    <t>FR0000120628</t>
  </si>
  <si>
    <t>BNP</t>
  </si>
  <si>
    <t>CARREFOUR</t>
  </si>
  <si>
    <t>FR0000120172</t>
  </si>
  <si>
    <t>CBO TERRITORIA</t>
  </si>
  <si>
    <t>FR0010193979</t>
  </si>
  <si>
    <t>COFACE</t>
  </si>
  <si>
    <t>FR0010667147</t>
  </si>
  <si>
    <t>DNXCORP</t>
  </si>
  <si>
    <t>FR0010436584</t>
  </si>
  <si>
    <t>ELECTRICITE DE FRANCE</t>
  </si>
  <si>
    <t>ENGIE</t>
  </si>
  <si>
    <t>EUTELSAT COMMUNICATIONS</t>
  </si>
  <si>
    <t>GTT</t>
  </si>
  <si>
    <t>HF COMPANY</t>
  </si>
  <si>
    <t>LAGARDERE</t>
  </si>
  <si>
    <t>FR0000130213</t>
  </si>
  <si>
    <t>LOCINDUS</t>
  </si>
  <si>
    <t>NATIXIS</t>
  </si>
  <si>
    <t>NETGEM</t>
  </si>
  <si>
    <t>OBER</t>
  </si>
  <si>
    <t>ORANGE</t>
  </si>
  <si>
    <t>RALLYE</t>
  </si>
  <si>
    <t>SMTPC</t>
  </si>
  <si>
    <t>SUEZ ENVIR.</t>
  </si>
  <si>
    <t>TF1</t>
  </si>
  <si>
    <t>TOUAX</t>
  </si>
  <si>
    <t>UFFB</t>
  </si>
  <si>
    <t>VIVENDI</t>
  </si>
  <si>
    <t>Pascal</t>
  </si>
  <si>
    <t>Corinne</t>
  </si>
  <si>
    <t>PEA Pas</t>
  </si>
  <si>
    <t>PEA Cor</t>
  </si>
  <si>
    <t>Nb P</t>
  </si>
  <si>
    <t>Nb C</t>
  </si>
  <si>
    <t xml:space="preserve">cours </t>
  </si>
  <si>
    <t>Janvier</t>
  </si>
  <si>
    <t>Février</t>
  </si>
  <si>
    <t>Mars</t>
  </si>
  <si>
    <t>Avril</t>
  </si>
  <si>
    <t>juin</t>
  </si>
  <si>
    <t>Div ADL Partner</t>
  </si>
  <si>
    <r>
      <rPr>
        <sz val="1"/>
        <rFont val="Arial"/>
        <family val="2"/>
      </rPr>
      <t>.</t>
    </r>
    <r>
      <rPr>
        <sz val="10"/>
        <rFont val="Arial"/>
        <family val="2"/>
      </rPr>
      <t>1/2</t>
    </r>
  </si>
  <si>
    <t>Div EDF 1/2</t>
  </si>
  <si>
    <t>ENGIE PRIME FIDEL.</t>
  </si>
  <si>
    <t>-</t>
  </si>
  <si>
    <t>Div M6 Métrople</t>
  </si>
  <si>
    <t>Div Natixis</t>
  </si>
  <si>
    <t>Div Orange</t>
  </si>
  <si>
    <t>Div SMTPC</t>
  </si>
  <si>
    <t>1/4   2/4</t>
  </si>
  <si>
    <t>Div Total</t>
  </si>
  <si>
    <t>VEOLIA ENVIRONNEMENT</t>
  </si>
  <si>
    <t>Sommes sur les 6 premiers mois</t>
  </si>
  <si>
    <t>dividende(s)</t>
  </si>
  <si>
    <t>dividendes</t>
  </si>
  <si>
    <t>cum</t>
  </si>
  <si>
    <t>cum fin mars</t>
  </si>
  <si>
    <t>cum fin avril</t>
  </si>
  <si>
    <t>cum fin juin</t>
  </si>
  <si>
    <t>Juillet</t>
  </si>
  <si>
    <t>Août</t>
  </si>
  <si>
    <t>Septembre</t>
  </si>
  <si>
    <t>Novembre</t>
  </si>
  <si>
    <t>Décembre</t>
  </si>
  <si>
    <t>1/2  2/2</t>
  </si>
  <si>
    <t>Div Abc arbitrage</t>
  </si>
  <si>
    <t>ALTUR</t>
  </si>
  <si>
    <t>_</t>
  </si>
  <si>
    <r>
      <rPr>
        <sz val="1"/>
        <rFont val="Arial"/>
        <family val="2"/>
      </rPr>
      <t>.</t>
    </r>
    <r>
      <rPr>
        <sz val="10"/>
        <rFont val="Arial"/>
        <family val="2"/>
      </rPr>
      <t>2/2</t>
    </r>
  </si>
  <si>
    <t>Div Eutelsat</t>
  </si>
  <si>
    <t>U10</t>
  </si>
  <si>
    <t>Div UFFB 2/2</t>
  </si>
  <si>
    <t>Sommes sur les 6 derniers mois</t>
  </si>
  <si>
    <t>Pascal ,,, CIFO et PEA  par Banque postale Pascal</t>
  </si>
  <si>
    <t xml:space="preserve">                                                                                                                                                                                                               </t>
  </si>
  <si>
    <t>Corinne  par BPVF</t>
  </si>
  <si>
    <t>Nicolas par  virement  depuis  Banque postale Pascal</t>
  </si>
  <si>
    <t>par jour</t>
  </si>
  <si>
    <t>+ values Pascal</t>
  </si>
  <si>
    <t>+ values Corinne</t>
  </si>
  <si>
    <t>Pascal + Corinne</t>
  </si>
  <si>
    <t xml:space="preserve">PEA  Pascal </t>
  </si>
  <si>
    <t>intérêts accumulés au jour le jour par investissement des div.</t>
  </si>
  <si>
    <t>PEA  Corinne</t>
  </si>
  <si>
    <t>CT    Pascal</t>
  </si>
  <si>
    <t>Objectifs à 4,5% par an réinvestis    (= X * 1,043)</t>
  </si>
  <si>
    <t>Retraite / mois</t>
  </si>
  <si>
    <t>59 ans</t>
  </si>
  <si>
    <t>réussi</t>
  </si>
  <si>
    <t>janvier</t>
  </si>
  <si>
    <t>février</t>
  </si>
  <si>
    <t>mars</t>
  </si>
  <si>
    <t>avril</t>
  </si>
  <si>
    <t>mai</t>
  </si>
  <si>
    <t>60 ans</t>
  </si>
  <si>
    <t>61 ans</t>
  </si>
  <si>
    <t>62 ans</t>
  </si>
  <si>
    <t>63 ans</t>
  </si>
  <si>
    <t>65 ans</t>
  </si>
  <si>
    <t>66 ans</t>
  </si>
  <si>
    <t>juillet</t>
  </si>
  <si>
    <t>août</t>
  </si>
  <si>
    <t>septembre</t>
  </si>
  <si>
    <t>octobre</t>
  </si>
  <si>
    <t>novembre</t>
  </si>
  <si>
    <t>décembre</t>
  </si>
  <si>
    <t>Prix moyen</t>
  </si>
  <si>
    <t>FR0000062978</t>
  </si>
  <si>
    <t>FR0010242511</t>
  </si>
  <si>
    <t>FR0013292703</t>
  </si>
  <si>
    <t>FR0010221234</t>
  </si>
  <si>
    <t>PASSAT</t>
  </si>
  <si>
    <t>FR0000053837</t>
  </si>
  <si>
    <t>ALTAMIR</t>
  </si>
  <si>
    <t>d'intérêt</t>
  </si>
  <si>
    <t>Montant net (Montant brut - 17,2%)</t>
  </si>
  <si>
    <t>Div Cbo territoria</t>
  </si>
  <si>
    <t>3/5</t>
  </si>
  <si>
    <t>Action</t>
  </si>
  <si>
    <t>Cours A ou V</t>
  </si>
  <si>
    <t>Montant brut</t>
  </si>
  <si>
    <t>Courtage</t>
  </si>
  <si>
    <t>TTF</t>
  </si>
  <si>
    <t>Montant net</t>
  </si>
  <si>
    <t>C</t>
  </si>
  <si>
    <t>IT0003132476</t>
  </si>
  <si>
    <t>ENI</t>
  </si>
  <si>
    <t>Div Eni</t>
  </si>
  <si>
    <t>Div RDSb</t>
  </si>
  <si>
    <t>CRCAM NORD DE FRANCE (CCI)</t>
  </si>
  <si>
    <t>1/4     2/4</t>
  </si>
  <si>
    <t>.</t>
  </si>
  <si>
    <t>24/26</t>
  </si>
  <si>
    <t>11/13</t>
  </si>
  <si>
    <t>Montant total</t>
  </si>
  <si>
    <t>par mois</t>
  </si>
  <si>
    <t>somme 2 semestres</t>
  </si>
  <si>
    <t>avec neopost 0,50</t>
  </si>
  <si>
    <t>avec natixis à 0,30€</t>
  </si>
  <si>
    <t>avec Néopost à div 0</t>
  </si>
  <si>
    <t>vente Total</t>
  </si>
  <si>
    <t>achat engie</t>
  </si>
  <si>
    <t>CREDIT AGRICOLE SA</t>
  </si>
  <si>
    <t>frais/MT</t>
  </si>
  <si>
    <t>achat Hsbc</t>
  </si>
  <si>
    <r>
      <t xml:space="preserve"> Frais    </t>
    </r>
    <r>
      <rPr>
        <b/>
        <sz val="9"/>
        <color theme="1"/>
        <rFont val="Calibri"/>
        <family val="2"/>
        <scheme val="minor"/>
      </rPr>
      <t xml:space="preserve"> (Court. + TTF)</t>
    </r>
  </si>
  <si>
    <t>achat M6</t>
  </si>
  <si>
    <t>Néopost div à 0.50/an</t>
  </si>
  <si>
    <t>PROXIMUS</t>
  </si>
  <si>
    <t>Div Proximus</t>
  </si>
  <si>
    <t>Achat Proxims</t>
  </si>
  <si>
    <t>V véolia A Rdsb</t>
  </si>
  <si>
    <t>28/02</t>
  </si>
  <si>
    <t>Div DNX CORP</t>
  </si>
  <si>
    <t>64 ans</t>
  </si>
  <si>
    <t>pas de div U10</t>
  </si>
  <si>
    <t>vente engie p + c</t>
  </si>
  <si>
    <t>Div Total    4/4</t>
  </si>
  <si>
    <t>achat 33 engie C</t>
  </si>
  <si>
    <t>achat 430 total P+C</t>
  </si>
  <si>
    <t>vente  coface  P</t>
  </si>
  <si>
    <t>vente total P+C</t>
  </si>
  <si>
    <t>achat orange  peugeot</t>
  </si>
  <si>
    <t>Div Quadient</t>
  </si>
  <si>
    <t>Octobre</t>
  </si>
  <si>
    <t>Div Carrefour</t>
  </si>
  <si>
    <t>M6 METROPOLE</t>
  </si>
  <si>
    <t>QUADIENT SA</t>
  </si>
  <si>
    <t>ROYAL DUTCH SHELL B SHARES</t>
  </si>
  <si>
    <t xml:space="preserve"> 1/2</t>
  </si>
  <si>
    <t>O</t>
  </si>
  <si>
    <t>G x F</t>
  </si>
  <si>
    <t>I + J</t>
  </si>
  <si>
    <t>I * 3%</t>
  </si>
  <si>
    <t>I + M</t>
  </si>
  <si>
    <t>M : O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</si>
  <si>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</si>
  <si>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</si>
  <si>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</si>
  <si>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</si>
  <si>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</si>
  <si>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</si>
  <si>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</si>
  <si>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</si>
  <si>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</si>
  <si>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FAURECIA</t>
  </si>
  <si>
    <t>STELLANTIS</t>
  </si>
  <si>
    <t>Div Engie</t>
  </si>
  <si>
    <t>CNP ASSURANCES</t>
  </si>
  <si>
    <t>STELLANTIS NV</t>
  </si>
  <si>
    <t>Div Engie fidel</t>
  </si>
  <si>
    <t>Div UFFB</t>
  </si>
  <si>
    <t>Div Axa</t>
  </si>
  <si>
    <t>Div Altamir</t>
  </si>
  <si>
    <t>Div Faurecia</t>
  </si>
  <si>
    <t>Div Viel</t>
  </si>
  <si>
    <t>18/25</t>
  </si>
  <si>
    <t>Div ABC arbitrage</t>
  </si>
  <si>
    <t>le 3</t>
  </si>
  <si>
    <t>Total  2021 PEA Pascal</t>
  </si>
  <si>
    <t>Total  2021 PEA Corinne</t>
  </si>
  <si>
    <t>Dividendes  PEA 2021</t>
  </si>
  <si>
    <t>somme</t>
  </si>
  <si>
    <t>TOTALENERGIES</t>
  </si>
  <si>
    <t>brut</t>
  </si>
  <si>
    <t>VIEL &amp; CIE</t>
  </si>
  <si>
    <t>PEA PME Pasc</t>
  </si>
  <si>
    <t>-Taxe  17,2 %</t>
  </si>
  <si>
    <t>Div DNXCORP</t>
  </si>
  <si>
    <t xml:space="preserve">-8% prélv sociaux  sur dividendes </t>
  </si>
  <si>
    <t>NB</t>
  </si>
  <si>
    <t>J + L</t>
  </si>
  <si>
    <t>CT Pas</t>
  </si>
  <si>
    <t>cum fin mai + CT</t>
  </si>
  <si>
    <t>Total  2021 CT Pascal</t>
  </si>
  <si>
    <t>net 6%</t>
  </si>
  <si>
    <t>Div EDF 2/2</t>
  </si>
  <si>
    <t>cum fin dec + CT (mai)</t>
  </si>
  <si>
    <t>CREDIT AGRICOLE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</si>
</sst>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164" formatCode="0.000"/>
    <numFmt numFmtId="165" formatCode="#,##0.00\ &quot;€&quot;"/>
    <numFmt numFmtId="166" formatCode="#,##0\ &quot;€&quot;"/>
    <numFmt numFmtId="167" formatCode="0.0%"/>
    <numFmt numFmtId="168" formatCode="0.0000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indexed="10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62"/>
      <name val="Arial"/>
      <family val="2"/>
    </font>
    <font>
      <sz val="10"/>
      <color indexed="40"/>
      <name val="Arial"/>
      <family val="2"/>
    </font>
    <font>
      <b/>
      <sz val="10"/>
      <color indexed="40"/>
      <name val="Arial"/>
      <family val="2"/>
    </font>
    <font>
      <sz val="10"/>
      <color indexed="62"/>
      <name val="Arial"/>
      <family val="2"/>
    </font>
    <font>
      <sz val="1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indexed="10"/>
      <name val="Arial"/>
      <family val="2"/>
    </font>
    <font>
      <sz val="10"/>
      <color indexed="49"/>
      <name val="Arial"/>
      <family val="2"/>
    </font>
    <font>
      <sz val="9"/>
      <color indexed="62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0"/>
      <color indexed="1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b/>
      <i/>
      <sz val="12"/>
      <name val="Arial"/>
      <family val="2"/>
    </font>
    <font>
      <b/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sz val="16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222222"/>
      <name val="Courier New"/>
      <family val="3"/>
    </font>
    <font>
      <sz val="10"/>
      <color rgb="FF222222"/>
      <name val="Courier New"/>
      <family val="3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00800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77111117893"/>
      </left>
      <right style="thick">
        <color theme="5" tint="-0.249977111117893"/>
      </right>
      <top style="thick">
        <color theme="5" tint="-0.249977111117893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theme="5" tint="-0.249977111117893"/>
      </left>
      <right style="thick">
        <color theme="5" tint="-0.249977111117893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77111117893"/>
      </left>
      <right style="thick">
        <color theme="5" tint="-0.249977111117893"/>
      </right>
      <top style="thin">
        <color indexed="64"/>
      </top>
      <bottom style="thick">
        <color theme="5" tint="-0.24997711111789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5" tint="-0.249977111117893"/>
      </left>
      <right style="thick">
        <color theme="5" tint="-0.249977111117893"/>
      </right>
      <top style="thick">
        <color theme="5" tint="-0.249977111117893"/>
      </top>
      <bottom style="thick">
        <color theme="5" tint="-0.24997711111789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6" fillId="0" borderId="0" applyFont="0" applyFill="0" applyBorder="0" applyAlignment="0" applyProtection="0"/>
  </cellStyleXfs>
  <cellXfs count="410">
    <xf numFmtId="0" fontId="0" fillId="0" borderId="0" xfId="0"/>
    <xf numFmtId="0" fontId="3" fillId="2" borderId="0" xfId="0" applyFont="1" applyFill="1" applyBorder="1"/>
    <xf numFmtId="0" fontId="0" fillId="2" borderId="0" xfId="0" applyFill="1"/>
    <xf numFmtId="0" fontId="0" fillId="0" borderId="0" xfId="0" applyFill="1" applyBorder="1"/>
    <xf numFmtId="0" fontId="3" fillId="0" borderId="0" xfId="0" applyFont="1" applyFill="1" applyBorder="1"/>
    <xf numFmtId="0" fontId="3" fillId="3" borderId="0" xfId="0" applyFont="1" applyFill="1" applyBorder="1"/>
    <xf numFmtId="0" fontId="4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4" borderId="0" xfId="0" applyFill="1" applyBorder="1"/>
    <xf numFmtId="0" fontId="0" fillId="0" borderId="0" xfId="0" applyBorder="1"/>
    <xf numFmtId="0" fontId="5" fillId="4" borderId="0" xfId="0" applyFont="1" applyFill="1" applyBorder="1"/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6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2" borderId="0" xfId="0" applyFont="1" applyFill="1" applyBorder="1" applyAlignment="1">
      <alignment horizontal="center"/>
    </xf>
    <xf numFmtId="164" fontId="6" fillId="2" borderId="7" xfId="0" applyNumberFormat="1" applyFont="1" applyFill="1" applyBorder="1"/>
    <xf numFmtId="0" fontId="0" fillId="0" borderId="9" xfId="0" applyBorder="1"/>
    <xf numFmtId="49" fontId="0" fillId="0" borderId="0" xfId="0" applyNumberFormat="1" applyAlignment="1">
      <alignment horizontal="right"/>
    </xf>
    <xf numFmtId="0" fontId="6" fillId="0" borderId="0" xfId="0" applyFont="1" applyBorder="1"/>
    <xf numFmtId="0" fontId="9" fillId="0" borderId="9" xfId="0" applyFont="1" applyBorder="1"/>
    <xf numFmtId="0" fontId="9" fillId="4" borderId="3" xfId="0" applyFont="1" applyFill="1" applyBorder="1"/>
    <xf numFmtId="0" fontId="9" fillId="0" borderId="3" xfId="0" applyFont="1" applyBorder="1"/>
    <xf numFmtId="0" fontId="3" fillId="4" borderId="0" xfId="0" applyFont="1" applyFill="1" applyBorder="1" applyAlignment="1">
      <alignment horizontal="center"/>
    </xf>
    <xf numFmtId="0" fontId="11" fillId="0" borderId="9" xfId="0" applyFont="1" applyBorder="1"/>
    <xf numFmtId="2" fontId="11" fillId="4" borderId="3" xfId="0" applyNumberFormat="1" applyFon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9" fillId="4" borderId="3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10" fillId="4" borderId="3" xfId="0" applyNumberFormat="1" applyFont="1" applyFill="1" applyBorder="1" applyAlignment="1">
      <alignment horizontal="center"/>
    </xf>
    <xf numFmtId="0" fontId="6" fillId="4" borderId="0" xfId="0" applyFont="1" applyFill="1" applyBorder="1"/>
    <xf numFmtId="0" fontId="10" fillId="4" borderId="9" xfId="0" applyFont="1" applyFill="1" applyBorder="1" applyAlignment="1">
      <alignment horizontal="right"/>
    </xf>
    <xf numFmtId="2" fontId="10" fillId="4" borderId="3" xfId="0" applyNumberFormat="1" applyFont="1" applyFill="1" applyBorder="1" applyAlignment="1">
      <alignment horizontal="right"/>
    </xf>
    <xf numFmtId="0" fontId="8" fillId="0" borderId="9" xfId="0" applyFont="1" applyBorder="1"/>
    <xf numFmtId="0" fontId="3" fillId="4" borderId="9" xfId="0" applyFont="1" applyFill="1" applyBorder="1"/>
    <xf numFmtId="0" fontId="13" fillId="0" borderId="0" xfId="0" applyFont="1" applyAlignment="1">
      <alignment horizontal="center"/>
    </xf>
    <xf numFmtId="0" fontId="6" fillId="7" borderId="0" xfId="0" applyFont="1" applyFill="1" applyBorder="1"/>
    <xf numFmtId="2" fontId="6" fillId="0" borderId="0" xfId="0" applyNumberFormat="1" applyFont="1" applyFill="1" applyBorder="1"/>
    <xf numFmtId="2" fontId="0" fillId="0" borderId="0" xfId="0" applyNumberFormat="1" applyBorder="1"/>
    <xf numFmtId="0" fontId="11" fillId="4" borderId="0" xfId="0" applyFont="1" applyFill="1" applyBorder="1"/>
    <xf numFmtId="0" fontId="8" fillId="4" borderId="3" xfId="0" applyFont="1" applyFill="1" applyBorder="1"/>
    <xf numFmtId="2" fontId="11" fillId="4" borderId="0" xfId="0" applyNumberFormat="1" applyFont="1" applyFill="1" applyBorder="1"/>
    <xf numFmtId="0" fontId="11" fillId="4" borderId="9" xfId="0" applyFont="1" applyFill="1" applyBorder="1"/>
    <xf numFmtId="0" fontId="11" fillId="4" borderId="3" xfId="0" applyFont="1" applyFill="1" applyBorder="1"/>
    <xf numFmtId="0" fontId="15" fillId="4" borderId="9" xfId="0" applyFont="1" applyFill="1" applyBorder="1"/>
    <xf numFmtId="0" fontId="6" fillId="0" borderId="9" xfId="0" applyFont="1" applyBorder="1"/>
    <xf numFmtId="0" fontId="3" fillId="4" borderId="3" xfId="0" applyFont="1" applyFill="1" applyBorder="1"/>
    <xf numFmtId="0" fontId="2" fillId="0" borderId="0" xfId="0" applyFont="1" applyBorder="1" applyAlignment="1">
      <alignment horizontal="left"/>
    </xf>
    <xf numFmtId="2" fontId="0" fillId="0" borderId="0" xfId="0" applyNumberFormat="1"/>
    <xf numFmtId="0" fontId="3" fillId="0" borderId="0" xfId="0" applyFont="1" applyFill="1" applyBorder="1" applyAlignment="1">
      <alignment horizontal="center"/>
    </xf>
    <xf numFmtId="2" fontId="8" fillId="0" borderId="0" xfId="0" applyNumberFormat="1" applyFont="1" applyFill="1" applyBorder="1"/>
    <xf numFmtId="0" fontId="11" fillId="0" borderId="3" xfId="0" applyFont="1" applyBorder="1"/>
    <xf numFmtId="0" fontId="15" fillId="0" borderId="9" xfId="0" applyFont="1" applyBorder="1"/>
    <xf numFmtId="2" fontId="15" fillId="4" borderId="3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11" fillId="0" borderId="13" xfId="0" applyFont="1" applyBorder="1"/>
    <xf numFmtId="2" fontId="6" fillId="0" borderId="0" xfId="0" applyNumberFormat="1" applyFont="1" applyBorder="1"/>
    <xf numFmtId="0" fontId="9" fillId="4" borderId="9" xfId="0" applyFont="1" applyFill="1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2" fontId="3" fillId="2" borderId="0" xfId="0" applyNumberFormat="1" applyFont="1" applyFill="1" applyBorder="1" applyAlignment="1">
      <alignment horizontal="center"/>
    </xf>
    <xf numFmtId="0" fontId="3" fillId="0" borderId="9" xfId="0" applyFont="1" applyBorder="1"/>
    <xf numFmtId="2" fontId="3" fillId="0" borderId="3" xfId="0" applyNumberFormat="1" applyFont="1" applyBorder="1"/>
    <xf numFmtId="0" fontId="3" fillId="0" borderId="14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4" fontId="0" fillId="4" borderId="0" xfId="0" applyNumberFormat="1" applyFill="1" applyBorder="1"/>
    <xf numFmtId="0" fontId="3" fillId="0" borderId="12" xfId="0" applyFont="1" applyBorder="1" applyAlignment="1">
      <alignment horizontal="center"/>
    </xf>
    <xf numFmtId="2" fontId="3" fillId="4" borderId="16" xfId="0" applyNumberFormat="1" applyFont="1" applyFill="1" applyBorder="1" applyAlignment="1">
      <alignment horizontal="center"/>
    </xf>
    <xf numFmtId="2" fontId="6" fillId="9" borderId="4" xfId="0" applyNumberFormat="1" applyFont="1" applyFill="1" applyBorder="1"/>
    <xf numFmtId="2" fontId="6" fillId="10" borderId="2" xfId="0" applyNumberFormat="1" applyFont="1" applyFill="1" applyBorder="1"/>
    <xf numFmtId="2" fontId="6" fillId="4" borderId="0" xfId="0" applyNumberFormat="1" applyFont="1" applyFill="1" applyBorder="1"/>
    <xf numFmtId="0" fontId="3" fillId="8" borderId="5" xfId="0" applyFont="1" applyFill="1" applyBorder="1" applyAlignment="1"/>
    <xf numFmtId="0" fontId="3" fillId="8" borderId="6" xfId="0" applyFont="1" applyFill="1" applyBorder="1" applyAlignment="1"/>
    <xf numFmtId="0" fontId="3" fillId="8" borderId="2" xfId="0" applyFont="1" applyFill="1" applyBorder="1" applyAlignment="1"/>
    <xf numFmtId="0" fontId="0" fillId="4" borderId="5" xfId="0" applyFill="1" applyBorder="1" applyAlignment="1"/>
    <xf numFmtId="0" fontId="0" fillId="4" borderId="2" xfId="0" applyFill="1" applyBorder="1" applyAlignment="1"/>
    <xf numFmtId="0" fontId="0" fillId="4" borderId="18" xfId="0" applyFill="1" applyBorder="1" applyAlignment="1"/>
    <xf numFmtId="0" fontId="0" fillId="4" borderId="19" xfId="0" applyFill="1" applyBorder="1" applyAlignment="1"/>
    <xf numFmtId="0" fontId="0" fillId="4" borderId="20" xfId="0" applyFill="1" applyBorder="1" applyAlignment="1"/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164" fontId="0" fillId="0" borderId="0" xfId="0" applyNumberFormat="1" applyBorder="1"/>
    <xf numFmtId="0" fontId="0" fillId="0" borderId="0" xfId="0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/>
    <xf numFmtId="164" fontId="6" fillId="2" borderId="8" xfId="0" applyNumberFormat="1" applyFont="1" applyFill="1" applyBorder="1"/>
    <xf numFmtId="0" fontId="16" fillId="4" borderId="0" xfId="0" applyFont="1" applyFill="1" applyBorder="1"/>
    <xf numFmtId="0" fontId="16" fillId="0" borderId="21" xfId="0" applyFont="1" applyBorder="1"/>
    <xf numFmtId="0" fontId="11" fillId="0" borderId="22" xfId="0" applyFont="1" applyBorder="1"/>
    <xf numFmtId="0" fontId="0" fillId="0" borderId="21" xfId="0" applyBorder="1"/>
    <xf numFmtId="0" fontId="0" fillId="0" borderId="22" xfId="0" applyBorder="1"/>
    <xf numFmtId="0" fontId="10" fillId="4" borderId="9" xfId="0" applyFont="1" applyFill="1" applyBorder="1"/>
    <xf numFmtId="0" fontId="16" fillId="0" borderId="9" xfId="0" applyFont="1" applyBorder="1"/>
    <xf numFmtId="0" fontId="3" fillId="3" borderId="0" xfId="0" applyFont="1" applyFill="1" applyBorder="1" applyAlignment="1">
      <alignment horizontal="center"/>
    </xf>
    <xf numFmtId="0" fontId="16" fillId="0" borderId="3" xfId="0" applyFont="1" applyBorder="1"/>
    <xf numFmtId="0" fontId="17" fillId="4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1" fillId="0" borderId="0" xfId="0" applyFont="1" applyBorder="1"/>
    <xf numFmtId="165" fontId="0" fillId="0" borderId="0" xfId="0" applyNumberFormat="1"/>
    <xf numFmtId="4" fontId="0" fillId="0" borderId="0" xfId="0" applyNumberFormat="1"/>
    <xf numFmtId="2" fontId="3" fillId="4" borderId="0" xfId="0" applyNumberFormat="1" applyFont="1" applyFill="1" applyBorder="1"/>
    <xf numFmtId="0" fontId="6" fillId="7" borderId="0" xfId="0" applyFont="1" applyFill="1" applyBorder="1" applyAlignment="1">
      <alignment horizontal="center"/>
    </xf>
    <xf numFmtId="0" fontId="3" fillId="4" borderId="0" xfId="0" applyFont="1" applyFill="1" applyBorder="1"/>
    <xf numFmtId="2" fontId="19" fillId="4" borderId="3" xfId="0" applyNumberFormat="1" applyFont="1" applyFill="1" applyBorder="1"/>
    <xf numFmtId="0" fontId="20" fillId="4" borderId="9" xfId="0" applyFont="1" applyFill="1" applyBorder="1"/>
    <xf numFmtId="0" fontId="3" fillId="2" borderId="12" xfId="0" applyFont="1" applyFill="1" applyBorder="1"/>
    <xf numFmtId="0" fontId="20" fillId="2" borderId="0" xfId="0" applyFont="1" applyFill="1" applyBorder="1"/>
    <xf numFmtId="0" fontId="0" fillId="0" borderId="12" xfId="0" applyBorder="1"/>
    <xf numFmtId="0" fontId="0" fillId="2" borderId="0" xfId="0" applyFill="1" applyBorder="1"/>
    <xf numFmtId="2" fontId="0" fillId="4" borderId="0" xfId="0" applyNumberFormat="1" applyFill="1" applyBorder="1" applyAlignment="1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1" fillId="0" borderId="0" xfId="0" applyFont="1"/>
    <xf numFmtId="0" fontId="21" fillId="4" borderId="0" xfId="0" applyFont="1" applyFill="1" applyBorder="1"/>
    <xf numFmtId="9" fontId="0" fillId="0" borderId="0" xfId="0" applyNumberFormat="1"/>
    <xf numFmtId="166" fontId="0" fillId="0" borderId="0" xfId="0" applyNumberFormat="1"/>
    <xf numFmtId="0" fontId="25" fillId="8" borderId="0" xfId="0" applyFont="1" applyFill="1"/>
    <xf numFmtId="165" fontId="22" fillId="8" borderId="0" xfId="0" applyNumberFormat="1" applyFont="1" applyFill="1"/>
    <xf numFmtId="165" fontId="26" fillId="8" borderId="4" xfId="0" applyNumberFormat="1" applyFont="1" applyFill="1" applyBorder="1" applyAlignment="1">
      <alignment horizontal="center" vertical="center"/>
    </xf>
    <xf numFmtId="49" fontId="25" fillId="8" borderId="0" xfId="0" applyNumberFormat="1" applyFont="1" applyFill="1"/>
    <xf numFmtId="4" fontId="0" fillId="2" borderId="0" xfId="0" applyNumberFormat="1" applyFill="1" applyBorder="1"/>
    <xf numFmtId="4" fontId="3" fillId="8" borderId="23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5" fontId="21" fillId="2" borderId="0" xfId="0" applyNumberFormat="1" applyFont="1" applyFill="1" applyBorder="1" applyAlignment="1">
      <alignment horizontal="center"/>
    </xf>
    <xf numFmtId="16" fontId="21" fillId="2" borderId="0" xfId="0" applyNumberFormat="1" applyFont="1" applyFill="1" applyBorder="1" applyAlignment="1">
      <alignment vertical="center"/>
    </xf>
    <xf numFmtId="0" fontId="22" fillId="0" borderId="0" xfId="0" applyFont="1"/>
    <xf numFmtId="4" fontId="4" fillId="0" borderId="5" xfId="0" applyNumberFormat="1" applyFont="1" applyBorder="1"/>
    <xf numFmtId="0" fontId="0" fillId="4" borderId="0" xfId="0" applyFill="1"/>
    <xf numFmtId="4" fontId="0" fillId="2" borderId="0" xfId="0" applyNumberFormat="1" applyFill="1" applyBorder="1" applyAlignment="1">
      <alignment horizontal="center" vertical="center"/>
    </xf>
    <xf numFmtId="16" fontId="21" fillId="2" borderId="0" xfId="0" applyNumberFormat="1" applyFont="1" applyFill="1" applyBorder="1" applyAlignment="1">
      <alignment horizontal="center"/>
    </xf>
    <xf numFmtId="165" fontId="5" fillId="2" borderId="0" xfId="0" applyNumberFormat="1" applyFont="1" applyFill="1" applyBorder="1"/>
    <xf numFmtId="2" fontId="0" fillId="2" borderId="0" xfId="0" applyNumberFormat="1" applyFill="1" applyBorder="1"/>
    <xf numFmtId="165" fontId="27" fillId="2" borderId="0" xfId="0" applyNumberFormat="1" applyFont="1" applyFill="1" applyBorder="1" applyAlignment="1">
      <alignment horizontal="center"/>
    </xf>
    <xf numFmtId="16" fontId="27" fillId="2" borderId="0" xfId="0" applyNumberFormat="1" applyFont="1" applyFill="1" applyBorder="1" applyAlignment="1">
      <alignment horizontal="center"/>
    </xf>
    <xf numFmtId="165" fontId="0" fillId="2" borderId="0" xfId="0" applyNumberFormat="1" applyFill="1" applyBorder="1"/>
    <xf numFmtId="0" fontId="0" fillId="0" borderId="4" xfId="0" applyBorder="1"/>
    <xf numFmtId="4" fontId="29" fillId="0" borderId="2" xfId="0" applyNumberFormat="1" applyFont="1" applyBorder="1"/>
    <xf numFmtId="0" fontId="3" fillId="0" borderId="25" xfId="0" applyFont="1" applyBorder="1"/>
    <xf numFmtId="4" fontId="29" fillId="0" borderId="6" xfId="0" applyNumberFormat="1" applyFont="1" applyBorder="1"/>
    <xf numFmtId="4" fontId="29" fillId="0" borderId="2" xfId="0" applyNumberFormat="1" applyFont="1" applyBorder="1" applyAlignment="1">
      <alignment horizontal="right" vertical="center"/>
    </xf>
    <xf numFmtId="0" fontId="3" fillId="11" borderId="23" xfId="0" applyFont="1" applyFill="1" applyBorder="1" applyAlignment="1">
      <alignment horizontal="right"/>
    </xf>
    <xf numFmtId="165" fontId="3" fillId="0" borderId="0" xfId="0" applyNumberFormat="1" applyFont="1" applyAlignment="1">
      <alignment horizontal="right" vertical="center"/>
    </xf>
    <xf numFmtId="0" fontId="0" fillId="13" borderId="28" xfId="0" applyFill="1" applyBorder="1"/>
    <xf numFmtId="6" fontId="0" fillId="13" borderId="29" xfId="0" applyNumberFormat="1" applyFill="1" applyBorder="1"/>
    <xf numFmtId="0" fontId="3" fillId="13" borderId="30" xfId="0" applyFont="1" applyFill="1" applyBorder="1" applyAlignment="1">
      <alignment horizontal="center"/>
    </xf>
    <xf numFmtId="6" fontId="0" fillId="13" borderId="31" xfId="0" applyNumberFormat="1" applyFill="1" applyBorder="1"/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13" borderId="35" xfId="0" applyFont="1" applyFill="1" applyBorder="1" applyAlignment="1">
      <alignment horizontal="center"/>
    </xf>
    <xf numFmtId="6" fontId="0" fillId="13" borderId="36" xfId="0" applyNumberFormat="1" applyFill="1" applyBorder="1"/>
    <xf numFmtId="4" fontId="0" fillId="0" borderId="0" xfId="0" applyNumberFormat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4" fontId="6" fillId="11" borderId="4" xfId="0" applyNumberFormat="1" applyFont="1" applyFill="1" applyBorder="1" applyAlignment="1">
      <alignment horizontal="center" vertical="center"/>
    </xf>
    <xf numFmtId="0" fontId="3" fillId="13" borderId="18" xfId="0" applyFont="1" applyFill="1" applyBorder="1" applyAlignment="1">
      <alignment horizontal="center"/>
    </xf>
    <xf numFmtId="15" fontId="27" fillId="0" borderId="38" xfId="0" applyNumberFormat="1" applyFont="1" applyBorder="1" applyAlignment="1">
      <alignment horizontal="center"/>
    </xf>
    <xf numFmtId="0" fontId="0" fillId="13" borderId="36" xfId="0" applyFill="1" applyBorder="1" applyAlignment="1">
      <alignment horizontal="center"/>
    </xf>
    <xf numFmtId="15" fontId="27" fillId="0" borderId="40" xfId="0" applyNumberFormat="1" applyFont="1" applyBorder="1" applyAlignment="1">
      <alignment horizontal="center"/>
    </xf>
    <xf numFmtId="4" fontId="30" fillId="11" borderId="2" xfId="0" applyNumberFormat="1" applyFont="1" applyFill="1" applyBorder="1" applyAlignment="1">
      <alignment horizontal="center" vertical="center"/>
    </xf>
    <xf numFmtId="4" fontId="30" fillId="11" borderId="4" xfId="0" applyNumberFormat="1" applyFont="1" applyFill="1" applyBorder="1" applyAlignment="1">
      <alignment horizontal="center" vertical="center"/>
    </xf>
    <xf numFmtId="0" fontId="0" fillId="13" borderId="12" xfId="0" applyFill="1" applyBorder="1" applyAlignment="1">
      <alignment horizontal="center"/>
    </xf>
    <xf numFmtId="15" fontId="27" fillId="0" borderId="42" xfId="0" applyNumberFormat="1" applyFont="1" applyBorder="1" applyAlignment="1">
      <alignment horizontal="center"/>
    </xf>
    <xf numFmtId="0" fontId="0" fillId="13" borderId="43" xfId="0" applyFill="1" applyBorder="1"/>
    <xf numFmtId="6" fontId="0" fillId="13" borderId="44" xfId="0" applyNumberFormat="1" applyFill="1" applyBorder="1"/>
    <xf numFmtId="15" fontId="27" fillId="0" borderId="8" xfId="0" applyNumberFormat="1" applyFont="1" applyBorder="1" applyAlignment="1">
      <alignment horizontal="center"/>
    </xf>
    <xf numFmtId="15" fontId="27" fillId="0" borderId="20" xfId="0" applyNumberFormat="1" applyFont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4" fillId="0" borderId="0" xfId="0" applyFont="1"/>
    <xf numFmtId="0" fontId="31" fillId="0" borderId="0" xfId="0" applyFont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4" fontId="14" fillId="0" borderId="0" xfId="0" applyNumberFormat="1" applyFont="1"/>
    <xf numFmtId="4" fontId="18" fillId="0" borderId="0" xfId="0" applyNumberFormat="1" applyFont="1"/>
    <xf numFmtId="0" fontId="18" fillId="0" borderId="0" xfId="0" applyFont="1"/>
    <xf numFmtId="15" fontId="27" fillId="0" borderId="7" xfId="0" applyNumberFormat="1" applyFont="1" applyBorder="1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quotePrefix="1"/>
    <xf numFmtId="14" fontId="0" fillId="5" borderId="5" xfId="0" applyNumberFormat="1" applyFill="1" applyBorder="1" applyAlignment="1"/>
    <xf numFmtId="164" fontId="6" fillId="4" borderId="1" xfId="0" applyNumberFormat="1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/>
    </xf>
    <xf numFmtId="0" fontId="34" fillId="0" borderId="4" xfId="0" applyFont="1" applyBorder="1"/>
    <xf numFmtId="0" fontId="35" fillId="0" borderId="4" xfId="0" applyFont="1" applyBorder="1"/>
    <xf numFmtId="4" fontId="37" fillId="0" borderId="0" xfId="0" applyNumberFormat="1" applyFont="1"/>
    <xf numFmtId="10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3" xfId="0" applyBorder="1"/>
    <xf numFmtId="0" fontId="0" fillId="0" borderId="48" xfId="0" applyBorder="1"/>
    <xf numFmtId="0" fontId="0" fillId="0" borderId="10" xfId="0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23" fillId="14" borderId="37" xfId="0" applyNumberFormat="1" applyFont="1" applyFill="1" applyBorder="1" applyAlignment="1">
      <alignment horizontal="right" indent="2"/>
    </xf>
    <xf numFmtId="165" fontId="23" fillId="14" borderId="39" xfId="0" applyNumberFormat="1" applyFont="1" applyFill="1" applyBorder="1" applyAlignment="1">
      <alignment horizontal="right" indent="2"/>
    </xf>
    <xf numFmtId="165" fontId="23" fillId="14" borderId="41" xfId="0" applyNumberFormat="1" applyFont="1" applyFill="1" applyBorder="1" applyAlignment="1">
      <alignment horizontal="right" indent="2"/>
    </xf>
    <xf numFmtId="165" fontId="23" fillId="14" borderId="45" xfId="0" applyNumberFormat="1" applyFont="1" applyFill="1" applyBorder="1" applyAlignment="1">
      <alignment horizontal="right" indent="2"/>
    </xf>
    <xf numFmtId="165" fontId="23" fillId="14" borderId="46" xfId="0" applyNumberFormat="1" applyFont="1" applyFill="1" applyBorder="1" applyAlignment="1">
      <alignment horizontal="right" indent="2"/>
    </xf>
    <xf numFmtId="165" fontId="23" fillId="15" borderId="46" xfId="0" applyNumberFormat="1" applyFont="1" applyFill="1" applyBorder="1" applyAlignment="1">
      <alignment horizontal="right" indent="2"/>
    </xf>
    <xf numFmtId="165" fontId="23" fillId="14" borderId="7" xfId="0" applyNumberFormat="1" applyFont="1" applyFill="1" applyBorder="1" applyAlignment="1">
      <alignment horizontal="right" indent="2"/>
    </xf>
    <xf numFmtId="0" fontId="0" fillId="0" borderId="0" xfId="0" applyAlignment="1">
      <alignment horizontal="right" indent="2"/>
    </xf>
    <xf numFmtId="0" fontId="0" fillId="16" borderId="10" xfId="0" applyFill="1" applyBorder="1" applyAlignment="1">
      <alignment horizontal="right" indent="1"/>
    </xf>
    <xf numFmtId="2" fontId="0" fillId="16" borderId="10" xfId="0" applyNumberFormat="1" applyFill="1" applyBorder="1" applyAlignment="1">
      <alignment horizontal="right" indent="1"/>
    </xf>
    <xf numFmtId="0" fontId="0" fillId="3" borderId="0" xfId="0" applyFill="1" applyBorder="1" applyAlignment="1">
      <alignment horizontal="center"/>
    </xf>
    <xf numFmtId="165" fontId="5" fillId="0" borderId="0" xfId="0" applyNumberFormat="1" applyFont="1" applyBorder="1"/>
    <xf numFmtId="165" fontId="0" fillId="0" borderId="0" xfId="0" applyNumberFormat="1" applyBorder="1"/>
    <xf numFmtId="0" fontId="3" fillId="0" borderId="0" xfId="0" applyFont="1" applyBorder="1"/>
    <xf numFmtId="16" fontId="27" fillId="0" borderId="0" xfId="0" applyNumberFormat="1" applyFont="1" applyBorder="1" applyAlignment="1">
      <alignment horizontal="center" vertical="center"/>
    </xf>
    <xf numFmtId="0" fontId="18" fillId="0" borderId="0" xfId="0" applyFont="1" applyBorder="1"/>
    <xf numFmtId="165" fontId="23" fillId="2" borderId="0" xfId="0" applyNumberFormat="1" applyFont="1" applyFill="1" applyBorder="1" applyAlignment="1">
      <alignment horizontal="center"/>
    </xf>
    <xf numFmtId="165" fontId="23" fillId="2" borderId="0" xfId="0" applyNumberFormat="1" applyFont="1" applyFill="1" applyBorder="1" applyAlignment="1">
      <alignment horizontal="center" vertical="center"/>
    </xf>
    <xf numFmtId="165" fontId="37" fillId="0" borderId="0" xfId="0" applyNumberFormat="1" applyFont="1" applyAlignment="1">
      <alignment horizontal="right" vertical="center"/>
    </xf>
    <xf numFmtId="0" fontId="37" fillId="13" borderId="28" xfId="0" applyFont="1" applyFill="1" applyBorder="1"/>
    <xf numFmtId="6" fontId="37" fillId="13" borderId="18" xfId="0" applyNumberFormat="1" applyFont="1" applyFill="1" applyBorder="1"/>
    <xf numFmtId="0" fontId="13" fillId="13" borderId="28" xfId="0" applyFont="1" applyFill="1" applyBorder="1"/>
    <xf numFmtId="6" fontId="13" fillId="13" borderId="29" xfId="0" applyNumberFormat="1" applyFont="1" applyFill="1" applyBorder="1"/>
    <xf numFmtId="6" fontId="0" fillId="13" borderId="49" xfId="0" applyNumberFormat="1" applyFill="1" applyBorder="1"/>
    <xf numFmtId="2" fontId="6" fillId="9" borderId="5" xfId="0" applyNumberFormat="1" applyFont="1" applyFill="1" applyBorder="1"/>
    <xf numFmtId="0" fontId="0" fillId="0" borderId="0" xfId="0" applyBorder="1" applyAlignment="1">
      <alignment horizontal="right"/>
    </xf>
    <xf numFmtId="165" fontId="23" fillId="14" borderId="7" xfId="0" applyNumberFormat="1" applyFont="1" applyFill="1" applyBorder="1" applyAlignment="1"/>
    <xf numFmtId="165" fontId="22" fillId="8" borderId="17" xfId="0" applyNumberFormat="1" applyFont="1" applyFill="1" applyBorder="1"/>
    <xf numFmtId="9" fontId="0" fillId="0" borderId="4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4" fontId="14" fillId="0" borderId="4" xfId="0" applyNumberFormat="1" applyFont="1" applyBorder="1"/>
    <xf numFmtId="0" fontId="6" fillId="0" borderId="4" xfId="0" applyFont="1" applyFill="1" applyBorder="1" applyAlignment="1">
      <alignment horizontal="center" vertical="center"/>
    </xf>
    <xf numFmtId="4" fontId="6" fillId="0" borderId="23" xfId="0" applyNumberFormat="1" applyFont="1" applyBorder="1"/>
    <xf numFmtId="4" fontId="6" fillId="0" borderId="10" xfId="0" applyNumberFormat="1" applyFont="1" applyBorder="1"/>
    <xf numFmtId="4" fontId="6" fillId="0" borderId="17" xfId="0" applyNumberFormat="1" applyFont="1" applyBorder="1"/>
    <xf numFmtId="165" fontId="23" fillId="14" borderId="50" xfId="0" applyNumberFormat="1" applyFont="1" applyFill="1" applyBorder="1" applyAlignment="1"/>
    <xf numFmtId="165" fontId="23" fillId="15" borderId="7" xfId="0" applyNumberFormat="1" applyFont="1" applyFill="1" applyBorder="1" applyAlignment="1"/>
    <xf numFmtId="0" fontId="1" fillId="0" borderId="0" xfId="0" applyFont="1" applyAlignment="1">
      <alignment horizontal="center"/>
    </xf>
    <xf numFmtId="2" fontId="38" fillId="16" borderId="10" xfId="0" applyNumberFormat="1" applyFont="1" applyFill="1" applyBorder="1" applyAlignment="1">
      <alignment horizontal="right" indent="1"/>
    </xf>
    <xf numFmtId="2" fontId="40" fillId="0" borderId="15" xfId="0" applyNumberFormat="1" applyFont="1" applyBorder="1"/>
    <xf numFmtId="2" fontId="13" fillId="0" borderId="15" xfId="0" applyNumberFormat="1" applyFont="1" applyBorder="1"/>
    <xf numFmtId="2" fontId="41" fillId="0" borderId="15" xfId="0" applyNumberFormat="1" applyFont="1" applyBorder="1"/>
    <xf numFmtId="0" fontId="0" fillId="4" borderId="0" xfId="0" applyFill="1" applyBorder="1" applyAlignment="1">
      <alignment horizontal="center" vertical="center"/>
    </xf>
    <xf numFmtId="2" fontId="6" fillId="3" borderId="3" xfId="0" applyNumberFormat="1" applyFont="1" applyFill="1" applyBorder="1" applyAlignment="1">
      <alignment horizontal="right"/>
    </xf>
    <xf numFmtId="2" fontId="6" fillId="3" borderId="9" xfId="0" applyNumberFormat="1" applyFont="1" applyFill="1" applyBorder="1" applyAlignment="1">
      <alignment horizontal="right"/>
    </xf>
    <xf numFmtId="0" fontId="42" fillId="0" borderId="9" xfId="0" applyFont="1" applyBorder="1"/>
    <xf numFmtId="0" fontId="42" fillId="0" borderId="3" xfId="0" applyFont="1" applyBorder="1"/>
    <xf numFmtId="0" fontId="6" fillId="4" borderId="9" xfId="0" applyFont="1" applyFill="1" applyBorder="1"/>
    <xf numFmtId="0" fontId="6" fillId="4" borderId="3" xfId="0" applyFont="1" applyFill="1" applyBorder="1"/>
    <xf numFmtId="2" fontId="6" fillId="7" borderId="3" xfId="0" applyNumberFormat="1" applyFont="1" applyFill="1" applyBorder="1" applyAlignment="1">
      <alignment horizontal="right"/>
    </xf>
    <xf numFmtId="2" fontId="6" fillId="2" borderId="9" xfId="0" applyNumberFormat="1" applyFont="1" applyFill="1" applyBorder="1" applyAlignment="1">
      <alignment horizontal="right"/>
    </xf>
    <xf numFmtId="2" fontId="6" fillId="2" borderId="3" xfId="0" applyNumberFormat="1" applyFont="1" applyFill="1" applyBorder="1" applyAlignment="1">
      <alignment horizontal="right"/>
    </xf>
    <xf numFmtId="2" fontId="6" fillId="7" borderId="9" xfId="0" applyNumberFormat="1" applyFont="1" applyFill="1" applyBorder="1" applyAlignment="1">
      <alignment horizontal="right"/>
    </xf>
    <xf numFmtId="2" fontId="43" fillId="4" borderId="3" xfId="0" applyNumberFormat="1" applyFont="1" applyFill="1" applyBorder="1" applyAlignment="1">
      <alignment horizontal="center"/>
    </xf>
    <xf numFmtId="2" fontId="6" fillId="3" borderId="12" xfId="0" applyNumberFormat="1" applyFont="1" applyFill="1" applyBorder="1" applyAlignment="1">
      <alignment horizontal="right"/>
    </xf>
    <xf numFmtId="2" fontId="6" fillId="3" borderId="11" xfId="0" applyNumberFormat="1" applyFont="1" applyFill="1" applyBorder="1" applyAlignment="1">
      <alignment horizontal="right"/>
    </xf>
    <xf numFmtId="2" fontId="3" fillId="4" borderId="3" xfId="0" applyNumberFormat="1" applyFont="1" applyFill="1" applyBorder="1" applyAlignment="1">
      <alignment horizontal="center"/>
    </xf>
    <xf numFmtId="0" fontId="3" fillId="0" borderId="3" xfId="0" applyFont="1" applyBorder="1"/>
    <xf numFmtId="0" fontId="43" fillId="0" borderId="9" xfId="0" applyFont="1" applyBorder="1"/>
    <xf numFmtId="0" fontId="43" fillId="0" borderId="3" xfId="0" applyFont="1" applyBorder="1"/>
    <xf numFmtId="0" fontId="43" fillId="4" borderId="9" xfId="0" applyFont="1" applyFill="1" applyBorder="1"/>
    <xf numFmtId="2" fontId="6" fillId="4" borderId="3" xfId="0" applyNumberFormat="1" applyFont="1" applyFill="1" applyBorder="1" applyAlignment="1">
      <alignment horizontal="center"/>
    </xf>
    <xf numFmtId="2" fontId="6" fillId="7" borderId="11" xfId="0" applyNumberFormat="1" applyFont="1" applyFill="1" applyBorder="1" applyAlignment="1">
      <alignment horizontal="right"/>
    </xf>
    <xf numFmtId="0" fontId="6" fillId="0" borderId="11" xfId="0" applyFont="1" applyBorder="1"/>
    <xf numFmtId="0" fontId="6" fillId="4" borderId="9" xfId="0" applyFont="1" applyFill="1" applyBorder="1" applyAlignment="1">
      <alignment horizontal="right"/>
    </xf>
    <xf numFmtId="2" fontId="6" fillId="4" borderId="3" xfId="0" applyNumberFormat="1" applyFont="1" applyFill="1" applyBorder="1" applyAlignment="1">
      <alignment horizontal="right"/>
    </xf>
    <xf numFmtId="2" fontId="3" fillId="4" borderId="3" xfId="0" applyNumberFormat="1" applyFont="1" applyFill="1" applyBorder="1"/>
    <xf numFmtId="0" fontId="43" fillId="4" borderId="3" xfId="0" applyFont="1" applyFill="1" applyBorder="1"/>
    <xf numFmtId="0" fontId="20" fillId="0" borderId="9" xfId="0" applyFont="1" applyBorder="1"/>
    <xf numFmtId="0" fontId="20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10" fontId="0" fillId="16" borderId="10" xfId="0" applyNumberFormat="1" applyFill="1" applyBorder="1" applyAlignment="1">
      <alignment horizontal="right" vertical="center" indent="1"/>
    </xf>
    <xf numFmtId="0" fontId="29" fillId="0" borderId="0" xfId="0" applyFont="1"/>
    <xf numFmtId="0" fontId="6" fillId="3" borderId="0" xfId="0" applyFont="1" applyFill="1" applyBorder="1" applyAlignment="1">
      <alignment horizontal="center"/>
    </xf>
    <xf numFmtId="0" fontId="0" fillId="0" borderId="0" xfId="0" applyAlignment="1">
      <alignment horizontal="right" vertical="top"/>
    </xf>
    <xf numFmtId="0" fontId="6" fillId="5" borderId="0" xfId="0" applyFont="1" applyFill="1" applyBorder="1"/>
    <xf numFmtId="2" fontId="6" fillId="5" borderId="9" xfId="0" applyNumberFormat="1" applyFont="1" applyFill="1" applyBorder="1" applyAlignment="1">
      <alignment horizontal="right"/>
    </xf>
    <xf numFmtId="165" fontId="26" fillId="8" borderId="0" xfId="0" applyNumberFormat="1" applyFont="1" applyFill="1"/>
    <xf numFmtId="2" fontId="6" fillId="5" borderId="3" xfId="0" applyNumberFormat="1" applyFont="1" applyFill="1" applyBorder="1" applyAlignment="1">
      <alignment horizontal="right"/>
    </xf>
    <xf numFmtId="0" fontId="20" fillId="0" borderId="14" xfId="0" applyFont="1" applyBorder="1"/>
    <xf numFmtId="0" fontId="20" fillId="0" borderId="15" xfId="0" applyFont="1" applyBorder="1"/>
    <xf numFmtId="2" fontId="6" fillId="5" borderId="11" xfId="0" applyNumberFormat="1" applyFont="1" applyFill="1" applyBorder="1" applyAlignment="1">
      <alignment horizontal="right"/>
    </xf>
    <xf numFmtId="0" fontId="20" fillId="4" borderId="14" xfId="0" applyFont="1" applyFill="1" applyBorder="1"/>
    <xf numFmtId="0" fontId="20" fillId="4" borderId="16" xfId="0" applyFont="1" applyFill="1" applyBorder="1"/>
    <xf numFmtId="0" fontId="7" fillId="2" borderId="7" xfId="0" applyNumberFormat="1" applyFont="1" applyFill="1" applyBorder="1" applyAlignment="1">
      <alignment horizontal="center"/>
    </xf>
    <xf numFmtId="164" fontId="3" fillId="2" borderId="8" xfId="0" applyNumberFormat="1" applyFont="1" applyFill="1" applyBorder="1" applyAlignment="1">
      <alignment horizontal="right"/>
    </xf>
    <xf numFmtId="1" fontId="0" fillId="0" borderId="4" xfId="0" applyNumberFormat="1" applyBorder="1" applyAlignment="1">
      <alignment horizontal="center"/>
    </xf>
    <xf numFmtId="2" fontId="6" fillId="2" borderId="12" xfId="0" applyNumberFormat="1" applyFont="1" applyFill="1" applyBorder="1" applyAlignment="1">
      <alignment horizontal="right"/>
    </xf>
    <xf numFmtId="2" fontId="6" fillId="2" borderId="11" xfId="0" applyNumberFormat="1" applyFont="1" applyFill="1" applyBorder="1" applyAlignment="1">
      <alignment horizontal="right"/>
    </xf>
    <xf numFmtId="167" fontId="0" fillId="17" borderId="15" xfId="0" applyNumberFormat="1" applyFill="1" applyBorder="1"/>
    <xf numFmtId="167" fontId="0" fillId="12" borderId="4" xfId="0" applyNumberFormat="1" applyFill="1" applyBorder="1" applyAlignment="1"/>
    <xf numFmtId="0" fontId="6" fillId="0" borderId="0" xfId="0" applyFont="1" applyBorder="1" applyAlignment="1">
      <alignment horizontal="center"/>
    </xf>
    <xf numFmtId="164" fontId="3" fillId="2" borderId="0" xfId="0" applyNumberFormat="1" applyFont="1" applyFill="1" applyBorder="1" applyAlignment="1">
      <alignment horizontal="right"/>
    </xf>
    <xf numFmtId="0" fontId="1" fillId="0" borderId="51" xfId="0" applyFont="1" applyBorder="1" applyAlignment="1">
      <alignment horizontal="center" vertical="center"/>
    </xf>
    <xf numFmtId="2" fontId="1" fillId="16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41" fillId="0" borderId="0" xfId="0" applyNumberFormat="1" applyFont="1" applyBorder="1"/>
    <xf numFmtId="2" fontId="40" fillId="0" borderId="0" xfId="0" applyNumberFormat="1" applyFont="1" applyBorder="1"/>
    <xf numFmtId="2" fontId="13" fillId="0" borderId="0" xfId="0" applyNumberFormat="1" applyFont="1" applyBorder="1"/>
    <xf numFmtId="4" fontId="0" fillId="16" borderId="10" xfId="0" applyNumberFormat="1" applyFill="1" applyBorder="1" applyAlignment="1">
      <alignment horizontal="right" vertical="center" indent="1"/>
    </xf>
    <xf numFmtId="4" fontId="0" fillId="0" borderId="10" xfId="0" applyNumberFormat="1" applyBorder="1"/>
    <xf numFmtId="4" fontId="0" fillId="0" borderId="17" xfId="0" applyNumberFormat="1" applyBorder="1"/>
    <xf numFmtId="4" fontId="0" fillId="0" borderId="0" xfId="0" applyNumberFormat="1" applyBorder="1"/>
    <xf numFmtId="0" fontId="46" fillId="2" borderId="0" xfId="0" applyFont="1" applyFill="1" applyAlignment="1">
      <alignment horizontal="center"/>
    </xf>
    <xf numFmtId="49" fontId="0" fillId="18" borderId="0" xfId="0" applyNumberFormat="1" applyFill="1" applyBorder="1" applyAlignment="1">
      <alignment horizontal="center" vertical="center"/>
    </xf>
    <xf numFmtId="0" fontId="3" fillId="5" borderId="0" xfId="0" applyFont="1" applyFill="1"/>
    <xf numFmtId="0" fontId="45" fillId="5" borderId="0" xfId="0" applyFont="1" applyFill="1"/>
    <xf numFmtId="0" fontId="3" fillId="5" borderId="0" xfId="0" applyFont="1" applyFill="1" applyBorder="1"/>
    <xf numFmtId="0" fontId="0" fillId="5" borderId="0" xfId="0" applyFill="1"/>
    <xf numFmtId="2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8" fontId="0" fillId="16" borderId="10" xfId="0" applyNumberFormat="1" applyFill="1" applyBorder="1" applyAlignment="1">
      <alignment horizontal="right" vertical="center" indent="1"/>
    </xf>
    <xf numFmtId="2" fontId="0" fillId="16" borderId="0" xfId="0" applyNumberFormat="1" applyFill="1" applyAlignment="1">
      <alignment horizontal="right" indent="1"/>
    </xf>
    <xf numFmtId="165" fontId="22" fillId="8" borderId="4" xfId="0" applyNumberFormat="1" applyFont="1" applyFill="1" applyBorder="1"/>
    <xf numFmtId="168" fontId="0" fillId="0" borderId="0" xfId="0" applyNumberFormat="1"/>
    <xf numFmtId="0" fontId="0" fillId="16" borderId="13" xfId="0" applyFill="1" applyBorder="1" applyAlignment="1">
      <alignment horizontal="left" vertical="center" indent="1"/>
    </xf>
    <xf numFmtId="49" fontId="47" fillId="0" borderId="0" xfId="0" applyNumberFormat="1" applyFont="1" applyAlignment="1">
      <alignment horizontal="center" wrapText="1"/>
    </xf>
    <xf numFmtId="4" fontId="40" fillId="0" borderId="15" xfId="0" applyNumberFormat="1" applyFont="1" applyBorder="1"/>
    <xf numFmtId="4" fontId="0" fillId="16" borderId="10" xfId="0" applyNumberFormat="1" applyFill="1" applyBorder="1" applyAlignment="1">
      <alignment horizontal="right" vertical="center"/>
    </xf>
    <xf numFmtId="4" fontId="0" fillId="0" borderId="10" xfId="0" applyNumberFormat="1" applyBorder="1" applyAlignment="1"/>
    <xf numFmtId="4" fontId="0" fillId="0" borderId="17" xfId="0" applyNumberFormat="1" applyBorder="1" applyAlignment="1"/>
    <xf numFmtId="4" fontId="0" fillId="0" borderId="3" xfId="0" applyNumberFormat="1" applyBorder="1"/>
    <xf numFmtId="164" fontId="0" fillId="16" borderId="3" xfId="0" applyNumberFormat="1" applyFill="1" applyBorder="1" applyAlignment="1">
      <alignment horizontal="right" vertical="center" indent="1"/>
    </xf>
    <xf numFmtId="4" fontId="0" fillId="0" borderId="15" xfId="0" applyNumberFormat="1" applyBorder="1"/>
    <xf numFmtId="0" fontId="0" fillId="4" borderId="0" xfId="0" applyFill="1" applyBorder="1" applyAlignment="1">
      <alignment horizontal="center" vertical="center"/>
    </xf>
    <xf numFmtId="0" fontId="6" fillId="5" borderId="4" xfId="0" applyFont="1" applyFill="1" applyBorder="1"/>
    <xf numFmtId="0" fontId="0" fillId="4" borderId="24" xfId="0" applyFill="1" applyBorder="1" applyAlignment="1"/>
    <xf numFmtId="0" fontId="0" fillId="4" borderId="22" xfId="0" applyFill="1" applyBorder="1" applyAlignment="1"/>
    <xf numFmtId="2" fontId="0" fillId="11" borderId="5" xfId="0" applyNumberFormat="1" applyFill="1" applyBorder="1" applyAlignment="1">
      <alignment horizontal="center" vertical="center"/>
    </xf>
    <xf numFmtId="2" fontId="48" fillId="11" borderId="5" xfId="0" applyNumberFormat="1" applyFont="1" applyFill="1" applyBorder="1" applyAlignment="1">
      <alignment horizontal="right" vertical="center"/>
    </xf>
    <xf numFmtId="4" fontId="0" fillId="0" borderId="0" xfId="0" applyNumberFormat="1" applyAlignment="1">
      <alignment vertical="center"/>
    </xf>
    <xf numFmtId="4" fontId="6" fillId="5" borderId="9" xfId="0" applyNumberFormat="1" applyFont="1" applyFill="1" applyBorder="1" applyAlignment="1">
      <alignment horizontal="right"/>
    </xf>
    <xf numFmtId="4" fontId="6" fillId="5" borderId="3" xfId="0" applyNumberFormat="1" applyFont="1" applyFill="1" applyBorder="1" applyAlignment="1">
      <alignment horizontal="right"/>
    </xf>
    <xf numFmtId="4" fontId="6" fillId="9" borderId="4" xfId="0" applyNumberFormat="1" applyFont="1" applyFill="1" applyBorder="1"/>
    <xf numFmtId="4" fontId="6" fillId="10" borderId="2" xfId="0" applyNumberFormat="1" applyFont="1" applyFill="1" applyBorder="1"/>
    <xf numFmtId="4" fontId="6" fillId="9" borderId="5" xfId="0" applyNumberFormat="1" applyFont="1" applyFill="1" applyBorder="1"/>
    <xf numFmtId="4" fontId="0" fillId="4" borderId="5" xfId="0" applyNumberFormat="1" applyFill="1" applyBorder="1" applyAlignment="1"/>
    <xf numFmtId="4" fontId="0" fillId="4" borderId="2" xfId="0" applyNumberFormat="1" applyFill="1" applyBorder="1" applyAlignment="1"/>
    <xf numFmtId="4" fontId="29" fillId="0" borderId="23" xfId="0" applyNumberFormat="1" applyFont="1" applyBorder="1" applyAlignment="1">
      <alignment horizontal="right" vertical="center"/>
    </xf>
    <xf numFmtId="4" fontId="29" fillId="0" borderId="10" xfId="0" applyNumberFormat="1" applyFont="1" applyBorder="1" applyAlignment="1">
      <alignment horizontal="right" vertical="center"/>
    </xf>
    <xf numFmtId="4" fontId="29" fillId="0" borderId="17" xfId="0" applyNumberFormat="1" applyFont="1" applyBorder="1" applyAlignment="1">
      <alignment horizontal="right" vertical="center"/>
    </xf>
    <xf numFmtId="165" fontId="28" fillId="0" borderId="23" xfId="0" applyNumberFormat="1" applyFont="1" applyBorder="1" applyAlignment="1">
      <alignment horizontal="center" vertical="center"/>
    </xf>
    <xf numFmtId="165" fontId="28" fillId="0" borderId="10" xfId="0" applyNumberFormat="1" applyFont="1" applyBorder="1" applyAlignment="1">
      <alignment horizontal="center" vertical="center"/>
    </xf>
    <xf numFmtId="165" fontId="28" fillId="0" borderId="17" xfId="0" applyNumberFormat="1" applyFont="1" applyBorder="1" applyAlignment="1">
      <alignment horizontal="center" vertical="center"/>
    </xf>
    <xf numFmtId="10" fontId="0" fillId="0" borderId="24" xfId="1" applyNumberFormat="1" applyFont="1" applyBorder="1" applyAlignment="1">
      <alignment horizontal="right" vertical="center"/>
    </xf>
    <xf numFmtId="10" fontId="0" fillId="0" borderId="12" xfId="1" applyNumberFormat="1" applyFont="1" applyBorder="1" applyAlignment="1">
      <alignment horizontal="right" vertical="center"/>
    </xf>
    <xf numFmtId="10" fontId="0" fillId="0" borderId="25" xfId="1" applyNumberFormat="1" applyFont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11" borderId="5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2" fontId="0" fillId="4" borderId="5" xfId="0" applyNumberFormat="1" applyFill="1" applyBorder="1" applyAlignment="1">
      <alignment horizontal="center" vertical="top"/>
    </xf>
    <xf numFmtId="2" fontId="0" fillId="4" borderId="2" xfId="0" applyNumberFormat="1" applyFill="1" applyBorder="1" applyAlignment="1">
      <alignment horizontal="center" vertical="top"/>
    </xf>
    <xf numFmtId="2" fontId="0" fillId="18" borderId="5" xfId="0" applyNumberFormat="1" applyFill="1" applyBorder="1" applyAlignment="1">
      <alignment horizontal="center" vertical="center"/>
    </xf>
    <xf numFmtId="2" fontId="0" fillId="18" borderId="2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left"/>
    </xf>
    <xf numFmtId="0" fontId="0" fillId="4" borderId="20" xfId="0" applyFill="1" applyBorder="1" applyAlignment="1">
      <alignment horizontal="left"/>
    </xf>
    <xf numFmtId="2" fontId="0" fillId="18" borderId="6" xfId="0" applyNumberForma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2" fontId="0" fillId="18" borderId="5" xfId="0" applyNumberFormat="1" applyFill="1" applyBorder="1" applyAlignment="1">
      <alignment horizontal="center"/>
    </xf>
    <xf numFmtId="2" fontId="0" fillId="18" borderId="2" xfId="0" applyNumberFormat="1" applyFill="1" applyBorder="1" applyAlignment="1">
      <alignment horizontal="center"/>
    </xf>
    <xf numFmtId="4" fontId="22" fillId="8" borderId="5" xfId="0" applyNumberFormat="1" applyFont="1" applyFill="1" applyBorder="1" applyAlignment="1">
      <alignment horizontal="center"/>
    </xf>
    <xf numFmtId="4" fontId="22" fillId="8" borderId="6" xfId="0" applyNumberFormat="1" applyFont="1" applyFill="1" applyBorder="1" applyAlignment="1">
      <alignment horizontal="center"/>
    </xf>
    <xf numFmtId="4" fontId="22" fillId="8" borderId="2" xfId="0" applyNumberFormat="1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4" fontId="0" fillId="11" borderId="5" xfId="0" applyNumberFormat="1" applyFill="1" applyBorder="1" applyAlignment="1">
      <alignment horizontal="center"/>
    </xf>
    <xf numFmtId="4" fontId="0" fillId="11" borderId="2" xfId="0" applyNumberFormat="1" applyFill="1" applyBorder="1" applyAlignment="1">
      <alignment horizontal="center"/>
    </xf>
    <xf numFmtId="2" fontId="6" fillId="8" borderId="5" xfId="0" applyNumberFormat="1" applyFont="1" applyFill="1" applyBorder="1" applyAlignment="1">
      <alignment horizontal="center"/>
    </xf>
    <xf numFmtId="2" fontId="6" fillId="8" borderId="6" xfId="0" applyNumberFormat="1" applyFont="1" applyFill="1" applyBorder="1" applyAlignment="1">
      <alignment horizontal="center"/>
    </xf>
    <xf numFmtId="2" fontId="6" fillId="8" borderId="2" xfId="0" applyNumberFormat="1" applyFont="1" applyFill="1" applyBorder="1" applyAlignment="1">
      <alignment horizontal="center"/>
    </xf>
    <xf numFmtId="4" fontId="0" fillId="18" borderId="5" xfId="0" applyNumberFormat="1" applyFill="1" applyBorder="1" applyAlignment="1">
      <alignment horizontal="center" vertical="center"/>
    </xf>
    <xf numFmtId="4" fontId="0" fillId="18" borderId="2" xfId="0" applyNumberFormat="1" applyFill="1" applyBorder="1" applyAlignment="1">
      <alignment horizontal="center" vertical="center"/>
    </xf>
    <xf numFmtId="4" fontId="0" fillId="4" borderId="5" xfId="0" applyNumberFormat="1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center" vertical="top"/>
    </xf>
    <xf numFmtId="2" fontId="0" fillId="11" borderId="5" xfId="0" applyNumberFormat="1" applyFill="1" applyBorder="1" applyAlignment="1">
      <alignment horizontal="center"/>
    </xf>
    <xf numFmtId="2" fontId="0" fillId="11" borderId="2" xfId="0" applyNumberForma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0" xfId="0" applyAlignment="1">
      <alignment horizontal="center" wrapText="1"/>
    </xf>
    <xf numFmtId="2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6" xfId="0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24" fillId="2" borderId="0" xfId="0" applyFont="1" applyFill="1" applyBorder="1" applyAlignment="1">
      <alignment horizontal="center" wrapText="1"/>
    </xf>
    <xf numFmtId="0" fontId="24" fillId="8" borderId="24" xfId="0" applyFont="1" applyFill="1" applyBorder="1" applyAlignment="1">
      <alignment horizontal="center" vertical="center" wrapText="1"/>
    </xf>
    <xf numFmtId="0" fontId="24" fillId="8" borderId="22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0" fontId="24" fillId="8" borderId="25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39" fillId="3" borderId="5" xfId="0" applyFont="1" applyFill="1" applyBorder="1" applyAlignment="1">
      <alignment horizontal="center"/>
    </xf>
    <xf numFmtId="0" fontId="39" fillId="3" borderId="2" xfId="0" applyFont="1" applyFill="1" applyBorder="1" applyAlignment="1">
      <alignment horizontal="center"/>
    </xf>
    <xf numFmtId="0" fontId="23" fillId="0" borderId="0" xfId="0" applyFont="1" applyAlignment="1">
      <alignment horizontal="left"/>
    </xf>
    <xf numFmtId="14" fontId="0" fillId="5" borderId="5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 vertical="top"/>
    </xf>
    <xf numFmtId="2" fontId="0" fillId="4" borderId="6" xfId="0" applyNumberFormat="1" applyFill="1" applyBorder="1" applyAlignment="1">
      <alignment horizontal="center" vertical="top"/>
    </xf>
    <xf numFmtId="0" fontId="6" fillId="6" borderId="6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1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CV171"/>
  <sheetViews>
    <sheetView topLeftCell="A4" zoomScaleNormal="100" workbookViewId="0">
      <pane xSplit="1" topLeftCell="C1" activePane="topRight" state="frozen"/>
      <selection activeCell="A43" sqref="A43"/>
      <selection pane="topRight" activeCell="M20" sqref="M20"/>
    </sheetView>
  </sheetViews>
  <sheetFormatPr baseColWidth="10" defaultColWidth="10.7265625" defaultRowHeight="14.5" x14ac:dyDescent="0.35"/>
  <cols>
    <col min="1" max="1" width="33.453125" customWidth="1"/>
    <col min="2" max="2" width="13.453125" hidden="1" customWidth="1"/>
    <col min="3" max="3" width="11.1796875" style="13" customWidth="1"/>
    <col min="4" max="4" width="5.81640625" style="14" customWidth="1"/>
    <col min="5" max="5" width="5.54296875" style="14" customWidth="1"/>
    <col min="6" max="6" width="11.26953125" bestFit="1" customWidth="1"/>
    <col min="7" max="7" width="9.54296875" style="125" customWidth="1"/>
    <col min="8" max="8" width="9.54296875" customWidth="1"/>
    <col min="9" max="9" width="4" customWidth="1"/>
    <col min="10" max="10" width="12.26953125" bestFit="1" customWidth="1"/>
    <col min="11" max="11" width="10.7265625" customWidth="1"/>
    <col min="12" max="12" width="13.26953125" customWidth="1"/>
    <col min="13" max="13" width="10.7265625" customWidth="1"/>
    <col min="14" max="14" width="12.81640625" customWidth="1"/>
    <col min="15" max="15" width="10.7265625" customWidth="1"/>
    <col min="16" max="16" width="13" bestFit="1" customWidth="1"/>
    <col min="17" max="17" width="14.1796875" customWidth="1"/>
    <col min="18" max="18" width="12.1796875" customWidth="1"/>
    <col min="19" max="19" width="13.7265625" bestFit="1" customWidth="1"/>
    <col min="20" max="20" width="17.26953125" customWidth="1"/>
    <col min="21" max="21" width="14.453125" bestFit="1" customWidth="1"/>
    <col min="22" max="22" width="20.7265625" bestFit="1" customWidth="1"/>
    <col min="23" max="23" width="19.26953125" customWidth="1"/>
    <col min="24" max="24" width="16.26953125" customWidth="1"/>
    <col min="25" max="25" width="17.453125" customWidth="1"/>
    <col min="26" max="26" width="14" bestFit="1" customWidth="1"/>
    <col min="27" max="27" width="21.1796875" bestFit="1" customWidth="1"/>
    <col min="28" max="28" width="21.1796875" customWidth="1"/>
    <col min="29" max="29" width="18.1796875" customWidth="1"/>
    <col min="30" max="30" width="15.453125" bestFit="1" customWidth="1"/>
    <col min="31" max="31" width="14.1796875" customWidth="1"/>
    <col min="32" max="32" width="14.1796875" bestFit="1" customWidth="1"/>
    <col min="33" max="33" width="22.1796875" customWidth="1"/>
    <col min="34" max="34" width="17.81640625" customWidth="1"/>
    <col min="35" max="35" width="14" customWidth="1"/>
    <col min="37" max="37" width="12.26953125" bestFit="1" customWidth="1"/>
    <col min="38" max="38" width="20.26953125" bestFit="1" customWidth="1"/>
  </cols>
  <sheetData>
    <row r="1" spans="1:100" ht="18.5" thickBot="1" x14ac:dyDescent="0.45">
      <c r="A1" s="6">
        <v>2021</v>
      </c>
      <c r="B1" s="7"/>
      <c r="C1" s="7"/>
      <c r="D1" s="8"/>
      <c r="E1" s="8"/>
      <c r="F1" s="7"/>
      <c r="G1" s="9"/>
      <c r="H1" s="7"/>
      <c r="I1" s="7"/>
      <c r="U1" s="10"/>
      <c r="AH1" s="10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BK1" s="11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</row>
    <row r="2" spans="1:100" ht="15" thickBot="1" x14ac:dyDescent="0.4">
      <c r="F2" s="21" t="s">
        <v>39</v>
      </c>
      <c r="G2" s="195" t="s">
        <v>33</v>
      </c>
      <c r="H2" s="196" t="s">
        <v>34</v>
      </c>
      <c r="I2" s="299"/>
      <c r="K2" s="15" t="s">
        <v>35</v>
      </c>
      <c r="L2" s="16" t="s">
        <v>36</v>
      </c>
      <c r="N2" s="17"/>
      <c r="O2" s="15" t="s">
        <v>35</v>
      </c>
      <c r="P2" s="16" t="s">
        <v>36</v>
      </c>
      <c r="R2" s="250"/>
      <c r="S2" s="15" t="s">
        <v>35</v>
      </c>
      <c r="T2" s="16" t="s">
        <v>36</v>
      </c>
      <c r="W2" s="18"/>
      <c r="X2" s="15" t="s">
        <v>35</v>
      </c>
      <c r="Y2" s="16" t="s">
        <v>36</v>
      </c>
      <c r="AA2" s="250"/>
      <c r="AB2" s="15" t="s">
        <v>217</v>
      </c>
      <c r="AC2" s="15" t="s">
        <v>35</v>
      </c>
      <c r="AD2" s="16" t="s">
        <v>36</v>
      </c>
      <c r="AH2" s="15" t="s">
        <v>35</v>
      </c>
      <c r="AI2" s="16" t="s">
        <v>36</v>
      </c>
      <c r="BK2" s="11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</row>
    <row r="3" spans="1:100" ht="15" thickBot="1" x14ac:dyDescent="0.4">
      <c r="A3" s="19"/>
      <c r="B3" s="19"/>
      <c r="C3" s="20"/>
      <c r="D3" s="22" t="s">
        <v>37</v>
      </c>
      <c r="E3" s="23" t="s">
        <v>38</v>
      </c>
      <c r="F3" s="194">
        <f ca="1">TODAY()</f>
        <v>44705</v>
      </c>
      <c r="G3" s="405" t="e">
        <f>#REF!</f>
        <v>#REF!</v>
      </c>
      <c r="H3" s="406"/>
      <c r="I3" s="299"/>
      <c r="J3" s="19"/>
      <c r="K3" s="368" t="s">
        <v>40</v>
      </c>
      <c r="L3" s="369"/>
      <c r="M3" s="19"/>
      <c r="N3" s="17"/>
      <c r="O3" s="368" t="s">
        <v>41</v>
      </c>
      <c r="P3" s="369"/>
      <c r="R3" s="10"/>
      <c r="S3" s="368" t="s">
        <v>42</v>
      </c>
      <c r="T3" s="369"/>
      <c r="W3" s="10"/>
      <c r="X3" s="368" t="s">
        <v>43</v>
      </c>
      <c r="Y3" s="369"/>
      <c r="AA3" s="10"/>
      <c r="AB3" s="368" t="s">
        <v>98</v>
      </c>
      <c r="AC3" s="409"/>
      <c r="AD3" s="369"/>
      <c r="AG3" s="19"/>
      <c r="AH3" s="368" t="s">
        <v>44</v>
      </c>
      <c r="AI3" s="369"/>
      <c r="BK3" s="11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</row>
    <row r="4" spans="1:100" x14ac:dyDescent="0.35">
      <c r="A4" s="313" t="s">
        <v>0</v>
      </c>
      <c r="B4" t="s">
        <v>1</v>
      </c>
      <c r="C4" s="64" t="s">
        <v>69</v>
      </c>
      <c r="D4" s="292" t="str">
        <f>IFERROR(VLOOKUP(A4,#REF!,3,0),"")</f>
        <v/>
      </c>
      <c r="E4" s="292" t="str">
        <f>IFERROR(VLOOKUP(A4,#REF!,3,0),"")</f>
        <v/>
      </c>
      <c r="F4" s="100" t="str">
        <f>IFERROR(VLOOKUP(A4,#REF!,7,0),"")</f>
        <v/>
      </c>
      <c r="G4" s="293" t="str">
        <f>IFERROR(VLOOKUP(A4,#REF!,5,0),"")</f>
        <v/>
      </c>
      <c r="H4" s="293" t="str">
        <f>IFERROR(VLOOKUP(A4,#REF!,5,0),"")</f>
        <v/>
      </c>
      <c r="I4" s="299"/>
      <c r="J4" s="28"/>
      <c r="K4" s="27"/>
      <c r="L4" s="17"/>
      <c r="N4" s="101"/>
      <c r="O4" s="102"/>
      <c r="P4" s="103"/>
      <c r="R4" s="11"/>
      <c r="S4" s="104"/>
      <c r="T4" s="105"/>
      <c r="W4" s="283" t="s">
        <v>70</v>
      </c>
      <c r="X4" s="284">
        <v>0.1</v>
      </c>
      <c r="Y4" s="105"/>
      <c r="AC4" s="266"/>
      <c r="AD4" s="267"/>
      <c r="AG4" s="99"/>
      <c r="AH4" s="106"/>
      <c r="AI4" s="17"/>
      <c r="BK4" s="11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</row>
    <row r="5" spans="1:100" x14ac:dyDescent="0.35">
      <c r="A5" s="24" t="s">
        <v>2</v>
      </c>
      <c r="B5" t="s">
        <v>112</v>
      </c>
      <c r="C5" s="25"/>
      <c r="D5" s="292" t="str">
        <f>IFERROR(VLOOKUP(A5,#REF!,3,0),"")</f>
        <v/>
      </c>
      <c r="E5" s="292" t="str">
        <f>IFERROR(VLOOKUP(A5,#REF!,3,0),"")</f>
        <v/>
      </c>
      <c r="F5" s="100" t="str">
        <f>IFERROR(VLOOKUP(A5,#REF!,7,0),"")</f>
        <v/>
      </c>
      <c r="G5" s="293" t="str">
        <f>IFERROR(VLOOKUP(A5,#REF!,5,0),"")</f>
        <v/>
      </c>
      <c r="H5" s="293" t="str">
        <f>IFERROR(VLOOKUP(A5,#REF!,5,0),"")</f>
        <v/>
      </c>
      <c r="I5" s="300"/>
      <c r="K5" s="27"/>
      <c r="L5" s="17"/>
      <c r="M5" s="19"/>
      <c r="N5" s="17"/>
      <c r="O5" s="27"/>
      <c r="P5" s="17"/>
      <c r="R5" s="10"/>
      <c r="S5" s="27"/>
      <c r="T5" s="17"/>
      <c r="W5" s="10"/>
      <c r="X5" s="27"/>
      <c r="Y5" s="17"/>
      <c r="AA5" s="10"/>
      <c r="AB5" s="10"/>
      <c r="AC5" s="266"/>
      <c r="AD5" s="267"/>
      <c r="AF5" s="28" t="s">
        <v>201</v>
      </c>
      <c r="AG5" s="283" t="s">
        <v>45</v>
      </c>
      <c r="AH5" s="284">
        <f>200*0.81</f>
        <v>162</v>
      </c>
      <c r="AI5" s="289">
        <f>150*0.81</f>
        <v>121.50000000000001</v>
      </c>
      <c r="AO5" s="11"/>
      <c r="BK5" s="11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</row>
    <row r="6" spans="1:100" x14ac:dyDescent="0.35">
      <c r="A6" s="24" t="s">
        <v>118</v>
      </c>
      <c r="B6" t="s">
        <v>117</v>
      </c>
      <c r="C6" s="25"/>
      <c r="D6" s="292" t="str">
        <f>IFERROR(VLOOKUP(A6,#REF!,3,0),"")</f>
        <v/>
      </c>
      <c r="E6" s="292" t="str">
        <f>IFERROR(VLOOKUP(A6,#REF!,3,0),"")</f>
        <v/>
      </c>
      <c r="F6" s="100" t="str">
        <f>IFERROR(VLOOKUP(A6,#REF!,7,0),"")</f>
        <v/>
      </c>
      <c r="G6" s="293" t="str">
        <f>IFERROR(VLOOKUP(A6,#REF!,5,0),"")</f>
        <v/>
      </c>
      <c r="H6" s="293" t="str">
        <f>IFERROR(VLOOKUP(A6,#REF!,5,0),"")</f>
        <v/>
      </c>
      <c r="I6" s="300"/>
      <c r="K6" s="27"/>
      <c r="L6" s="17"/>
      <c r="M6" s="19"/>
      <c r="N6" s="17"/>
      <c r="O6" s="27"/>
      <c r="P6" s="17"/>
      <c r="R6" s="10"/>
      <c r="S6" s="27"/>
      <c r="T6" s="17"/>
      <c r="W6" s="10"/>
      <c r="X6" s="27"/>
      <c r="Y6" s="17"/>
      <c r="AA6" s="283" t="s">
        <v>198</v>
      </c>
      <c r="AB6" s="283"/>
      <c r="AC6" s="284">
        <f>1.09*16</f>
        <v>17.440000000000001</v>
      </c>
      <c r="AD6" s="289">
        <f>1.09*16</f>
        <v>17.440000000000001</v>
      </c>
      <c r="AF6" s="28"/>
      <c r="AG6" s="11"/>
      <c r="AH6" s="27"/>
      <c r="AI6" s="17"/>
      <c r="AO6" s="11"/>
      <c r="BK6" s="11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</row>
    <row r="7" spans="1:100" x14ac:dyDescent="0.35">
      <c r="A7" s="24" t="s">
        <v>3</v>
      </c>
      <c r="B7" t="s">
        <v>4</v>
      </c>
      <c r="C7" s="25"/>
      <c r="D7" s="292" t="str">
        <f>IFERROR(VLOOKUP(A7,#REF!,3,0),"")</f>
        <v/>
      </c>
      <c r="E7" s="292" t="str">
        <f>IFERROR(VLOOKUP(A7,#REF!,3,0),"")</f>
        <v/>
      </c>
      <c r="F7" s="100" t="str">
        <f>IFERROR(VLOOKUP(A7,#REF!,7,0),"")</f>
        <v/>
      </c>
      <c r="G7" s="293" t="str">
        <f>IFERROR(VLOOKUP(A7,#REF!,5,0),"")</f>
        <v/>
      </c>
      <c r="H7" s="293" t="str">
        <f>IFERROR(VLOOKUP(A7,#REF!,5,0),"")</f>
        <v/>
      </c>
      <c r="I7" s="300"/>
      <c r="K7" s="27"/>
      <c r="L7" s="17"/>
      <c r="M7" s="19"/>
      <c r="N7" s="17"/>
      <c r="O7" s="27"/>
      <c r="P7" s="17"/>
      <c r="R7" s="10"/>
      <c r="S7" s="27"/>
      <c r="T7" s="17"/>
      <c r="X7" s="27"/>
      <c r="Y7" s="17"/>
      <c r="AA7" s="283" t="s">
        <v>197</v>
      </c>
      <c r="AB7" s="283"/>
      <c r="AC7" s="284">
        <f>26*1.43</f>
        <v>37.18</v>
      </c>
      <c r="AD7" s="267"/>
      <c r="AG7" s="11"/>
      <c r="AH7" s="27"/>
      <c r="AI7" s="17"/>
      <c r="AO7" s="11"/>
      <c r="BK7" s="11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</row>
    <row r="8" spans="1:100" x14ac:dyDescent="0.35">
      <c r="A8" s="2" t="s">
        <v>6</v>
      </c>
      <c r="B8" t="s">
        <v>7</v>
      </c>
      <c r="C8" s="25"/>
      <c r="D8" s="292" t="str">
        <f>IFERROR(VLOOKUP(A8,#REF!,3,0),"")</f>
        <v/>
      </c>
      <c r="E8" s="292" t="str">
        <f>IFERROR(VLOOKUP(A8,#REF!,3,0),"")</f>
        <v/>
      </c>
      <c r="F8" s="100" t="str">
        <f>IFERROR(VLOOKUP(A8,#REF!,7,0),"")</f>
        <v/>
      </c>
      <c r="G8" s="293" t="str">
        <f>IFERROR(VLOOKUP(A8,#REF!,5,0),"")</f>
        <v/>
      </c>
      <c r="H8" s="293" t="str">
        <f>IFERROR(VLOOKUP(A8,#REF!,5,0),"")</f>
        <v/>
      </c>
      <c r="I8" s="300"/>
      <c r="K8" s="27"/>
      <c r="L8" s="17"/>
      <c r="M8" s="19"/>
      <c r="N8" s="11"/>
      <c r="O8" s="27"/>
      <c r="P8" s="17"/>
      <c r="R8" s="10"/>
      <c r="S8" s="27"/>
      <c r="T8" s="17"/>
      <c r="X8" s="27"/>
      <c r="Y8" s="17"/>
      <c r="AA8" s="283" t="s">
        <v>170</v>
      </c>
      <c r="AB8" s="283"/>
      <c r="AC8" s="266"/>
      <c r="AD8" s="289">
        <f>0.48*11</f>
        <v>5.2799999999999994</v>
      </c>
      <c r="AH8" s="268"/>
      <c r="AI8" s="17"/>
      <c r="AO8" s="11"/>
      <c r="BK8" s="11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</row>
    <row r="9" spans="1:100" x14ac:dyDescent="0.35">
      <c r="A9" s="316" t="s">
        <v>8</v>
      </c>
      <c r="B9" t="s">
        <v>9</v>
      </c>
      <c r="C9" s="25"/>
      <c r="D9" s="292" t="str">
        <f>IFERROR(VLOOKUP(A9,#REF!,3,0),"")</f>
        <v/>
      </c>
      <c r="E9" s="292" t="str">
        <f>IFERROR(VLOOKUP(A9,#REF!,3,0),"")</f>
        <v/>
      </c>
      <c r="F9" s="100" t="str">
        <f>IFERROR(VLOOKUP(A9,#REF!,7,0),"")</f>
        <v/>
      </c>
      <c r="G9" s="293" t="str">
        <f>IFERROR(VLOOKUP(A9,#REF!,5,0),"")</f>
        <v/>
      </c>
      <c r="H9" s="293" t="str">
        <f>IFERROR(VLOOKUP(A9,#REF!,5,0),"")</f>
        <v/>
      </c>
      <c r="I9" s="300"/>
      <c r="K9" s="27"/>
      <c r="L9" s="17"/>
      <c r="M9" s="19"/>
      <c r="N9" s="49"/>
      <c r="O9" s="107"/>
      <c r="P9" s="109"/>
      <c r="R9" s="11"/>
      <c r="S9" s="52"/>
      <c r="T9" s="53"/>
      <c r="X9" s="67"/>
      <c r="Y9" s="32"/>
      <c r="AA9" s="10"/>
      <c r="AB9" s="10"/>
      <c r="AC9" s="266"/>
      <c r="AD9" s="267"/>
      <c r="AF9" s="28"/>
      <c r="AG9" s="283" t="s">
        <v>121</v>
      </c>
      <c r="AH9" s="284">
        <f>250*0.23</f>
        <v>57.5</v>
      </c>
      <c r="AI9" s="289">
        <f>800*0.23</f>
        <v>184</v>
      </c>
      <c r="BK9" s="11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</row>
    <row r="10" spans="1:100" x14ac:dyDescent="0.35">
      <c r="A10" s="24" t="s">
        <v>5</v>
      </c>
      <c r="B10" s="24"/>
      <c r="C10" s="25"/>
      <c r="D10" s="292" t="str">
        <f>IFERROR(VLOOKUP(A10,#REF!,3,0),"")</f>
        <v/>
      </c>
      <c r="E10" s="292" t="str">
        <f>IFERROR(VLOOKUP(A10,#REF!,3,0),"")</f>
        <v/>
      </c>
      <c r="F10" s="100" t="str">
        <f>IFERROR(VLOOKUP(A10,#REF!,7,0),"")</f>
        <v/>
      </c>
      <c r="G10" s="293" t="str">
        <f>IFERROR(VLOOKUP(A10,#REF!,5,0),"")</f>
        <v/>
      </c>
      <c r="H10" s="293" t="str">
        <f>IFERROR(VLOOKUP(A10,#REF!,5,0),"")</f>
        <v/>
      </c>
      <c r="I10" s="300"/>
      <c r="K10" s="27"/>
      <c r="L10" s="17"/>
      <c r="M10" s="19"/>
      <c r="N10" s="17"/>
      <c r="O10" s="27"/>
      <c r="P10" s="17"/>
      <c r="R10" s="10"/>
      <c r="S10" s="27"/>
      <c r="T10" s="17"/>
      <c r="X10" s="27"/>
      <c r="Y10" s="17"/>
      <c r="AA10" s="10"/>
      <c r="AB10" s="10"/>
      <c r="AC10" s="266"/>
      <c r="AD10" s="267"/>
      <c r="AG10" s="29"/>
      <c r="AH10" s="30"/>
      <c r="AI10" s="32"/>
      <c r="AK10" s="11"/>
      <c r="BK10" s="11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</row>
    <row r="11" spans="1:100" x14ac:dyDescent="0.35">
      <c r="A11" s="315" t="s">
        <v>193</v>
      </c>
      <c r="B11" s="1"/>
      <c r="C11" s="33"/>
      <c r="D11" s="292" t="str">
        <f>IFERROR(VLOOKUP(A11,#REF!,3,0),"")</f>
        <v/>
      </c>
      <c r="E11" s="292" t="str">
        <f>IFERROR(VLOOKUP(A11,#REF!,3,0),"")</f>
        <v/>
      </c>
      <c r="F11" s="100" t="str">
        <f>IFERROR(VLOOKUP(A11,#REF!,7,0),"")</f>
        <v/>
      </c>
      <c r="G11" s="293" t="str">
        <f>IFERROR(VLOOKUP(A11,#REF!,5,0),"")</f>
        <v/>
      </c>
      <c r="H11" s="293" t="str">
        <f>IFERROR(VLOOKUP(A11,#REF!,5,0),"")</f>
        <v/>
      </c>
      <c r="I11" s="300"/>
      <c r="K11" s="34"/>
      <c r="L11" s="35"/>
      <c r="M11" s="19"/>
      <c r="N11" s="17"/>
      <c r="O11" s="34"/>
      <c r="P11" s="35"/>
      <c r="R11" s="10"/>
      <c r="S11" s="27"/>
      <c r="T11" s="36"/>
      <c r="X11" s="284">
        <f>200*1.57</f>
        <v>314</v>
      </c>
      <c r="Y11" s="17"/>
      <c r="AA11" s="10"/>
      <c r="AB11" s="10"/>
      <c r="AC11" s="266"/>
      <c r="AD11" s="267"/>
      <c r="AG11" s="29"/>
      <c r="AH11" s="30"/>
      <c r="AI11" s="37"/>
      <c r="AK11" s="11"/>
      <c r="AO11" s="3"/>
      <c r="AP11" s="3"/>
      <c r="BK11" s="11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</row>
    <row r="12" spans="1:100" x14ac:dyDescent="0.35">
      <c r="A12" s="24" t="s">
        <v>10</v>
      </c>
      <c r="B12" t="s">
        <v>11</v>
      </c>
      <c r="C12" s="38"/>
      <c r="D12" s="292" t="str">
        <f>IFERROR(VLOOKUP(A12,#REF!,3,0),"")</f>
        <v/>
      </c>
      <c r="E12" s="292" t="str">
        <f>IFERROR(VLOOKUP(A12,#REF!,3,0),"")</f>
        <v/>
      </c>
      <c r="F12" s="100" t="str">
        <f>IFERROR(VLOOKUP(A12,#REF!,7,0),"")</f>
        <v/>
      </c>
      <c r="G12" s="293" t="str">
        <f>IFERROR(VLOOKUP(A12,#REF!,5,0),"")</f>
        <v/>
      </c>
      <c r="H12" s="293" t="str">
        <f>IFERROR(VLOOKUP(A12,#REF!,5,0),"")</f>
        <v/>
      </c>
      <c r="I12" s="300"/>
      <c r="K12" s="34"/>
      <c r="L12" s="35"/>
      <c r="M12" s="19"/>
      <c r="N12" s="17"/>
      <c r="O12" s="34"/>
      <c r="P12" s="35"/>
      <c r="R12" s="10"/>
      <c r="S12" s="27"/>
      <c r="T12" s="36"/>
      <c r="X12" s="27"/>
      <c r="Y12" s="17"/>
      <c r="AA12" s="10"/>
      <c r="AB12" s="10"/>
      <c r="AC12" s="266"/>
      <c r="AD12" s="267"/>
      <c r="AG12" s="40"/>
      <c r="AH12" s="41"/>
      <c r="AI12" s="42"/>
      <c r="AK12" s="11"/>
      <c r="AO12" s="3"/>
      <c r="AP12" s="3"/>
      <c r="BK12" s="11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</row>
    <row r="13" spans="1:100" x14ac:dyDescent="0.35">
      <c r="A13" s="3" t="s">
        <v>134</v>
      </c>
      <c r="B13" s="24"/>
      <c r="C13" s="218" t="s">
        <v>136</v>
      </c>
      <c r="D13" s="292" t="str">
        <f>IFERROR(VLOOKUP(A13,#REF!,3,0),"")</f>
        <v/>
      </c>
      <c r="E13" s="292" t="str">
        <f>IFERROR(VLOOKUP(A13,#REF!,3,0),"")</f>
        <v/>
      </c>
      <c r="F13" s="100" t="str">
        <f>IFERROR(VLOOKUP(A13,#REF!,7,0),"")</f>
        <v/>
      </c>
      <c r="G13" s="293" t="str">
        <f>IFERROR(VLOOKUP(A13,#REF!,5,0),"")</f>
        <v/>
      </c>
      <c r="H13" s="293" t="str">
        <f>IFERROR(VLOOKUP(A13,#REF!,5,0),"")</f>
        <v/>
      </c>
      <c r="I13" s="300"/>
      <c r="K13" s="34"/>
      <c r="L13" s="35"/>
      <c r="M13" s="11"/>
      <c r="N13" s="17"/>
      <c r="O13" s="34"/>
      <c r="P13" s="35"/>
      <c r="R13" s="10"/>
      <c r="S13" s="27"/>
      <c r="T13" s="36"/>
      <c r="X13" s="27"/>
      <c r="Y13" s="17"/>
      <c r="AA13" s="10"/>
      <c r="AB13" s="10"/>
      <c r="AC13" s="266"/>
      <c r="AD13" s="267"/>
      <c r="AG13" s="40"/>
      <c r="AH13" s="272"/>
      <c r="AI13" s="273"/>
      <c r="AK13" s="11"/>
      <c r="AO13" s="3"/>
      <c r="AP13" s="3"/>
      <c r="BK13" s="11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</row>
    <row r="14" spans="1:100" x14ac:dyDescent="0.35">
      <c r="A14" s="24" t="s">
        <v>147</v>
      </c>
      <c r="B14" s="24"/>
      <c r="C14" s="25"/>
      <c r="D14" s="292" t="str">
        <f>IFERROR(VLOOKUP(A14,#REF!,3,0),"")</f>
        <v/>
      </c>
      <c r="E14" s="292" t="str">
        <f>IFERROR(VLOOKUP(A14,#REF!,3,0),"")</f>
        <v/>
      </c>
      <c r="F14" s="100" t="str">
        <f>IFERROR(VLOOKUP(A14,#REF!,7,0),"")</f>
        <v/>
      </c>
      <c r="G14" s="293" t="str">
        <f>IFERROR(VLOOKUP(A14,#REF!,5,0),"")</f>
        <v/>
      </c>
      <c r="H14" s="293" t="str">
        <f>IFERROR(VLOOKUP(A14,#REF!,5,0),"")</f>
        <v/>
      </c>
      <c r="I14" s="300"/>
      <c r="K14" s="34"/>
      <c r="L14" s="35"/>
      <c r="M14" s="11"/>
      <c r="N14" s="17"/>
      <c r="O14" s="34"/>
      <c r="P14" s="35"/>
      <c r="R14" s="10"/>
      <c r="S14" s="27"/>
      <c r="T14" s="36"/>
      <c r="X14" s="34"/>
      <c r="Y14" s="35"/>
      <c r="AA14" s="10"/>
      <c r="AB14" s="10"/>
      <c r="AC14" s="266"/>
      <c r="AD14" s="267"/>
      <c r="AG14" s="40"/>
      <c r="AH14" s="272"/>
      <c r="AI14" s="273"/>
      <c r="AK14" s="11"/>
      <c r="AO14" s="3"/>
      <c r="AP14" s="3"/>
      <c r="BK14" s="11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</row>
    <row r="15" spans="1:100" x14ac:dyDescent="0.35">
      <c r="A15" s="316" t="s">
        <v>12</v>
      </c>
      <c r="B15" t="s">
        <v>13</v>
      </c>
      <c r="C15" s="110" t="s">
        <v>49</v>
      </c>
      <c r="D15" s="292" t="str">
        <f>IFERROR(VLOOKUP(A15,#REF!,3,0),"")</f>
        <v/>
      </c>
      <c r="E15" s="292" t="str">
        <f>IFERROR(VLOOKUP(A15,#REF!,3,0),"")</f>
        <v/>
      </c>
      <c r="F15" s="100" t="str">
        <f>IFERROR(VLOOKUP(A15,#REF!,7,0),"")</f>
        <v/>
      </c>
      <c r="G15" s="293" t="str">
        <f>IFERROR(VLOOKUP(A15,#REF!,5,0),"")</f>
        <v/>
      </c>
      <c r="H15" s="293" t="str">
        <f>IFERROR(VLOOKUP(A15,#REF!,5,0),"")</f>
        <v/>
      </c>
      <c r="I15" s="300"/>
      <c r="K15" s="34"/>
      <c r="L15" s="35"/>
      <c r="M15" s="11"/>
      <c r="N15" s="17"/>
      <c r="O15" s="34"/>
      <c r="P15" s="35"/>
      <c r="R15" s="10"/>
      <c r="S15" s="27"/>
      <c r="T15" s="36"/>
      <c r="X15" s="34"/>
      <c r="Y15" s="35"/>
      <c r="AA15" s="10"/>
      <c r="AB15" s="10"/>
      <c r="AC15" s="266"/>
      <c r="AD15" s="267"/>
      <c r="AG15" s="46" t="s">
        <v>158</v>
      </c>
      <c r="AH15" s="260"/>
      <c r="AI15" s="270"/>
      <c r="AK15" s="11"/>
      <c r="AO15" s="3"/>
      <c r="AP15" s="3"/>
      <c r="BK15" s="11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</row>
    <row r="16" spans="1:100" x14ac:dyDescent="0.35">
      <c r="A16" s="316" t="s">
        <v>14</v>
      </c>
      <c r="B16" t="s">
        <v>113</v>
      </c>
      <c r="C16" s="25" t="s">
        <v>46</v>
      </c>
      <c r="D16" s="292" t="str">
        <f>IFERROR(VLOOKUP(A16,#REF!,3,0),"")</f>
        <v/>
      </c>
      <c r="E16" s="292" t="str">
        <f>IFERROR(VLOOKUP(A16,#REF!,3,0),"")</f>
        <v/>
      </c>
      <c r="F16" s="100" t="str">
        <f>IFERROR(VLOOKUP(A16,#REF!,7,0),"")</f>
        <v/>
      </c>
      <c r="G16" s="293" t="str">
        <f>IFERROR(VLOOKUP(A16,#REF!,5,0),"")</f>
        <v/>
      </c>
      <c r="H16" s="293" t="str">
        <f>IFERROR(VLOOKUP(A16,#REF!,5,0),"")</f>
        <v/>
      </c>
      <c r="I16" s="300"/>
      <c r="J16" s="117"/>
      <c r="K16" s="34"/>
      <c r="L16" s="35"/>
      <c r="M16" s="11"/>
      <c r="N16" s="17"/>
      <c r="O16" s="34"/>
      <c r="P16" s="35"/>
      <c r="R16" s="10"/>
      <c r="S16" s="44"/>
      <c r="T16" s="36"/>
      <c r="X16" s="34"/>
      <c r="Y16" s="35"/>
      <c r="AA16" s="10"/>
      <c r="AB16" s="10"/>
      <c r="AC16" s="266"/>
      <c r="AD16" s="267"/>
      <c r="AG16" s="283" t="s">
        <v>47</v>
      </c>
      <c r="AH16" s="284">
        <f>531*0.21</f>
        <v>111.50999999999999</v>
      </c>
      <c r="AI16" s="289">
        <f>88*0.21</f>
        <v>18.48</v>
      </c>
      <c r="AK16" s="11"/>
      <c r="AL16" s="45"/>
      <c r="AO16" s="47"/>
      <c r="AP16" s="47"/>
      <c r="BK16" s="11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</row>
    <row r="17" spans="1:100" ht="15" thickBot="1" x14ac:dyDescent="0.4">
      <c r="A17" s="24" t="s">
        <v>131</v>
      </c>
      <c r="B17" t="s">
        <v>130</v>
      </c>
      <c r="C17" s="25"/>
      <c r="D17" s="292" t="str">
        <f>IFERROR(VLOOKUP(A17,#REF!,3,0),"")</f>
        <v/>
      </c>
      <c r="E17" s="292" t="str">
        <f>IFERROR(VLOOKUP(A17,#REF!,3,0),"")</f>
        <v/>
      </c>
      <c r="F17" s="100" t="str">
        <f>IFERROR(VLOOKUP(A17,#REF!,7,0),"")</f>
        <v/>
      </c>
      <c r="G17" s="293" t="str">
        <f>IFERROR(VLOOKUP(A17,#REF!,5,0),"")</f>
        <v/>
      </c>
      <c r="H17" s="293" t="str">
        <f>IFERROR(VLOOKUP(A17,#REF!,5,0),"")</f>
        <v/>
      </c>
      <c r="I17" s="300"/>
      <c r="J17" s="117"/>
      <c r="K17" s="34"/>
      <c r="L17" s="35"/>
      <c r="M17" s="11"/>
      <c r="N17" s="17"/>
      <c r="O17" s="34"/>
      <c r="P17" s="35"/>
      <c r="R17" s="10"/>
      <c r="S17" s="44"/>
      <c r="T17" s="36"/>
      <c r="X17" s="34"/>
      <c r="Y17" s="35"/>
      <c r="AA17" s="283" t="s">
        <v>132</v>
      </c>
      <c r="AB17" s="283"/>
      <c r="AC17" s="284">
        <f>0.177*13</f>
        <v>2.3009999999999997</v>
      </c>
      <c r="AD17" s="289">
        <f>0.177*9</f>
        <v>1.593</v>
      </c>
      <c r="AH17" s="71"/>
      <c r="AI17" s="264"/>
      <c r="AK17" s="11"/>
      <c r="AL17" s="45"/>
      <c r="AO17" s="47"/>
      <c r="AP17" s="47"/>
      <c r="BK17" s="11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</row>
    <row r="18" spans="1:100" ht="15" thickBot="1" x14ac:dyDescent="0.4">
      <c r="A18" s="316" t="s">
        <v>48</v>
      </c>
      <c r="B18" t="s">
        <v>114</v>
      </c>
      <c r="C18" s="25" t="s">
        <v>46</v>
      </c>
      <c r="D18" s="292" t="str">
        <f>IFERROR(VLOOKUP(A18,#REF!,3,0),"")</f>
        <v/>
      </c>
      <c r="E18" s="292" t="str">
        <f>IFERROR(VLOOKUP(A18,#REF!,3,0),"")</f>
        <v/>
      </c>
      <c r="F18" s="100" t="str">
        <f>IFERROR(VLOOKUP(A18,#REF!,7,0),"")</f>
        <v/>
      </c>
      <c r="G18" s="293" t="str">
        <f>IFERROR(VLOOKUP(A18,#REF!,5,0),"")</f>
        <v/>
      </c>
      <c r="H18" s="293" t="str">
        <f>IFERROR(VLOOKUP(A18,#REF!,5,0),"")</f>
        <v/>
      </c>
      <c r="I18" s="300"/>
      <c r="K18" s="34"/>
      <c r="L18" s="35"/>
      <c r="M18" s="11"/>
      <c r="N18" s="17"/>
      <c r="O18" s="34"/>
      <c r="P18" s="35"/>
      <c r="R18" s="10"/>
      <c r="S18" s="44"/>
      <c r="T18" s="36"/>
      <c r="X18" s="34"/>
      <c r="Y18" s="35"/>
      <c r="AA18" s="283" t="s">
        <v>195</v>
      </c>
      <c r="AB18" s="333">
        <f>(600*0.53*0.7)+(600*0.053*0.7)+0.03</f>
        <v>244.89</v>
      </c>
      <c r="AC18" s="284">
        <f>(2365*0.53)*1.1</f>
        <v>1378.7950000000001</v>
      </c>
      <c r="AD18" s="289">
        <f>(2595*0.53)*1.1</f>
        <v>1512.8850000000002</v>
      </c>
      <c r="AF18" s="58"/>
      <c r="AG18" s="29"/>
      <c r="AH18" s="71"/>
      <c r="AI18" s="264"/>
      <c r="AK18" s="48"/>
      <c r="AO18" s="47"/>
      <c r="AP18" s="47"/>
      <c r="BK18" s="11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</row>
    <row r="19" spans="1:100" x14ac:dyDescent="0.35">
      <c r="A19" s="24" t="s">
        <v>15</v>
      </c>
      <c r="B19" s="24"/>
      <c r="C19" s="33" t="s">
        <v>174</v>
      </c>
      <c r="D19" s="292" t="str">
        <f>IFERROR(VLOOKUP(A19,#REF!,3,0),"")</f>
        <v/>
      </c>
      <c r="E19" s="292" t="str">
        <f>IFERROR(VLOOKUP(A19,#REF!,3,0),"")</f>
        <v/>
      </c>
      <c r="F19" s="100" t="str">
        <f>IFERROR(VLOOKUP(A19,#REF!,7,0),"")</f>
        <v/>
      </c>
      <c r="G19" s="293" t="str">
        <f>IFERROR(VLOOKUP(A19,#REF!,5,0),"")</f>
        <v/>
      </c>
      <c r="H19" s="293" t="str">
        <f>IFERROR(VLOOKUP(A19,#REF!,5,0),"")</f>
        <v/>
      </c>
      <c r="I19" s="300"/>
      <c r="K19" s="34"/>
      <c r="L19" s="35"/>
      <c r="M19" s="11"/>
      <c r="N19" s="17"/>
      <c r="O19" s="34"/>
      <c r="P19" s="35"/>
      <c r="R19" s="49"/>
      <c r="S19" s="34"/>
      <c r="T19" s="35"/>
      <c r="X19" s="34"/>
      <c r="Y19" s="35"/>
      <c r="AA19" s="283" t="s">
        <v>192</v>
      </c>
      <c r="AB19" s="283"/>
      <c r="AC19" s="55"/>
      <c r="AD19" s="289">
        <f>1*0.53</f>
        <v>0.53</v>
      </c>
      <c r="AE19" s="58"/>
      <c r="AG19" s="29"/>
      <c r="AH19" s="71"/>
      <c r="AI19" s="264"/>
      <c r="AK19" s="11"/>
      <c r="AO19" s="47"/>
      <c r="AP19" s="47"/>
      <c r="BK19" s="11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</row>
    <row r="20" spans="1:100" x14ac:dyDescent="0.35">
      <c r="A20" s="316" t="s">
        <v>16</v>
      </c>
      <c r="B20" t="s">
        <v>115</v>
      </c>
      <c r="C20" s="33"/>
      <c r="D20" s="292" t="str">
        <f>IFERROR(VLOOKUP(A20,#REF!,3,0),"")</f>
        <v/>
      </c>
      <c r="E20" s="292" t="str">
        <f>IFERROR(VLOOKUP(A20,#REF!,3,0),"")</f>
        <v/>
      </c>
      <c r="F20" s="100" t="str">
        <f>IFERROR(VLOOKUP(A20,#REF!,7,0),"")</f>
        <v/>
      </c>
      <c r="G20" s="293" t="str">
        <f>IFERROR(VLOOKUP(A20,#REF!,5,0),"")</f>
        <v/>
      </c>
      <c r="H20" s="293" t="str">
        <f>IFERROR(VLOOKUP(A20,#REF!,5,0),"")</f>
        <v/>
      </c>
      <c r="I20" s="300"/>
      <c r="K20" s="34"/>
      <c r="L20" s="35"/>
      <c r="M20" s="11"/>
      <c r="N20" s="11"/>
      <c r="O20" s="34"/>
      <c r="P20" s="35"/>
      <c r="R20" s="49"/>
      <c r="S20" s="34"/>
      <c r="T20" s="35"/>
      <c r="X20" s="34"/>
      <c r="Y20" s="35"/>
      <c r="AA20" s="29"/>
      <c r="AB20" s="29"/>
      <c r="AC20" s="55"/>
      <c r="AD20" s="56"/>
      <c r="AF20" s="58"/>
      <c r="AG20" s="29"/>
      <c r="AH20" s="71"/>
      <c r="AI20" s="264"/>
      <c r="AK20" s="11"/>
      <c r="AO20" s="47"/>
      <c r="AP20" s="47"/>
      <c r="BK20" s="11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</row>
    <row r="21" spans="1:100" x14ac:dyDescent="0.35">
      <c r="A21" s="24" t="s">
        <v>190</v>
      </c>
      <c r="C21" s="33"/>
      <c r="D21" s="292" t="str">
        <f>IFERROR(VLOOKUP(A21,#REF!,3,0),"")</f>
        <v/>
      </c>
      <c r="E21" s="292" t="str">
        <f>IFERROR(VLOOKUP(A21,#REF!,3,0),"")</f>
        <v/>
      </c>
      <c r="F21" s="100"/>
      <c r="G21" s="293" t="str">
        <f>IFERROR(VLOOKUP(A21,#REF!,5,0),"")</f>
        <v/>
      </c>
      <c r="H21" s="293" t="str">
        <f>IFERROR(VLOOKUP(A21,#REF!,5,0),"")</f>
        <v/>
      </c>
      <c r="I21" s="300"/>
      <c r="K21" s="34"/>
      <c r="L21" s="35"/>
      <c r="M21" s="11"/>
      <c r="N21" s="11"/>
      <c r="O21" s="34"/>
      <c r="P21" s="35"/>
      <c r="R21" s="49"/>
      <c r="S21" s="34"/>
      <c r="T21" s="35"/>
      <c r="X21" s="34"/>
      <c r="Y21" s="35"/>
      <c r="AA21" s="29"/>
      <c r="AB21" s="29"/>
      <c r="AC21" s="55"/>
      <c r="AD21" s="56"/>
      <c r="AF21" s="58"/>
      <c r="AG21" s="283" t="s">
        <v>199</v>
      </c>
      <c r="AH21" s="284">
        <f>17*1</f>
        <v>17</v>
      </c>
      <c r="AI21" s="289">
        <f>10*1</f>
        <v>10</v>
      </c>
      <c r="AK21" s="11"/>
      <c r="AO21" s="47"/>
      <c r="AP21" s="47"/>
      <c r="BK21" s="11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</row>
    <row r="22" spans="1:100" x14ac:dyDescent="0.35">
      <c r="A22" s="4" t="s">
        <v>17</v>
      </c>
      <c r="B22" s="4"/>
      <c r="C22" s="25" t="s">
        <v>46</v>
      </c>
      <c r="D22" s="292" t="str">
        <f>IFERROR(VLOOKUP(A22,#REF!,3,0),"")</f>
        <v/>
      </c>
      <c r="E22" s="292" t="str">
        <f>IFERROR(VLOOKUP(A22,#REF!,3,0),"")</f>
        <v/>
      </c>
      <c r="F22" s="100" t="str">
        <f>IFERROR(VLOOKUP(A22,#REF!,7,0),"")</f>
        <v/>
      </c>
      <c r="G22" s="293" t="str">
        <f>IFERROR(VLOOKUP(A22,#REF!,5,0),"")</f>
        <v/>
      </c>
      <c r="H22" s="293" t="str">
        <f>IFERROR(VLOOKUP(A22,#REF!,5,0),"")</f>
        <v/>
      </c>
      <c r="I22" s="300"/>
      <c r="K22" s="34"/>
      <c r="L22" s="35"/>
      <c r="N22" s="51"/>
      <c r="O22" s="52"/>
      <c r="P22" s="53"/>
      <c r="S22" s="34"/>
      <c r="T22" s="35"/>
      <c r="X22" s="54"/>
      <c r="Y22" s="35"/>
      <c r="AA22" s="29"/>
      <c r="AB22" s="29"/>
      <c r="AC22" s="55"/>
      <c r="AD22" s="56"/>
      <c r="AH22" s="255"/>
      <c r="AI22" s="256"/>
      <c r="BK22" s="11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</row>
    <row r="23" spans="1:100" x14ac:dyDescent="0.35">
      <c r="A23" s="24" t="s">
        <v>19</v>
      </c>
      <c r="B23" t="s">
        <v>20</v>
      </c>
      <c r="D23" s="292" t="str">
        <f>IFERROR(VLOOKUP(A23,#REF!,3,0),"")</f>
        <v/>
      </c>
      <c r="E23" s="292" t="str">
        <f>IFERROR(VLOOKUP(A23,#REF!,3,0),"")</f>
        <v/>
      </c>
      <c r="F23" s="100" t="str">
        <f>IFERROR(VLOOKUP(A23,#REF!,7,0),"")</f>
        <v/>
      </c>
      <c r="G23" s="293" t="str">
        <f>IFERROR(VLOOKUP(A23,#REF!,5,0),"")</f>
        <v/>
      </c>
      <c r="H23" s="293" t="str">
        <f>IFERROR(VLOOKUP(A23,#REF!,5,0),"")</f>
        <v/>
      </c>
      <c r="I23" s="300"/>
      <c r="K23" s="34"/>
      <c r="L23" s="35"/>
      <c r="M23" s="11"/>
      <c r="N23" s="17"/>
      <c r="O23" s="34"/>
      <c r="P23" s="35"/>
      <c r="R23" s="49"/>
      <c r="S23" s="34"/>
      <c r="T23" s="35"/>
      <c r="X23" s="34"/>
      <c r="Y23" s="35"/>
      <c r="AA23" s="29"/>
      <c r="AB23" s="29"/>
      <c r="AC23" s="55"/>
      <c r="AD23" s="56"/>
      <c r="AG23" s="29"/>
      <c r="AH23" s="71"/>
      <c r="AI23" s="264"/>
      <c r="AK23" s="11"/>
      <c r="AO23" s="47"/>
      <c r="AP23" s="47"/>
      <c r="BK23" s="11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</row>
    <row r="24" spans="1:100" x14ac:dyDescent="0.35">
      <c r="A24" s="24" t="s">
        <v>21</v>
      </c>
      <c r="B24" s="24"/>
      <c r="D24" s="292" t="str">
        <f>IFERROR(VLOOKUP(A24,#REF!,3,0),"")</f>
        <v/>
      </c>
      <c r="E24" s="292" t="str">
        <f>IFERROR(VLOOKUP(A24,#REF!,3,0),"")</f>
        <v/>
      </c>
      <c r="F24" s="100" t="str">
        <f>IFERROR(VLOOKUP(A24,#REF!,7,0),"")</f>
        <v/>
      </c>
      <c r="G24" s="293" t="str">
        <f>IFERROR(VLOOKUP(A24,#REF!,5,0),"")</f>
        <v/>
      </c>
      <c r="H24" s="293" t="str">
        <f>IFERROR(VLOOKUP(A24,#REF!,5,0),"")</f>
        <v/>
      </c>
      <c r="I24" s="300"/>
      <c r="K24" s="34"/>
      <c r="L24" s="35"/>
      <c r="M24" s="11"/>
      <c r="N24" s="17"/>
      <c r="O24" s="71"/>
      <c r="P24" s="264"/>
      <c r="R24" s="49"/>
      <c r="S24" s="34"/>
      <c r="T24" s="35"/>
      <c r="X24" s="34"/>
      <c r="Y24" s="35"/>
      <c r="AA24" s="29"/>
      <c r="AB24" s="29"/>
      <c r="AC24" s="55"/>
      <c r="AD24" s="56"/>
      <c r="AG24" s="29"/>
      <c r="AH24" s="71"/>
      <c r="AI24" s="264"/>
      <c r="AK24" s="11"/>
      <c r="AO24" s="47"/>
      <c r="AP24" s="47"/>
      <c r="AQ24" s="24"/>
      <c r="BK24" s="11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</row>
    <row r="25" spans="1:100" x14ac:dyDescent="0.35">
      <c r="A25" s="1" t="s">
        <v>171</v>
      </c>
      <c r="B25" s="4"/>
      <c r="C25" s="57" t="s">
        <v>49</v>
      </c>
      <c r="D25" s="292" t="str">
        <f>IFERROR(VLOOKUP(A25,#REF!,3,0),"")</f>
        <v/>
      </c>
      <c r="E25" s="292" t="str">
        <f>IFERROR(VLOOKUP(A25,#REF!,3,0),"")</f>
        <v/>
      </c>
      <c r="F25" s="100" t="str">
        <f>IFERROR(VLOOKUP(A25,#REF!,7,0),"")</f>
        <v/>
      </c>
      <c r="G25" s="293" t="str">
        <f>IFERROR(VLOOKUP(A25,#REF!,5,0),"")</f>
        <v/>
      </c>
      <c r="H25" s="293" t="str">
        <f>IFERROR(VLOOKUP(A25,#REF!,5,0),"")</f>
        <v/>
      </c>
      <c r="I25" s="300"/>
      <c r="K25" s="34"/>
      <c r="L25" s="35"/>
      <c r="M25" s="11"/>
      <c r="N25" s="17"/>
      <c r="O25" s="71"/>
      <c r="P25" s="264"/>
      <c r="R25" s="49"/>
      <c r="S25" s="34"/>
      <c r="T25" s="35"/>
      <c r="W25" s="49"/>
      <c r="X25" s="34"/>
      <c r="Y25" s="35"/>
      <c r="AA25" s="283" t="s">
        <v>50</v>
      </c>
      <c r="AB25" s="283"/>
      <c r="AC25" s="284">
        <f>85*1.5</f>
        <v>127.5</v>
      </c>
      <c r="AD25" s="56"/>
      <c r="AH25" s="71"/>
      <c r="AI25" s="265"/>
      <c r="AK25" s="11"/>
      <c r="AO25" s="47"/>
      <c r="AP25" s="47"/>
      <c r="AQ25" s="24"/>
      <c r="BK25" s="11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</row>
    <row r="26" spans="1:100" x14ac:dyDescent="0.35">
      <c r="A26" s="24" t="s">
        <v>22</v>
      </c>
      <c r="B26" s="24"/>
      <c r="C26" s="59"/>
      <c r="D26" s="292" t="str">
        <f>IFERROR(VLOOKUP(A26,#REF!,3,0),"")</f>
        <v/>
      </c>
      <c r="E26" s="292" t="str">
        <f>IFERROR(VLOOKUP(A26,#REF!,3,0),"")</f>
        <v/>
      </c>
      <c r="F26" s="100" t="str">
        <f>IFERROR(VLOOKUP(A26,#REF!,7,0),"")</f>
        <v/>
      </c>
      <c r="G26" s="293" t="str">
        <f>IFERROR(VLOOKUP(A26,#REF!,5,0),"")</f>
        <v/>
      </c>
      <c r="H26" s="293" t="str">
        <f>IFERROR(VLOOKUP(A26,#REF!,5,0),"")</f>
        <v/>
      </c>
      <c r="I26" s="300"/>
      <c r="K26" s="34"/>
      <c r="L26" s="35"/>
      <c r="M26" s="11"/>
      <c r="N26" s="17"/>
      <c r="O26" s="71"/>
      <c r="P26" s="264"/>
      <c r="R26" s="49"/>
      <c r="S26" s="34"/>
      <c r="T26" s="61"/>
      <c r="V26" s="58"/>
      <c r="W26" s="49"/>
      <c r="X26" s="34"/>
      <c r="Y26" s="35"/>
      <c r="AA26" s="29"/>
      <c r="AB26" s="29"/>
      <c r="AC26" s="71"/>
      <c r="AD26" s="56"/>
      <c r="AF26" s="58"/>
      <c r="AG26" s="283" t="s">
        <v>51</v>
      </c>
      <c r="AH26" s="284">
        <f>920*0.06</f>
        <v>55.199999999999996</v>
      </c>
      <c r="AI26" s="289">
        <f>770*0.06</f>
        <v>46.199999999999996</v>
      </c>
      <c r="AK26" s="11"/>
      <c r="AO26" s="60"/>
      <c r="AP26" s="60"/>
      <c r="BK26" s="11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</row>
    <row r="27" spans="1:100" x14ac:dyDescent="0.35">
      <c r="A27" s="313" t="s">
        <v>172</v>
      </c>
      <c r="B27" s="24"/>
      <c r="C27" s="25" t="s">
        <v>46</v>
      </c>
      <c r="D27" s="292" t="str">
        <f>IFERROR(VLOOKUP(A27,#REF!,3,0),"")</f>
        <v/>
      </c>
      <c r="E27" s="292" t="str">
        <f>IFERROR(VLOOKUP(A27,#REF!,3,0),"")</f>
        <v/>
      </c>
      <c r="F27" s="100" t="str">
        <f>IFERROR(VLOOKUP(A27,#REF!,7,0),"")</f>
        <v/>
      </c>
      <c r="G27" s="293" t="str">
        <f>IFERROR(VLOOKUP(A27,#REF!,5,0),"")</f>
        <v/>
      </c>
      <c r="H27" s="293" t="str">
        <f>IFERROR(VLOOKUP(A27,#REF!,5,0),"")</f>
        <v/>
      </c>
      <c r="I27" s="300"/>
      <c r="J27" s="117"/>
      <c r="K27" s="34"/>
      <c r="L27" s="35"/>
      <c r="M27" s="11"/>
      <c r="N27" s="17"/>
      <c r="O27" s="71"/>
      <c r="P27" s="264"/>
      <c r="R27" s="49"/>
      <c r="S27" s="34"/>
      <c r="T27" s="61"/>
      <c r="W27" s="49"/>
      <c r="X27" s="34"/>
      <c r="Y27" s="35"/>
      <c r="AA27" s="29"/>
      <c r="AB27" s="29"/>
      <c r="AC27" s="55"/>
      <c r="AD27" s="271"/>
      <c r="AG27" s="29"/>
      <c r="AH27" s="71"/>
      <c r="AI27" s="265"/>
      <c r="AK27" s="11"/>
      <c r="AO27" s="60"/>
      <c r="AP27" s="60"/>
      <c r="BK27" s="11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</row>
    <row r="28" spans="1:100" ht="15" customHeight="1" x14ac:dyDescent="0.35">
      <c r="A28" s="24" t="s">
        <v>23</v>
      </c>
      <c r="B28" s="24"/>
      <c r="C28" s="33"/>
      <c r="D28" s="292" t="str">
        <f>IFERROR(VLOOKUP(A28,#REF!,3,0),"")</f>
        <v/>
      </c>
      <c r="E28" s="292" t="str">
        <f>IFERROR(VLOOKUP(A28,#REF!,3,0),"")</f>
        <v/>
      </c>
      <c r="F28" s="100" t="str">
        <f>IFERROR(VLOOKUP(A28,#REF!,7,0),"")</f>
        <v/>
      </c>
      <c r="G28" s="293" t="str">
        <f>IFERROR(VLOOKUP(A28,#REF!,5,0),"")</f>
        <v/>
      </c>
      <c r="H28" s="293" t="str">
        <f>IFERROR(VLOOKUP(A28,#REF!,5,0),"")</f>
        <v/>
      </c>
      <c r="I28" s="300"/>
      <c r="K28" s="34"/>
      <c r="L28" s="61"/>
      <c r="M28" s="11"/>
      <c r="N28" s="17"/>
      <c r="O28" s="71"/>
      <c r="P28" s="265"/>
      <c r="R28" s="49"/>
      <c r="S28" s="71"/>
      <c r="T28" s="265"/>
      <c r="W28" s="49"/>
      <c r="X28" s="34"/>
      <c r="Y28" s="35"/>
      <c r="AA28" s="29"/>
      <c r="AB28" s="29"/>
      <c r="AC28" s="55"/>
      <c r="AD28" s="271"/>
      <c r="AG28" s="29"/>
      <c r="AH28" s="71"/>
      <c r="AI28" s="265"/>
      <c r="AK28" s="11"/>
      <c r="AO28" s="60"/>
      <c r="AP28" s="60"/>
      <c r="BK28" s="11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</row>
    <row r="29" spans="1:100" x14ac:dyDescent="0.35">
      <c r="A29" s="24" t="s">
        <v>25</v>
      </c>
      <c r="B29" s="24"/>
      <c r="C29" s="25"/>
      <c r="D29" s="292" t="str">
        <f>IFERROR(VLOOKUP(A29,#REF!,3,0),"")</f>
        <v/>
      </c>
      <c r="E29" s="292" t="str">
        <f>IFERROR(VLOOKUP(A29,#REF!,3,0),"")</f>
        <v/>
      </c>
      <c r="F29" s="100" t="str">
        <f>IFERROR(VLOOKUP(A29,#REF!,7,0),"")</f>
        <v/>
      </c>
      <c r="G29" s="293" t="str">
        <f>IFERROR(VLOOKUP(A29,#REF!,5,0),"")</f>
        <v/>
      </c>
      <c r="H29" s="293" t="str">
        <f>IFERROR(VLOOKUP(A29,#REF!,5,0),"")</f>
        <v/>
      </c>
      <c r="I29" s="300"/>
      <c r="K29" s="34"/>
      <c r="L29" s="50"/>
      <c r="N29" s="17"/>
      <c r="O29" s="55"/>
      <c r="P29" s="256"/>
      <c r="R29" s="49"/>
      <c r="S29" s="71"/>
      <c r="T29" s="264"/>
      <c r="W29" s="49"/>
      <c r="X29" s="62"/>
      <c r="Y29" s="63"/>
      <c r="AA29" s="29"/>
      <c r="AB29" s="29"/>
      <c r="AC29" s="55"/>
      <c r="AD29" s="271"/>
      <c r="AG29" s="283" t="s">
        <v>52</v>
      </c>
      <c r="AH29" s="284">
        <f>147*0.5</f>
        <v>73.5</v>
      </c>
      <c r="AI29" s="289">
        <f>47*0.5</f>
        <v>23.5</v>
      </c>
      <c r="BK29" s="11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</row>
    <row r="30" spans="1:100" x14ac:dyDescent="0.35">
      <c r="A30" s="24" t="s">
        <v>116</v>
      </c>
      <c r="B30" s="24"/>
      <c r="C30" s="25"/>
      <c r="D30" s="292" t="str">
        <f>IFERROR(VLOOKUP(A30,#REF!,3,0),"")</f>
        <v/>
      </c>
      <c r="E30" s="292" t="str">
        <f>IFERROR(VLOOKUP(A30,#REF!,3,0),"")</f>
        <v/>
      </c>
      <c r="F30" s="100" t="str">
        <f>IFERROR(VLOOKUP(A30,#REF!,7,0),"")</f>
        <v/>
      </c>
      <c r="G30" s="293" t="str">
        <f>IFERROR(VLOOKUP(A30,#REF!,5,0),"")</f>
        <v/>
      </c>
      <c r="H30" s="293" t="str">
        <f>IFERROR(VLOOKUP(A30,#REF!,5,0),"")</f>
        <v/>
      </c>
      <c r="I30" s="300"/>
      <c r="K30" s="34"/>
      <c r="L30" s="50"/>
      <c r="N30" s="17"/>
      <c r="O30" s="55"/>
      <c r="P30" s="256"/>
      <c r="R30" s="49"/>
      <c r="S30" s="71"/>
      <c r="T30" s="264"/>
      <c r="W30" s="49"/>
      <c r="X30" s="62"/>
      <c r="Y30" s="63"/>
      <c r="AA30" s="29"/>
      <c r="AB30" s="29"/>
      <c r="AC30" s="55"/>
      <c r="AD30" s="271"/>
      <c r="AG30" s="29"/>
      <c r="AH30" s="71"/>
      <c r="AI30" s="264"/>
      <c r="BK30" s="11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</row>
    <row r="31" spans="1:100" x14ac:dyDescent="0.35">
      <c r="A31" s="313" t="s">
        <v>194</v>
      </c>
      <c r="B31" s="24"/>
      <c r="C31" s="25"/>
      <c r="D31" s="292" t="str">
        <f>IFERROR(VLOOKUP(A31,#REF!,3,0),"")</f>
        <v/>
      </c>
      <c r="E31" s="292" t="str">
        <f>IFERROR(VLOOKUP(A31,#REF!,3,0),"")</f>
        <v/>
      </c>
      <c r="F31" s="100" t="str">
        <f>IFERROR(VLOOKUP(A31,#REF!,7,0),"")</f>
        <v/>
      </c>
      <c r="G31" s="293" t="str">
        <f>IFERROR(VLOOKUP(A31,#REF!,5,0),"")</f>
        <v/>
      </c>
      <c r="H31" s="293" t="str">
        <f>IFERROR(VLOOKUP(A31,#REF!,5,0),"")</f>
        <v/>
      </c>
      <c r="I31" s="300"/>
      <c r="K31" s="34"/>
      <c r="L31" s="50"/>
      <c r="N31" s="17"/>
      <c r="O31" s="55"/>
      <c r="P31" s="256"/>
      <c r="R31" s="283" t="s">
        <v>191</v>
      </c>
      <c r="S31" s="284">
        <v>950.74</v>
      </c>
      <c r="T31" s="289">
        <f>57.23+481.37</f>
        <v>538.6</v>
      </c>
      <c r="W31" s="283" t="s">
        <v>191</v>
      </c>
      <c r="X31" s="284"/>
      <c r="Y31" s="289">
        <f>189.44</f>
        <v>189.44</v>
      </c>
      <c r="AA31" s="29"/>
      <c r="AB31" s="29"/>
      <c r="AC31" s="55"/>
      <c r="AD31" s="271"/>
      <c r="AG31" s="29"/>
      <c r="AH31" s="71"/>
      <c r="AI31" s="264"/>
      <c r="BK31" s="11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</row>
    <row r="32" spans="1:100" x14ac:dyDescent="0.35">
      <c r="A32" s="313" t="s">
        <v>153</v>
      </c>
      <c r="B32" s="24"/>
      <c r="C32" s="25"/>
      <c r="D32" s="292" t="str">
        <f>IFERROR(VLOOKUP(A32,#REF!,3,0),"")</f>
        <v/>
      </c>
      <c r="E32" s="292" t="str">
        <f>IFERROR(VLOOKUP(A32,#REF!,3,0),"")</f>
        <v/>
      </c>
      <c r="F32" s="100" t="str">
        <f>IFERROR(VLOOKUP(A32,#REF!,7,0),"")</f>
        <v/>
      </c>
      <c r="G32" s="293" t="str">
        <f>IFERROR(VLOOKUP(A32,#REF!,5,0),"")</f>
        <v/>
      </c>
      <c r="H32" s="293" t="str">
        <f>IFERROR(VLOOKUP(A32,#REF!,5,0),"")</f>
        <v/>
      </c>
      <c r="I32" s="300"/>
      <c r="K32" s="34"/>
      <c r="L32" s="50"/>
      <c r="N32" s="17"/>
      <c r="O32" s="43"/>
      <c r="P32" s="50"/>
      <c r="R32" s="49"/>
      <c r="S32" s="71"/>
      <c r="T32" s="264"/>
      <c r="W32" s="49"/>
      <c r="X32" s="71"/>
      <c r="Y32" s="264"/>
      <c r="AA32" s="29"/>
      <c r="AB32" s="29"/>
      <c r="AC32" s="55"/>
      <c r="AD32" s="271"/>
      <c r="AG32" s="29"/>
      <c r="AH32" s="71"/>
      <c r="AI32" s="264"/>
      <c r="BK32" s="11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</row>
    <row r="33" spans="1:100" x14ac:dyDescent="0.35">
      <c r="A33" s="24" t="s">
        <v>26</v>
      </c>
      <c r="B33" s="24"/>
      <c r="C33" s="25"/>
      <c r="D33" s="292" t="str">
        <f>IFERROR(VLOOKUP(A33,#REF!,3,0),"")</f>
        <v/>
      </c>
      <c r="E33" s="292" t="str">
        <f>IFERROR(VLOOKUP(A33,#REF!,3,0),"")</f>
        <v/>
      </c>
      <c r="F33" s="100" t="str">
        <f>IFERROR(VLOOKUP(A33,#REF!,7,0),"")</f>
        <v/>
      </c>
      <c r="G33" s="293" t="str">
        <f>IFERROR(VLOOKUP(A33,#REF!,5,0),"")</f>
        <v/>
      </c>
      <c r="H33" s="293" t="str">
        <f>IFERROR(VLOOKUP(A33,#REF!,5,0),"")</f>
        <v/>
      </c>
      <c r="I33" s="300"/>
      <c r="K33" s="34"/>
      <c r="L33" s="50"/>
      <c r="N33" s="17"/>
      <c r="O33" s="55"/>
      <c r="P33" s="256"/>
      <c r="R33" s="49"/>
      <c r="S33" s="71"/>
      <c r="T33" s="264"/>
      <c r="W33" s="49"/>
      <c r="X33" s="71"/>
      <c r="Y33" s="264"/>
      <c r="AA33" s="29"/>
      <c r="AB33" s="29"/>
      <c r="AC33" s="55"/>
      <c r="AD33" s="271"/>
      <c r="AG33" s="29"/>
      <c r="AH33" s="71"/>
      <c r="AI33" s="265"/>
      <c r="BK33" s="11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</row>
    <row r="34" spans="1:100" ht="15.5" x14ac:dyDescent="0.35">
      <c r="A34" s="314" t="s">
        <v>173</v>
      </c>
      <c r="B34" s="4"/>
      <c r="C34" s="25" t="s">
        <v>135</v>
      </c>
      <c r="D34" s="292" t="str">
        <f>IFERROR(VLOOKUP(A34,#REF!,3,0),"")</f>
        <v/>
      </c>
      <c r="E34" s="292" t="str">
        <f>IFERROR(VLOOKUP(A34,#REF!,3,0),"")</f>
        <v/>
      </c>
      <c r="F34" s="100" t="str">
        <f>IFERROR(VLOOKUP(A34,#REF!,7,0),"")</f>
        <v/>
      </c>
      <c r="G34" s="293" t="str">
        <f>IFERROR(VLOOKUP(A34,#REF!,5,0),"")</f>
        <v/>
      </c>
      <c r="H34" s="293" t="str">
        <f>IFERROR(VLOOKUP(A34,#REF!,5,0),"")</f>
        <v/>
      </c>
      <c r="I34" s="300"/>
      <c r="K34" s="34"/>
      <c r="L34" s="50"/>
      <c r="N34" s="17"/>
      <c r="O34" s="55"/>
      <c r="P34" s="256"/>
      <c r="R34" s="283" t="s">
        <v>133</v>
      </c>
      <c r="S34" s="71"/>
      <c r="T34" s="289">
        <v>20.49</v>
      </c>
      <c r="W34" s="49"/>
      <c r="X34" s="71"/>
      <c r="Y34" s="264"/>
      <c r="AA34" s="29"/>
      <c r="AB34" s="29"/>
      <c r="AC34" s="55"/>
      <c r="AD34" s="271"/>
      <c r="AG34" s="283" t="s">
        <v>133</v>
      </c>
      <c r="AH34" s="284">
        <v>41.14</v>
      </c>
      <c r="AI34" s="289">
        <v>20.99</v>
      </c>
      <c r="BK34" s="11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</row>
    <row r="35" spans="1:100" x14ac:dyDescent="0.35">
      <c r="A35" s="24" t="s">
        <v>27</v>
      </c>
      <c r="B35" s="24"/>
      <c r="C35" s="25"/>
      <c r="D35" s="292" t="str">
        <f>IFERROR(VLOOKUP(A35,#REF!,3,0),"")</f>
        <v/>
      </c>
      <c r="E35" s="292" t="str">
        <f>IFERROR(VLOOKUP(A35,#REF!,3,0),"")</f>
        <v/>
      </c>
      <c r="F35" s="100" t="str">
        <f>IFERROR(VLOOKUP(A35,#REF!,7,0),"")</f>
        <v/>
      </c>
      <c r="G35" s="293" t="str">
        <f>IFERROR(VLOOKUP(A35,#REF!,5,0),"")</f>
        <v/>
      </c>
      <c r="H35" s="293" t="str">
        <f>IFERROR(VLOOKUP(A35,#REF!,5,0),"")</f>
        <v/>
      </c>
      <c r="I35" s="300"/>
      <c r="K35" s="34"/>
      <c r="L35" s="50"/>
      <c r="N35" s="17"/>
      <c r="O35" s="55"/>
      <c r="P35" s="256"/>
      <c r="S35" s="71"/>
      <c r="T35" s="264"/>
      <c r="X35" s="71"/>
      <c r="Y35" s="264"/>
      <c r="AC35" s="55"/>
      <c r="AD35" s="271"/>
      <c r="AG35" s="283" t="s">
        <v>53</v>
      </c>
      <c r="AH35" s="284">
        <f>1.9*35</f>
        <v>66.5</v>
      </c>
      <c r="AI35" s="289">
        <f>1.9*26</f>
        <v>49.4</v>
      </c>
      <c r="BK35" s="11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</row>
    <row r="36" spans="1:100" x14ac:dyDescent="0.35">
      <c r="A36" s="4" t="s">
        <v>28</v>
      </c>
      <c r="B36" s="4"/>
      <c r="C36" s="25"/>
      <c r="D36" s="292" t="str">
        <f>IFERROR(VLOOKUP(A36,#REF!,3,0),"")</f>
        <v/>
      </c>
      <c r="E36" s="292" t="str">
        <f>IFERROR(VLOOKUP(A36,#REF!,3,0),"")</f>
        <v/>
      </c>
      <c r="F36" s="100" t="str">
        <f>IFERROR(VLOOKUP(A36,#REF!,7,0),"")</f>
        <v/>
      </c>
      <c r="G36" s="293" t="str">
        <f>IFERROR(VLOOKUP(A36,#REF!,5,0),"")</f>
        <v/>
      </c>
      <c r="H36" s="293" t="str">
        <f>IFERROR(VLOOKUP(A36,#REF!,5,0),"")</f>
        <v/>
      </c>
      <c r="I36" s="300"/>
      <c r="K36" s="43"/>
      <c r="L36" s="50"/>
      <c r="M36" s="58"/>
      <c r="N36" s="17"/>
      <c r="O36" s="55"/>
      <c r="P36" s="256"/>
      <c r="R36" s="49"/>
      <c r="S36" s="71"/>
      <c r="T36" s="264"/>
      <c r="W36" s="49"/>
      <c r="X36" s="71"/>
      <c r="Y36" s="264"/>
      <c r="AA36" s="29"/>
      <c r="AB36" s="29"/>
      <c r="AC36" s="55"/>
      <c r="AD36" s="271"/>
      <c r="AF36" s="58"/>
      <c r="AH36" s="272"/>
      <c r="AI36" s="265"/>
      <c r="BK36" s="11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</row>
    <row r="37" spans="1:100" x14ac:dyDescent="0.35">
      <c r="A37" s="24" t="s">
        <v>29</v>
      </c>
      <c r="B37" s="24"/>
      <c r="C37" s="33"/>
      <c r="D37" s="292" t="str">
        <f>IFERROR(VLOOKUP(A37,#REF!,3,0),"")</f>
        <v/>
      </c>
      <c r="E37" s="292" t="str">
        <f>IFERROR(VLOOKUP(A37,#REF!,3,0),"")</f>
        <v/>
      </c>
      <c r="F37" s="100" t="str">
        <f>IFERROR(VLOOKUP(A37,#REF!,7,0),"")</f>
        <v/>
      </c>
      <c r="G37" s="293" t="str">
        <f>IFERROR(VLOOKUP(A37,#REF!,5,0),"")</f>
        <v/>
      </c>
      <c r="H37" s="293" t="str">
        <f>IFERROR(VLOOKUP(A37,#REF!,5,0),"")</f>
        <v/>
      </c>
      <c r="I37" s="300"/>
      <c r="K37" s="34"/>
      <c r="L37" s="35"/>
      <c r="M37" s="11"/>
      <c r="N37" s="17"/>
      <c r="O37" s="34"/>
      <c r="P37" s="35"/>
      <c r="R37" s="49"/>
      <c r="S37" s="44"/>
      <c r="T37" s="265"/>
      <c r="W37" s="49"/>
      <c r="X37" s="71"/>
      <c r="Y37" s="264"/>
      <c r="AA37" s="29"/>
      <c r="AB37" s="29"/>
      <c r="AC37" s="55"/>
      <c r="AD37" s="271"/>
      <c r="AG37" s="40"/>
      <c r="AH37" s="272"/>
      <c r="AI37" s="265"/>
      <c r="AJ37" s="58"/>
      <c r="AK37" s="11"/>
      <c r="AO37" s="60"/>
      <c r="AP37" s="60"/>
      <c r="BK37" s="11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</row>
    <row r="38" spans="1:100" x14ac:dyDescent="0.35">
      <c r="A38" s="313" t="s">
        <v>208</v>
      </c>
      <c r="B38" s="24"/>
      <c r="C38" s="108" t="s">
        <v>54</v>
      </c>
      <c r="D38" s="292" t="str">
        <f>IFERROR(VLOOKUP(A38,#REF!,3,0),"")</f>
        <v/>
      </c>
      <c r="E38" s="292" t="str">
        <f>IFERROR(VLOOKUP(A38,#REF!,3,0),"")</f>
        <v/>
      </c>
      <c r="F38" s="100" t="str">
        <f>IFERROR(VLOOKUP(A38,#REF!,7,0),"")</f>
        <v/>
      </c>
      <c r="G38" s="293" t="str">
        <f>IFERROR(VLOOKUP(A38,#REF!,5,0),"")</f>
        <v/>
      </c>
      <c r="H38" s="293" t="str">
        <f>IFERROR(VLOOKUP(A38,#REF!,5,0),"")</f>
        <v/>
      </c>
      <c r="I38" s="300"/>
      <c r="K38" s="284">
        <f>177*0.66</f>
        <v>116.82000000000001</v>
      </c>
      <c r="L38" s="289">
        <f>56*0.66</f>
        <v>36.96</v>
      </c>
      <c r="M38" s="11"/>
      <c r="N38" s="17"/>
      <c r="O38" s="34"/>
      <c r="P38" s="35"/>
      <c r="R38" s="49"/>
      <c r="S38" s="44"/>
      <c r="T38" s="264"/>
      <c r="W38" s="283" t="s">
        <v>55</v>
      </c>
      <c r="X38" s="284">
        <f>477*0.66</f>
        <v>314.82</v>
      </c>
      <c r="Y38" s="289">
        <f>56*0.66</f>
        <v>36.96</v>
      </c>
      <c r="AA38" s="29"/>
      <c r="AB38" s="29"/>
      <c r="AC38" s="55"/>
      <c r="AD38" s="271"/>
      <c r="AF38" s="58"/>
      <c r="AG38" s="40"/>
      <c r="AH38" s="41"/>
      <c r="AI38" s="42"/>
      <c r="AK38" s="11"/>
      <c r="AO38" s="60"/>
      <c r="AP38" s="60"/>
      <c r="BK38" s="11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</row>
    <row r="39" spans="1:100" x14ac:dyDescent="0.35">
      <c r="A39" s="313" t="s">
        <v>30</v>
      </c>
      <c r="B39" s="24"/>
      <c r="C39" s="108"/>
      <c r="D39" s="292" t="str">
        <f>IFERROR(VLOOKUP(A39,#REF!,3,0),"")</f>
        <v/>
      </c>
      <c r="E39" s="292" t="str">
        <f>IFERROR(VLOOKUP(A39,#REF!,3,0),"")</f>
        <v/>
      </c>
      <c r="F39" s="100" t="str">
        <f>IFERROR(VLOOKUP(A39,#REF!,7,0),"")</f>
        <v/>
      </c>
      <c r="G39" s="293" t="str">
        <f>IFERROR(VLOOKUP(A39,#REF!,5,0),"")</f>
        <v/>
      </c>
      <c r="H39" s="293" t="str">
        <f>IFERROR(VLOOKUP(A39,#REF!,5,0),"")</f>
        <v/>
      </c>
      <c r="I39" s="300"/>
      <c r="K39" s="34"/>
      <c r="L39" s="61"/>
      <c r="M39" s="11"/>
      <c r="N39" s="17"/>
      <c r="O39" s="65"/>
      <c r="P39" s="35"/>
      <c r="R39" s="49"/>
      <c r="S39" s="44"/>
      <c r="T39" s="264"/>
      <c r="W39" s="49"/>
      <c r="X39" s="71"/>
      <c r="Y39" s="264"/>
      <c r="AA39" s="29"/>
      <c r="AB39" s="29"/>
      <c r="AC39" s="55"/>
      <c r="AD39" s="271"/>
      <c r="AF39" s="58"/>
      <c r="AG39" s="40"/>
      <c r="AH39" s="41"/>
      <c r="AI39" s="42"/>
      <c r="AK39" s="11"/>
      <c r="AO39" s="60"/>
      <c r="AP39" s="60"/>
      <c r="BK39" s="11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</row>
    <row r="40" spans="1:100" x14ac:dyDescent="0.35">
      <c r="A40" s="313" t="s">
        <v>31</v>
      </c>
      <c r="B40" s="4"/>
      <c r="C40" s="25" t="s">
        <v>46</v>
      </c>
      <c r="D40" s="292" t="str">
        <f>IFERROR(VLOOKUP(A40,#REF!,3,0),"")</f>
        <v/>
      </c>
      <c r="E40" s="292" t="str">
        <f>IFERROR(VLOOKUP(A40,#REF!,3,0),"")</f>
        <v/>
      </c>
      <c r="F40" s="100" t="str">
        <f>IFERROR(VLOOKUP(A40,#REF!,7,0),"")</f>
        <v/>
      </c>
      <c r="G40" s="293" t="str">
        <f>IFERROR(VLOOKUP(A40,#REF!,5,0),"")</f>
        <v/>
      </c>
      <c r="H40" s="293" t="str">
        <f>IFERROR(VLOOKUP(A40,#REF!,5,0),"")</f>
        <v/>
      </c>
      <c r="I40" s="300"/>
      <c r="K40" s="34"/>
      <c r="L40" s="61"/>
      <c r="M40" s="11"/>
      <c r="N40" s="17"/>
      <c r="O40" s="65"/>
      <c r="P40" s="35"/>
      <c r="R40" s="49"/>
      <c r="S40" s="44"/>
      <c r="T40" s="264"/>
      <c r="W40" s="49"/>
      <c r="X40" s="71"/>
      <c r="Y40" s="264"/>
      <c r="AA40" s="283" t="s">
        <v>196</v>
      </c>
      <c r="AB40" s="283"/>
      <c r="AC40" s="284">
        <f>266*0.05</f>
        <v>13.3</v>
      </c>
      <c r="AD40" s="289">
        <f>120*0.05</f>
        <v>6</v>
      </c>
      <c r="AG40" s="40"/>
      <c r="AH40" s="41"/>
      <c r="AI40" s="42"/>
      <c r="AK40" s="11"/>
      <c r="AO40" s="60"/>
      <c r="AP40" s="60"/>
      <c r="BK40" s="11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</row>
    <row r="41" spans="1:100" x14ac:dyDescent="0.35">
      <c r="A41" s="237" t="s">
        <v>56</v>
      </c>
      <c r="B41" s="237"/>
      <c r="C41" s="57" t="s">
        <v>49</v>
      </c>
      <c r="D41" s="292" t="str">
        <f>IFERROR(VLOOKUP(A41,#REF!,3,0),"")</f>
        <v/>
      </c>
      <c r="E41" s="292" t="str">
        <f>IFERROR(VLOOKUP(A41,#REF!,3,0),"")</f>
        <v/>
      </c>
      <c r="F41" s="100" t="str">
        <f>IFERROR(VLOOKUP(A41,#REF!,7,0),"")</f>
        <v/>
      </c>
      <c r="G41" s="293" t="str">
        <f>IFERROR(VLOOKUP(A41,#REF!,5,0),"")</f>
        <v/>
      </c>
      <c r="H41" s="293" t="str">
        <f>IFERROR(VLOOKUP(A41,#REF!,5,0),"")</f>
        <v/>
      </c>
      <c r="I41" s="300"/>
      <c r="K41" s="34"/>
      <c r="L41" s="61"/>
      <c r="M41" s="11"/>
      <c r="N41" s="17"/>
      <c r="O41" s="65"/>
      <c r="P41" s="61"/>
      <c r="R41" s="49"/>
      <c r="S41" s="71"/>
      <c r="T41" s="264"/>
      <c r="X41" s="71"/>
      <c r="Y41" s="264"/>
      <c r="AA41" s="29"/>
      <c r="AB41" s="29"/>
      <c r="AC41" s="55"/>
      <c r="AD41" s="271"/>
      <c r="AG41" s="66"/>
      <c r="AH41" s="67"/>
      <c r="AI41" s="31"/>
      <c r="AK41" s="11"/>
      <c r="AO41" s="60"/>
      <c r="AP41" s="60"/>
      <c r="BK41" s="11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</row>
    <row r="42" spans="1:100" x14ac:dyDescent="0.35">
      <c r="A42" s="313" t="s">
        <v>210</v>
      </c>
      <c r="B42" s="237"/>
      <c r="C42" s="57"/>
      <c r="D42" s="292" t="str">
        <f>IFERROR(VLOOKUP(A42,#REF!,3,0),"")</f>
        <v/>
      </c>
      <c r="E42" s="292" t="str">
        <f>IFERROR(VLOOKUP(A42,#REF!,3,0),"")</f>
        <v/>
      </c>
      <c r="F42" s="100" t="str">
        <f>IFERROR(VLOOKUP(A42,#REF!,7,0),"")</f>
        <v/>
      </c>
      <c r="G42" s="293" t="str">
        <f>IFERROR(VLOOKUP(A42,#REF!,5,0),"")</f>
        <v/>
      </c>
      <c r="H42" s="293" t="str">
        <f>IFERROR(VLOOKUP(A42,#REF!,5,0),"")</f>
        <v/>
      </c>
      <c r="I42" s="300"/>
      <c r="K42" s="34"/>
      <c r="L42" s="61"/>
      <c r="M42" s="11"/>
      <c r="N42" s="17"/>
      <c r="O42" s="65"/>
      <c r="P42" s="61"/>
      <c r="R42" s="49"/>
      <c r="S42" s="71"/>
      <c r="T42" s="264"/>
      <c r="X42" s="71"/>
      <c r="Y42" s="264"/>
      <c r="AA42" s="29"/>
      <c r="AB42" s="29"/>
      <c r="AC42" s="55"/>
      <c r="AD42" s="271"/>
      <c r="AG42" s="283" t="s">
        <v>200</v>
      </c>
      <c r="AH42" s="284">
        <f>33*0.28</f>
        <v>9.24</v>
      </c>
      <c r="AI42" s="289">
        <f>15*0.28</f>
        <v>4.2</v>
      </c>
      <c r="AK42" s="11"/>
      <c r="AO42" s="60"/>
      <c r="AP42" s="60"/>
      <c r="BK42" s="11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</row>
    <row r="43" spans="1:100" x14ac:dyDescent="0.35">
      <c r="A43" s="24" t="s">
        <v>32</v>
      </c>
      <c r="B43" s="24"/>
      <c r="C43" s="68"/>
      <c r="D43" s="292" t="str">
        <f>IFERROR(VLOOKUP(A43,#REF!,3,0),"")</f>
        <v/>
      </c>
      <c r="E43" s="292" t="str">
        <f>IFERROR(VLOOKUP(A43,#REF!,3,0),"")</f>
        <v/>
      </c>
      <c r="F43" s="100" t="str">
        <f>IFERROR(VLOOKUP(A43,#REF!,7,0),"")</f>
        <v/>
      </c>
      <c r="G43" s="293" t="str">
        <f>IFERROR(VLOOKUP(A43,#REF!,5,0),"")</f>
        <v/>
      </c>
      <c r="H43" s="293" t="str">
        <f>IFERROR(VLOOKUP(A43,#REF!,5,0),"")</f>
        <v/>
      </c>
      <c r="I43" s="300"/>
      <c r="K43" s="34"/>
      <c r="L43" s="61"/>
      <c r="M43" s="11"/>
      <c r="N43" s="17"/>
      <c r="O43" s="65"/>
      <c r="P43" s="61"/>
      <c r="R43" s="49"/>
      <c r="S43" s="71"/>
      <c r="T43" s="264"/>
      <c r="X43" s="71"/>
      <c r="Y43" s="264"/>
      <c r="AA43" s="29"/>
      <c r="AB43" s="29"/>
      <c r="AC43" s="55"/>
      <c r="AD43" s="271"/>
      <c r="AF43" s="66"/>
      <c r="AH43" s="67"/>
      <c r="AI43" s="31"/>
      <c r="AK43" s="11"/>
      <c r="AO43" s="60"/>
      <c r="AP43" s="60"/>
      <c r="BK43" s="11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</row>
    <row r="44" spans="1:100" ht="15" thickBot="1" x14ac:dyDescent="0.4">
      <c r="C44" s="69"/>
      <c r="D44" s="70"/>
      <c r="E44" s="70"/>
      <c r="F44" s="26"/>
      <c r="G44" s="293" t="str">
        <f>IFERROR(VLOOKUP(A44,#REF!,5,0),"")</f>
        <v/>
      </c>
      <c r="H44" s="293" t="str">
        <f>IFERROR(VLOOKUP(A44,#REF!,5,0),"")</f>
        <v/>
      </c>
      <c r="I44" s="300"/>
      <c r="J44" s="11"/>
      <c r="K44" s="71"/>
      <c r="L44" s="72"/>
      <c r="M44" s="11"/>
      <c r="N44" s="17"/>
      <c r="O44" s="71"/>
      <c r="P44" s="72"/>
      <c r="R44" s="250"/>
      <c r="S44" s="34"/>
      <c r="T44" s="35"/>
      <c r="V44" s="49"/>
      <c r="W44" s="49"/>
      <c r="X44" s="71"/>
      <c r="Y44" s="264"/>
      <c r="AA44" s="29"/>
      <c r="AB44" s="29"/>
      <c r="AC44" s="55"/>
      <c r="AD44" s="271"/>
      <c r="AG44" s="11"/>
      <c r="AH44" s="44"/>
      <c r="AI44" s="56"/>
      <c r="AK44" s="48"/>
      <c r="AO44" s="60"/>
      <c r="AP44" s="60"/>
      <c r="BK44" s="11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</row>
    <row r="45" spans="1:100" ht="15" thickBot="1" x14ac:dyDescent="0.4">
      <c r="A45" s="11"/>
      <c r="B45" s="11"/>
      <c r="C45" s="38"/>
      <c r="D45" s="77"/>
      <c r="E45" s="77"/>
      <c r="F45" s="10"/>
      <c r="G45" s="78"/>
      <c r="H45" s="11"/>
      <c r="I45" s="11"/>
      <c r="J45" s="11"/>
      <c r="K45" s="71"/>
      <c r="L45" s="72"/>
      <c r="M45" s="11"/>
      <c r="N45" s="17"/>
      <c r="O45" s="71"/>
      <c r="P45" s="72"/>
      <c r="R45" s="250"/>
      <c r="S45" s="73"/>
      <c r="T45" s="74"/>
      <c r="V45" s="49"/>
      <c r="W45" s="49"/>
      <c r="X45" s="79"/>
      <c r="Y45" s="80"/>
      <c r="AA45" s="33"/>
      <c r="AB45" s="33"/>
      <c r="AC45" s="75"/>
      <c r="AD45" s="76"/>
      <c r="AF45" s="66"/>
      <c r="AG45" s="11"/>
      <c r="AH45" s="44"/>
      <c r="AI45" s="56"/>
      <c r="AK45" s="84" t="s">
        <v>57</v>
      </c>
      <c r="AL45" s="85"/>
      <c r="AM45" s="86"/>
      <c r="AO45" s="47"/>
      <c r="AP45" s="47"/>
      <c r="BK45" s="11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</row>
    <row r="46" spans="1:100" ht="15" thickBot="1" x14ac:dyDescent="0.4">
      <c r="A46" s="11"/>
      <c r="B46" s="11"/>
      <c r="C46" s="38"/>
      <c r="D46" s="77"/>
      <c r="E46" s="77"/>
      <c r="F46" s="10"/>
      <c r="G46" s="78"/>
      <c r="H46" s="11"/>
      <c r="I46" s="11"/>
      <c r="J46" s="10"/>
      <c r="K46" s="387">
        <f>K47+L47</f>
        <v>153.78</v>
      </c>
      <c r="L46" s="388"/>
      <c r="M46" s="10"/>
      <c r="N46" s="17"/>
      <c r="O46" s="387">
        <f>O47+P47</f>
        <v>0</v>
      </c>
      <c r="P46" s="388"/>
      <c r="R46" s="11"/>
      <c r="S46" s="387">
        <f>T47+S47</f>
        <v>1509.83</v>
      </c>
      <c r="T46" s="388"/>
      <c r="V46" s="49"/>
      <c r="W46" s="49"/>
      <c r="X46" s="387">
        <f>Y47+X47</f>
        <v>855.21999999999991</v>
      </c>
      <c r="Y46" s="388"/>
      <c r="AA46" s="10"/>
      <c r="AB46" s="336">
        <f>AB18</f>
        <v>244.89</v>
      </c>
      <c r="AC46" s="387">
        <f>AD47+AC47</f>
        <v>3120.2440000000006</v>
      </c>
      <c r="AD46" s="388"/>
      <c r="AG46" s="11"/>
      <c r="AH46" s="387">
        <f>AH47+AI47</f>
        <v>1071.8600000000001</v>
      </c>
      <c r="AI46" s="388"/>
      <c r="AK46" s="380">
        <f>K46+AH46+AC46+X46+S46+O46+AB46</f>
        <v>6955.8240000000014</v>
      </c>
      <c r="AL46" s="381"/>
      <c r="AM46" s="382"/>
      <c r="AO46" s="47"/>
      <c r="BK46" s="11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</row>
    <row r="47" spans="1:100" ht="15" thickBot="1" x14ac:dyDescent="0.4">
      <c r="A47" s="11"/>
      <c r="B47" s="11"/>
      <c r="C47" s="38"/>
      <c r="D47" s="77"/>
      <c r="E47" s="77"/>
      <c r="F47" s="10"/>
      <c r="G47" s="78"/>
      <c r="H47" s="11"/>
      <c r="I47" s="11"/>
      <c r="J47" s="11"/>
      <c r="K47" s="81">
        <f>SUM(K10:K45)</f>
        <v>116.82000000000001</v>
      </c>
      <c r="L47" s="82">
        <f>SUM(L10:L45)</f>
        <v>36.96</v>
      </c>
      <c r="M47" s="11"/>
      <c r="N47" s="17"/>
      <c r="O47" s="81">
        <f>SUM(O10:O45)</f>
        <v>0</v>
      </c>
      <c r="P47" s="82">
        <f>SUM(P10:P45)</f>
        <v>0</v>
      </c>
      <c r="R47" s="83"/>
      <c r="S47" s="81">
        <f>SUM(S5:S45)</f>
        <v>950.74</v>
      </c>
      <c r="T47" s="82">
        <f>SUM(T10:T45)</f>
        <v>559.09</v>
      </c>
      <c r="V47" s="49"/>
      <c r="W47" s="49"/>
      <c r="X47" s="81">
        <f>SUM(X5:X45)</f>
        <v>628.81999999999994</v>
      </c>
      <c r="Y47" s="82">
        <f>SUM(Y10:Y45)</f>
        <v>226.4</v>
      </c>
      <c r="AA47" s="83"/>
      <c r="AB47" s="83"/>
      <c r="AC47" s="81">
        <f>SUM(AC4:AC44)</f>
        <v>1576.5160000000001</v>
      </c>
      <c r="AD47" s="82">
        <f>SUM(AD4:AD44)</f>
        <v>1543.7280000000003</v>
      </c>
      <c r="AG47" s="11"/>
      <c r="AH47" s="81">
        <f>SUM(AH5:AH45)</f>
        <v>593.59</v>
      </c>
      <c r="AI47" s="82">
        <f>SUM(AI5:AI45)</f>
        <v>478.27</v>
      </c>
      <c r="AO47" s="47"/>
      <c r="AP47" s="47"/>
      <c r="BK47" s="11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</row>
    <row r="48" spans="1:100" ht="15" thickBot="1" x14ac:dyDescent="0.4">
      <c r="A48" s="11"/>
      <c r="B48" s="11"/>
      <c r="C48" s="38"/>
      <c r="D48" s="77"/>
      <c r="E48" s="77"/>
      <c r="F48" s="10"/>
      <c r="G48" s="78"/>
      <c r="H48" s="11"/>
      <c r="I48" s="11"/>
      <c r="J48" s="233" t="s">
        <v>60</v>
      </c>
      <c r="K48" s="232">
        <f>K47</f>
        <v>116.82000000000001</v>
      </c>
      <c r="L48" s="82">
        <f>L47</f>
        <v>36.96</v>
      </c>
      <c r="M48" s="11"/>
      <c r="N48" s="233" t="s">
        <v>60</v>
      </c>
      <c r="O48" s="232">
        <f>K48+O47</f>
        <v>116.82000000000001</v>
      </c>
      <c r="P48" s="82">
        <f>L48+P47</f>
        <v>36.96</v>
      </c>
      <c r="R48" s="233" t="s">
        <v>60</v>
      </c>
      <c r="S48" s="232">
        <f>O48+S47</f>
        <v>1067.56</v>
      </c>
      <c r="T48" s="82">
        <f>P48+T47</f>
        <v>596.05000000000007</v>
      </c>
      <c r="V48" s="49"/>
      <c r="W48" s="233" t="s">
        <v>60</v>
      </c>
      <c r="X48" s="232">
        <f>S48+X47</f>
        <v>1696.3799999999999</v>
      </c>
      <c r="Y48" s="82">
        <f>T48+Y47</f>
        <v>822.45</v>
      </c>
      <c r="AB48" s="233" t="s">
        <v>60</v>
      </c>
      <c r="AC48" s="232">
        <f>X48+AC47</f>
        <v>3272.8959999999997</v>
      </c>
      <c r="AD48" s="82">
        <f>Y48+AD47</f>
        <v>2366.1780000000003</v>
      </c>
      <c r="AG48" s="11"/>
      <c r="AH48" s="232">
        <f>AC48+AH47</f>
        <v>3866.4859999999999</v>
      </c>
      <c r="AI48" s="82">
        <f>AD48+AI47</f>
        <v>2844.4480000000003</v>
      </c>
      <c r="AO48" s="47"/>
      <c r="AP48" s="47"/>
      <c r="BK48" s="11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</row>
    <row r="49" spans="1:100" ht="15" thickBot="1" x14ac:dyDescent="0.4">
      <c r="F49" s="10"/>
      <c r="G49" s="78"/>
      <c r="J49" s="10"/>
      <c r="K49" s="87">
        <f>COUNTIF(K5:L45,"&gt;1")</f>
        <v>2</v>
      </c>
      <c r="L49" s="88" t="s">
        <v>58</v>
      </c>
      <c r="M49" s="10"/>
      <c r="N49" s="17"/>
      <c r="O49" s="87">
        <f>COUNTIF(O5:P45,"&gt;1")</f>
        <v>0</v>
      </c>
      <c r="P49" s="88" t="s">
        <v>58</v>
      </c>
      <c r="R49" s="11"/>
      <c r="S49" s="87">
        <f>COUNTIF(S5:T45,"&gt;1")</f>
        <v>3</v>
      </c>
      <c r="T49" s="88" t="s">
        <v>58</v>
      </c>
      <c r="V49" s="49"/>
      <c r="W49" s="49"/>
      <c r="X49" s="87">
        <f>COUNTIF(X5:Y45,"&gt;1,5")</f>
        <v>4</v>
      </c>
      <c r="Y49" s="88" t="s">
        <v>58</v>
      </c>
      <c r="AA49" s="10"/>
      <c r="AB49" s="10"/>
      <c r="AC49" s="334">
        <f>COUNTIF(AC5:AD45,"&gt;1,5")</f>
        <v>11</v>
      </c>
      <c r="AD49" s="335" t="s">
        <v>59</v>
      </c>
      <c r="AG49" s="11"/>
      <c r="AH49" s="87">
        <f>COUNTIF(AH5:AI45,"&gt;1")</f>
        <v>18</v>
      </c>
      <c r="AI49" s="88" t="s">
        <v>58</v>
      </c>
      <c r="AK49" s="89">
        <f>SUM(K49:AJ49)</f>
        <v>38</v>
      </c>
      <c r="AL49" s="90" t="s">
        <v>59</v>
      </c>
      <c r="AM49" s="91"/>
      <c r="AO49" s="10"/>
      <c r="BK49" s="11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</row>
    <row r="50" spans="1:100" ht="15" thickBot="1" x14ac:dyDescent="0.4">
      <c r="F50" s="10"/>
      <c r="G50" s="78"/>
      <c r="J50" s="10"/>
      <c r="K50" s="361">
        <f>K46</f>
        <v>153.78</v>
      </c>
      <c r="L50" s="362"/>
      <c r="M50" s="10"/>
      <c r="N50" s="92" t="s">
        <v>60</v>
      </c>
      <c r="O50" s="361">
        <f>K50+O46</f>
        <v>153.78</v>
      </c>
      <c r="P50" s="362"/>
      <c r="R50" s="92" t="s">
        <v>61</v>
      </c>
      <c r="S50" s="361">
        <f>O50+S46</f>
        <v>1663.61</v>
      </c>
      <c r="T50" s="362"/>
      <c r="W50" s="92" t="s">
        <v>62</v>
      </c>
      <c r="X50" s="361">
        <f>S50+X46</f>
        <v>2518.83</v>
      </c>
      <c r="Y50" s="362"/>
      <c r="AA50" s="332" t="s">
        <v>218</v>
      </c>
      <c r="AB50" s="361">
        <f>X50+AC46+AB46</f>
        <v>5883.9640000000009</v>
      </c>
      <c r="AC50" s="408"/>
      <c r="AD50" s="362"/>
      <c r="AG50" s="92" t="s">
        <v>63</v>
      </c>
      <c r="AH50" s="361">
        <f>AB50+AH46</f>
        <v>6955.8240000000005</v>
      </c>
      <c r="AI50" s="362"/>
      <c r="AK50" s="10"/>
      <c r="AO50" s="10"/>
      <c r="BK50" s="11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</row>
    <row r="51" spans="1:100" ht="15" thickBot="1" x14ac:dyDescent="0.4">
      <c r="A51" s="10"/>
      <c r="B51" s="10"/>
      <c r="C51" s="93"/>
      <c r="D51" s="77"/>
      <c r="E51" s="77"/>
      <c r="F51" s="10"/>
      <c r="G51" s="78"/>
      <c r="H51" s="10"/>
      <c r="I51" s="10"/>
      <c r="J51" s="312" t="s">
        <v>212</v>
      </c>
      <c r="K51" s="370">
        <f>K50*0.828</f>
        <v>127.32983999999999</v>
      </c>
      <c r="L51" s="371"/>
      <c r="M51" s="10"/>
      <c r="N51" s="312" t="s">
        <v>212</v>
      </c>
      <c r="O51" s="363">
        <f>O50*0.828</f>
        <v>127.32983999999999</v>
      </c>
      <c r="P51" s="364"/>
      <c r="Q51" s="10"/>
      <c r="R51" s="312" t="s">
        <v>212</v>
      </c>
      <c r="S51" s="363">
        <f>S50*0.828</f>
        <v>1377.4690799999998</v>
      </c>
      <c r="T51" s="364"/>
      <c r="U51" s="10"/>
      <c r="V51" s="10"/>
      <c r="W51" s="312" t="s">
        <v>212</v>
      </c>
      <c r="X51" s="363">
        <f>X50*0.828</f>
        <v>2085.5912399999997</v>
      </c>
      <c r="Y51" s="364"/>
      <c r="AA51" s="312" t="s">
        <v>212</v>
      </c>
      <c r="AB51" s="363">
        <f>AB50*0.828</f>
        <v>4871.9221920000009</v>
      </c>
      <c r="AC51" s="367"/>
      <c r="AD51" s="364"/>
      <c r="AG51" s="312" t="s">
        <v>212</v>
      </c>
      <c r="AH51" s="363">
        <f>AH50*0.828</f>
        <v>5759.4222719999998</v>
      </c>
      <c r="AI51" s="364"/>
      <c r="BK51" s="11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</row>
    <row r="52" spans="1:100" x14ac:dyDescent="0.35">
      <c r="A52" s="10"/>
      <c r="B52" s="10"/>
      <c r="C52" s="93"/>
      <c r="D52" s="77"/>
      <c r="E52" s="77"/>
      <c r="F52" s="10"/>
      <c r="G52" s="78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T52" s="10"/>
      <c r="U52" s="10"/>
      <c r="V52" s="10"/>
      <c r="W52" s="10"/>
      <c r="X52" s="10"/>
      <c r="AG52" s="11"/>
      <c r="BK52" s="11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</row>
    <row r="53" spans="1:100" ht="15" thickBot="1" x14ac:dyDescent="0.4">
      <c r="A53" s="313"/>
      <c r="F53" s="11"/>
      <c r="G53" s="94"/>
      <c r="Z53" s="10"/>
      <c r="AH53" s="10"/>
      <c r="AK53" s="58"/>
      <c r="BK53" s="11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</row>
    <row r="54" spans="1:100" ht="15" thickBot="1" x14ac:dyDescent="0.4">
      <c r="A54" s="95"/>
      <c r="B54" s="95"/>
      <c r="C54" s="95"/>
      <c r="D54" s="96"/>
      <c r="E54" s="96"/>
      <c r="F54" s="21" t="s">
        <v>39</v>
      </c>
      <c r="G54" s="195" t="s">
        <v>33</v>
      </c>
      <c r="H54" s="196" t="s">
        <v>34</v>
      </c>
      <c r="I54" s="299"/>
      <c r="K54" s="15" t="s">
        <v>35</v>
      </c>
      <c r="L54" s="16" t="s">
        <v>36</v>
      </c>
      <c r="N54" s="250"/>
      <c r="O54" s="15" t="s">
        <v>35</v>
      </c>
      <c r="P54" s="16" t="s">
        <v>36</v>
      </c>
      <c r="R54" s="18"/>
      <c r="S54" s="15" t="s">
        <v>35</v>
      </c>
      <c r="T54" s="16" t="s">
        <v>36</v>
      </c>
      <c r="X54" s="15" t="s">
        <v>35</v>
      </c>
      <c r="Y54" s="16" t="s">
        <v>36</v>
      </c>
      <c r="AC54" s="15" t="s">
        <v>35</v>
      </c>
      <c r="AD54" s="16" t="s">
        <v>36</v>
      </c>
      <c r="AH54" s="15" t="s">
        <v>35</v>
      </c>
      <c r="AI54" s="16" t="s">
        <v>36</v>
      </c>
      <c r="BK54" s="11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</row>
    <row r="55" spans="1:100" ht="15" thickBot="1" x14ac:dyDescent="0.4">
      <c r="A55" s="97"/>
      <c r="B55" s="97"/>
      <c r="C55" s="98"/>
      <c r="D55" s="22" t="s">
        <v>37</v>
      </c>
      <c r="E55" s="23" t="s">
        <v>38</v>
      </c>
      <c r="F55" s="194">
        <f ca="1">F3</f>
        <v>44705</v>
      </c>
      <c r="G55" s="405" t="e">
        <f>#REF!</f>
        <v>#REF!</v>
      </c>
      <c r="H55" s="406"/>
      <c r="I55" s="299"/>
      <c r="K55" s="368" t="s">
        <v>64</v>
      </c>
      <c r="L55" s="369"/>
      <c r="N55" s="10" t="s">
        <v>203</v>
      </c>
      <c r="O55" s="368" t="s">
        <v>65</v>
      </c>
      <c r="P55" s="369"/>
      <c r="R55" s="11"/>
      <c r="S55" s="368" t="s">
        <v>66</v>
      </c>
      <c r="T55" s="369"/>
      <c r="X55" s="368" t="s">
        <v>169</v>
      </c>
      <c r="Y55" s="369"/>
      <c r="AA55" s="10"/>
      <c r="AB55" s="10"/>
      <c r="AC55" s="368" t="s">
        <v>67</v>
      </c>
      <c r="AD55" s="369"/>
      <c r="AG55" s="99"/>
      <c r="AH55" s="368" t="s">
        <v>68</v>
      </c>
      <c r="AI55" s="369"/>
      <c r="BK55" s="11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</row>
    <row r="56" spans="1:100" x14ac:dyDescent="0.35">
      <c r="A56" s="313" t="s">
        <v>0</v>
      </c>
      <c r="B56" s="24"/>
      <c r="C56" s="64" t="s">
        <v>69</v>
      </c>
      <c r="D56" s="292" t="str">
        <f>IFERROR(VLOOKUP(A56,#REF!,3,0),"")</f>
        <v/>
      </c>
      <c r="E56" s="292" t="str">
        <f>IFERROR(VLOOKUP(A56,#REF!,3,0),"")</f>
        <v/>
      </c>
      <c r="F56" s="100" t="str">
        <f>IFERROR(VLOOKUP(A56,#REF!,7,0),"")</f>
        <v/>
      </c>
      <c r="G56" s="293" t="str">
        <f>IFERROR(VLOOKUP(A56,#REF!,5,0),"")</f>
        <v/>
      </c>
      <c r="H56" s="293" t="str">
        <f>IFERROR(VLOOKUP(A56,#REF!,5,0),"")</f>
        <v/>
      </c>
      <c r="I56" s="300"/>
      <c r="K56" s="27"/>
      <c r="L56" s="17"/>
      <c r="N56" s="283" t="s">
        <v>202</v>
      </c>
      <c r="O56" s="284">
        <f>8.44</f>
        <v>8.44</v>
      </c>
      <c r="P56" s="286">
        <f>16.54</f>
        <v>16.54</v>
      </c>
      <c r="R56" s="11"/>
      <c r="S56" s="104"/>
      <c r="T56" s="105"/>
      <c r="W56" s="283" t="s">
        <v>202</v>
      </c>
      <c r="X56" s="284">
        <f>47*0.1</f>
        <v>4.7</v>
      </c>
      <c r="Y56" s="286">
        <f>92*0.1</f>
        <v>9.2000000000000011</v>
      </c>
      <c r="AC56" s="266"/>
      <c r="AD56" s="267"/>
      <c r="AG56" s="283" t="s">
        <v>202</v>
      </c>
      <c r="AH56" s="284">
        <f>47*0.1</f>
        <v>4.7</v>
      </c>
      <c r="AI56" s="286">
        <f>92*0.1</f>
        <v>9.2000000000000011</v>
      </c>
      <c r="BK56" s="11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</row>
    <row r="57" spans="1:100" x14ac:dyDescent="0.35">
      <c r="A57" s="24" t="s">
        <v>118</v>
      </c>
      <c r="B57" s="24"/>
      <c r="C57" s="110"/>
      <c r="D57" s="292" t="str">
        <f>IFERROR(VLOOKUP(A57,#REF!,3,0),"")</f>
        <v/>
      </c>
      <c r="E57" s="292" t="str">
        <f>IFERROR(VLOOKUP(A57,#REF!,3,0),"")</f>
        <v/>
      </c>
      <c r="F57" s="100" t="str">
        <f>IFERROR(VLOOKUP(A57,#REF!,7,0),"")</f>
        <v/>
      </c>
      <c r="G57" s="293" t="str">
        <f>IFERROR(VLOOKUP(A57,#REF!,5,0),"")</f>
        <v/>
      </c>
      <c r="H57" s="293" t="str">
        <f>IFERROR(VLOOKUP(A57,#REF!,5,0),"")</f>
        <v/>
      </c>
      <c r="I57" s="300"/>
      <c r="J57" s="28" t="s">
        <v>157</v>
      </c>
      <c r="K57" s="260"/>
      <c r="L57" s="257"/>
      <c r="N57" s="101"/>
      <c r="O57" s="107"/>
      <c r="P57" s="61"/>
      <c r="R57" s="11"/>
      <c r="S57" s="27"/>
      <c r="T57" s="17"/>
      <c r="X57" s="27"/>
      <c r="Y57" s="17"/>
      <c r="AA57" s="10"/>
      <c r="AB57" s="10"/>
      <c r="AC57" s="266"/>
      <c r="AD57" s="267"/>
      <c r="AE57" s="237"/>
      <c r="AG57" s="99"/>
      <c r="AH57" s="106"/>
      <c r="AI57" s="17"/>
      <c r="AK57" s="58"/>
      <c r="BK57" s="11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</row>
    <row r="58" spans="1:100" x14ac:dyDescent="0.35">
      <c r="A58" s="24" t="s">
        <v>71</v>
      </c>
      <c r="B58" s="24"/>
      <c r="C58" s="5" t="s">
        <v>72</v>
      </c>
      <c r="D58" s="292" t="str">
        <f>IFERROR(VLOOKUP(A58,#REF!,3,0),"")</f>
        <v/>
      </c>
      <c r="E58" s="292" t="str">
        <f>IFERROR(VLOOKUP(A58,#REF!,3,0),"")</f>
        <v/>
      </c>
      <c r="F58" s="100" t="str">
        <f>IFERROR(VLOOKUP(A58,#REF!,7,0),"")</f>
        <v/>
      </c>
      <c r="G58" s="293" t="str">
        <f>IFERROR(VLOOKUP(A58,#REF!,5,0),"")</f>
        <v/>
      </c>
      <c r="H58" s="293" t="str">
        <f>IFERROR(VLOOKUP(A58,#REF!,5,0),"")</f>
        <v/>
      </c>
      <c r="I58" s="300"/>
      <c r="K58" s="252"/>
      <c r="L58" s="251"/>
      <c r="N58" s="101"/>
      <c r="O58" s="107"/>
      <c r="P58" s="61"/>
      <c r="R58" s="11"/>
      <c r="S58" s="27"/>
      <c r="T58" s="17"/>
      <c r="X58" s="27"/>
      <c r="Y58" s="17"/>
      <c r="AA58" s="10"/>
      <c r="AB58" s="10"/>
      <c r="AC58" s="266"/>
      <c r="AD58" s="267"/>
      <c r="AG58" s="99"/>
      <c r="AH58" s="106"/>
      <c r="AI58" s="17"/>
      <c r="BK58" s="11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</row>
    <row r="59" spans="1:100" x14ac:dyDescent="0.35">
      <c r="A59" s="24" t="s">
        <v>12</v>
      </c>
      <c r="B59" s="24"/>
      <c r="C59" s="5"/>
      <c r="D59" s="292" t="str">
        <f>IFERROR(VLOOKUP(A59,#REF!,3,0),"")</f>
        <v/>
      </c>
      <c r="E59" s="292" t="str">
        <f>IFERROR(VLOOKUP(A59,#REF!,3,0),"")</f>
        <v/>
      </c>
      <c r="F59" s="100" t="str">
        <f>IFERROR(VLOOKUP(A59,#REF!,7,0),"")</f>
        <v/>
      </c>
      <c r="G59" s="293" t="str">
        <f>IFERROR(VLOOKUP(A59,#REF!,5,0),"")</f>
        <v/>
      </c>
      <c r="H59" s="293" t="str">
        <f>IFERROR(VLOOKUP(A59,#REF!,5,0),"")</f>
        <v/>
      </c>
      <c r="I59" s="300"/>
      <c r="K59" s="252"/>
      <c r="L59" s="251"/>
      <c r="N59" s="101"/>
      <c r="O59" s="107"/>
      <c r="P59" s="61"/>
      <c r="R59" s="11"/>
      <c r="S59" s="27"/>
      <c r="T59" s="17"/>
      <c r="X59" s="27"/>
      <c r="Y59" s="17"/>
      <c r="AA59" s="283" t="s">
        <v>213</v>
      </c>
      <c r="AB59" s="283"/>
      <c r="AC59" s="284">
        <f>18*0.399+0.01</f>
        <v>7.1920000000000002</v>
      </c>
      <c r="AD59" s="286">
        <f>6*0.399</f>
        <v>2.3940000000000001</v>
      </c>
      <c r="AG59" s="99"/>
      <c r="AH59" s="106"/>
      <c r="AI59" s="17"/>
      <c r="BK59" s="11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</row>
    <row r="60" spans="1:100" x14ac:dyDescent="0.35">
      <c r="A60" s="316" t="s">
        <v>14</v>
      </c>
      <c r="B60" t="s">
        <v>113</v>
      </c>
      <c r="C60" s="25" t="s">
        <v>46</v>
      </c>
      <c r="D60" s="292" t="str">
        <f>IFERROR(VLOOKUP(A60,#REF!,3,0),"")</f>
        <v/>
      </c>
      <c r="E60" s="292" t="str">
        <f>IFERROR(VLOOKUP(A60,#REF!,3,0),"")</f>
        <v/>
      </c>
      <c r="F60" s="100" t="str">
        <f>IFERROR(VLOOKUP(A60,#REF!,7,0),"")</f>
        <v/>
      </c>
      <c r="G60" s="293" t="str">
        <f>IFERROR(VLOOKUP(A60,#REF!,5,0),"")</f>
        <v/>
      </c>
      <c r="H60" s="293" t="str">
        <f>IFERROR(VLOOKUP(A60,#REF!,5,0),"")</f>
        <v/>
      </c>
      <c r="I60" s="300"/>
      <c r="J60" s="117"/>
      <c r="K60" s="34"/>
      <c r="L60" s="35"/>
      <c r="M60" s="11"/>
      <c r="N60" s="17"/>
      <c r="O60" s="34"/>
      <c r="P60" s="35"/>
      <c r="R60" s="10"/>
      <c r="S60" s="44"/>
      <c r="T60" s="36"/>
      <c r="X60" s="34"/>
      <c r="Y60" s="35"/>
      <c r="AA60" s="10"/>
      <c r="AB60" s="10"/>
      <c r="AC60" s="266"/>
      <c r="AD60" s="267"/>
      <c r="AG60" s="283" t="s">
        <v>221</v>
      </c>
      <c r="AH60" s="284">
        <f>531*0.3</f>
        <v>159.29999999999998</v>
      </c>
      <c r="AI60" s="289">
        <f>88*0.3</f>
        <v>26.4</v>
      </c>
      <c r="AK60" s="11"/>
      <c r="AL60" s="45"/>
      <c r="AO60" s="47"/>
      <c r="AP60" s="47"/>
      <c r="BK60" s="11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</row>
    <row r="61" spans="1:100" x14ac:dyDescent="0.35">
      <c r="A61" t="s">
        <v>131</v>
      </c>
      <c r="C61" s="110"/>
      <c r="D61" s="292" t="str">
        <f>IFERROR(VLOOKUP(A61,#REF!,3,0),"")</f>
        <v/>
      </c>
      <c r="E61" s="292" t="str">
        <f>IFERROR(VLOOKUP(A61,#REF!,3,0),"")</f>
        <v/>
      </c>
      <c r="F61" s="100" t="str">
        <f>IFERROR(VLOOKUP(A61,#REF!,7,0),"")</f>
        <v/>
      </c>
      <c r="G61" s="293" t="str">
        <f>IFERROR(VLOOKUP(A61,#REF!,5,0),"")</f>
        <v/>
      </c>
      <c r="H61" s="293" t="str">
        <f>IFERROR(VLOOKUP(A61,#REF!,5,0),"")</f>
        <v/>
      </c>
      <c r="I61" s="300"/>
      <c r="K61" s="253"/>
      <c r="L61" s="254"/>
      <c r="N61" s="101"/>
      <c r="O61" s="107"/>
      <c r="P61" s="109"/>
      <c r="R61" s="283" t="s">
        <v>132</v>
      </c>
      <c r="S61" s="284">
        <f>4.13</f>
        <v>4.13</v>
      </c>
      <c r="T61" s="286">
        <f>2.86</f>
        <v>2.86</v>
      </c>
      <c r="X61" s="44"/>
      <c r="Y61" s="265"/>
      <c r="AA61" s="10"/>
      <c r="AB61" s="10"/>
      <c r="AC61" s="266"/>
      <c r="AD61" s="261"/>
      <c r="AG61" s="99"/>
      <c r="AH61" s="255"/>
      <c r="AI61" s="256"/>
      <c r="BK61" s="11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</row>
    <row r="62" spans="1:100" x14ac:dyDescent="0.35">
      <c r="A62" s="24" t="s">
        <v>15</v>
      </c>
      <c r="B62" s="24"/>
      <c r="C62" s="25" t="s">
        <v>73</v>
      </c>
      <c r="D62" s="292" t="str">
        <f>IFERROR(VLOOKUP(A62,#REF!,3,0),"")</f>
        <v/>
      </c>
      <c r="E62" s="292" t="str">
        <f>IFERROR(VLOOKUP(A62,#REF!,3,0),"")</f>
        <v/>
      </c>
      <c r="F62" s="100" t="str">
        <f>IFERROR(VLOOKUP(A62,#REF!,7,0),"")</f>
        <v/>
      </c>
      <c r="G62" s="293" t="str">
        <f>IFERROR(VLOOKUP(A62,#REF!,5,0),"")</f>
        <v/>
      </c>
      <c r="H62" s="293" t="str">
        <f>IFERROR(VLOOKUP(A62,#REF!,5,0),"")</f>
        <v/>
      </c>
      <c r="I62" s="300"/>
      <c r="K62" s="253"/>
      <c r="L62" s="254"/>
      <c r="N62" s="101"/>
      <c r="O62" s="107"/>
      <c r="P62" s="109"/>
      <c r="R62" s="11"/>
      <c r="S62" s="44"/>
      <c r="T62" s="261"/>
      <c r="V62" s="28"/>
      <c r="X62" s="44"/>
      <c r="Y62" s="265"/>
      <c r="AA62" s="10"/>
      <c r="AB62" s="10"/>
      <c r="AC62" s="266"/>
      <c r="AD62" s="261"/>
      <c r="AG62" s="99"/>
      <c r="AH62" s="255"/>
      <c r="AI62" s="256"/>
      <c r="BK62" s="11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</row>
    <row r="63" spans="1:100" x14ac:dyDescent="0.35">
      <c r="A63" s="24" t="s">
        <v>48</v>
      </c>
      <c r="B63" s="24"/>
      <c r="C63" s="25" t="s">
        <v>73</v>
      </c>
      <c r="D63" s="292" t="str">
        <f>IFERROR(VLOOKUP(A63,#REF!,3,0),"")</f>
        <v/>
      </c>
      <c r="E63" s="292" t="str">
        <f>IFERROR(VLOOKUP(A63,#REF!,3,0),"")</f>
        <v/>
      </c>
      <c r="F63" s="100" t="str">
        <f>IFERROR(VLOOKUP(A63,#REF!,7,0),"")</f>
        <v/>
      </c>
      <c r="G63" s="293" t="str">
        <f>IFERROR(VLOOKUP(A63,#REF!,5,0),"")</f>
        <v/>
      </c>
      <c r="H63" s="293" t="str">
        <f>IFERROR(VLOOKUP(A63,#REF!,5,0),"")</f>
        <v/>
      </c>
      <c r="I63" s="300"/>
      <c r="K63" s="255"/>
      <c r="L63" s="256"/>
      <c r="N63" s="51"/>
      <c r="O63" s="52"/>
      <c r="P63" s="53"/>
      <c r="R63" s="11"/>
      <c r="S63" s="44"/>
      <c r="T63" s="56"/>
      <c r="X63" s="44"/>
      <c r="Y63" s="265"/>
      <c r="AA63" s="10"/>
      <c r="AB63" s="10"/>
      <c r="AC63" s="266"/>
      <c r="AD63" s="261"/>
      <c r="AE63" s="95" t="s">
        <v>207</v>
      </c>
      <c r="AG63" s="99"/>
      <c r="AH63" s="255"/>
      <c r="AI63" s="256"/>
      <c r="BK63" s="11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</row>
    <row r="64" spans="1:100" x14ac:dyDescent="0.35">
      <c r="A64" s="24" t="s">
        <v>16</v>
      </c>
      <c r="B64" s="24"/>
      <c r="C64" s="111" t="s">
        <v>49</v>
      </c>
      <c r="D64" s="292" t="str">
        <f>IFERROR(VLOOKUP(A64,#REF!,3,0),"")</f>
        <v/>
      </c>
      <c r="E64" s="292" t="str">
        <f>IFERROR(VLOOKUP(A64,#REF!,3,0),"")</f>
        <v/>
      </c>
      <c r="F64" s="100" t="str">
        <f>IFERROR(VLOOKUP(A64,#REF!,7,0),"")</f>
        <v/>
      </c>
      <c r="G64" s="293" t="str">
        <f>IFERROR(VLOOKUP(A64,#REF!,5,0),"")</f>
        <v/>
      </c>
      <c r="H64" s="293" t="str">
        <f>IFERROR(VLOOKUP(A64,#REF!,5,0),"")</f>
        <v/>
      </c>
      <c r="I64" s="300"/>
      <c r="K64" s="255"/>
      <c r="L64" s="256"/>
      <c r="N64" s="51"/>
      <c r="O64" s="44"/>
      <c r="P64" s="56"/>
      <c r="R64" s="112"/>
      <c r="S64" s="44"/>
      <c r="T64" s="56"/>
      <c r="X64" s="44"/>
      <c r="Y64" s="274"/>
      <c r="AA64" s="283" t="s">
        <v>74</v>
      </c>
      <c r="AB64" s="283"/>
      <c r="AC64" s="339">
        <f>3745*0.93</f>
        <v>3482.8500000000004</v>
      </c>
      <c r="AD64" s="340">
        <f>2089*0.93</f>
        <v>1942.7700000000002</v>
      </c>
      <c r="AE64" s="338">
        <f>AC64+AD64</f>
        <v>5425.6200000000008</v>
      </c>
      <c r="AF64" t="s">
        <v>209</v>
      </c>
      <c r="AH64" s="255"/>
      <c r="AI64" s="256"/>
      <c r="AO64" s="47"/>
      <c r="AP64" s="47"/>
      <c r="BK64" s="11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</row>
    <row r="65" spans="1:100" x14ac:dyDescent="0.35">
      <c r="A65" s="24" t="s">
        <v>17</v>
      </c>
      <c r="B65" s="24"/>
      <c r="C65" s="111" t="s">
        <v>49</v>
      </c>
      <c r="D65" s="292" t="str">
        <f>IFERROR(VLOOKUP(A65,#REF!,3,0),"")</f>
        <v/>
      </c>
      <c r="E65" s="292" t="str">
        <f>IFERROR(VLOOKUP(A65,#REF!,3,0),"")</f>
        <v/>
      </c>
      <c r="F65" s="100" t="str">
        <f>IFERROR(VLOOKUP(A65,#REF!,7,0),"")</f>
        <v/>
      </c>
      <c r="G65" s="293" t="str">
        <f>IFERROR(VLOOKUP(A65,#REF!,5,0),"")</f>
        <v/>
      </c>
      <c r="H65" s="293" t="str">
        <f>IFERROR(VLOOKUP(A65,#REF!,5,0),"")</f>
        <v/>
      </c>
      <c r="I65" s="300"/>
      <c r="K65" s="255"/>
      <c r="L65" s="256"/>
      <c r="N65" s="51"/>
      <c r="O65" s="44"/>
      <c r="P65" s="56"/>
      <c r="R65" s="112"/>
      <c r="S65" s="44"/>
      <c r="T65" s="56"/>
      <c r="X65" s="44"/>
      <c r="Y65" s="274"/>
      <c r="AA65" s="10"/>
      <c r="AB65" s="10"/>
      <c r="AC65" s="266"/>
      <c r="AD65" s="261"/>
      <c r="AE65" s="338">
        <f>5143.24</f>
        <v>5143.24</v>
      </c>
      <c r="AF65" t="s">
        <v>220</v>
      </c>
      <c r="AH65" s="255"/>
      <c r="AI65" s="256"/>
      <c r="BK65" s="11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</row>
    <row r="66" spans="1:100" x14ac:dyDescent="0.35">
      <c r="A66" s="24" t="s">
        <v>18</v>
      </c>
      <c r="B66" s="24"/>
      <c r="C66" s="64"/>
      <c r="D66" s="292" t="str">
        <f>IFERROR(VLOOKUP(A66,#REF!,3,0),"")</f>
        <v/>
      </c>
      <c r="E66" s="292" t="str">
        <f>IFERROR(VLOOKUP(A66,#REF!,3,0),"")</f>
        <v/>
      </c>
      <c r="F66" s="100" t="str">
        <f>IFERROR(VLOOKUP(A66,#REF!,7,0),"")</f>
        <v/>
      </c>
      <c r="G66" s="293" t="str">
        <f>IFERROR(VLOOKUP(A66,#REF!,5,0),"")</f>
        <v/>
      </c>
      <c r="H66" s="293" t="str">
        <f>IFERROR(VLOOKUP(A66,#REF!,5,0),"")</f>
        <v/>
      </c>
      <c r="I66" s="300"/>
      <c r="J66" s="28" t="s">
        <v>138</v>
      </c>
      <c r="K66" s="262"/>
      <c r="L66" s="263"/>
      <c r="M66" s="11"/>
      <c r="N66" s="49"/>
      <c r="O66" s="107"/>
      <c r="P66" s="109"/>
      <c r="R66" s="112"/>
      <c r="S66" s="44"/>
      <c r="T66" s="56"/>
      <c r="V66" s="11"/>
      <c r="X66" s="44"/>
      <c r="Y66" s="265"/>
      <c r="AA66" s="10"/>
      <c r="AB66" s="10"/>
      <c r="AC66" s="268"/>
      <c r="AD66" s="56"/>
      <c r="AH66" s="255"/>
      <c r="AI66" s="256"/>
      <c r="AK66" s="47"/>
      <c r="AL66" s="47"/>
      <c r="AP66" s="58"/>
      <c r="BG66" s="11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</row>
    <row r="67" spans="1:100" x14ac:dyDescent="0.35">
      <c r="A67" s="24" t="s">
        <v>172</v>
      </c>
      <c r="B67" s="24"/>
      <c r="C67" s="25" t="s">
        <v>73</v>
      </c>
      <c r="D67" s="292" t="str">
        <f>IFERROR(VLOOKUP(A67,#REF!,3,0),"")</f>
        <v/>
      </c>
      <c r="E67" s="292" t="str">
        <f>IFERROR(VLOOKUP(A67,#REF!,3,0),"")</f>
        <v/>
      </c>
      <c r="F67" s="100" t="str">
        <f>IFERROR(VLOOKUP(A67,#REF!,7,0),"")</f>
        <v/>
      </c>
      <c r="G67" s="293" t="str">
        <f>IFERROR(VLOOKUP(A67,#REF!,5,0),"")</f>
        <v/>
      </c>
      <c r="H67" s="293" t="str">
        <f>IFERROR(VLOOKUP(A67,#REF!,5,0),"")</f>
        <v/>
      </c>
      <c r="I67" s="300"/>
      <c r="K67" s="258"/>
      <c r="L67" s="259"/>
      <c r="M67" s="11"/>
      <c r="N67" s="283" t="s">
        <v>168</v>
      </c>
      <c r="O67" s="284">
        <f>125*0.5</f>
        <v>62.5</v>
      </c>
      <c r="P67" s="286">
        <f>123*0.5</f>
        <v>61.5</v>
      </c>
      <c r="S67" s="44"/>
      <c r="T67" s="56"/>
      <c r="V67" s="11"/>
      <c r="X67" s="44"/>
      <c r="Y67" s="265"/>
      <c r="AA67" s="10"/>
      <c r="AB67" s="10"/>
      <c r="AC67" s="268"/>
      <c r="AD67" s="56"/>
      <c r="AH67" s="255"/>
      <c r="AI67" s="256"/>
      <c r="AL67" s="58"/>
      <c r="BK67" s="11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</row>
    <row r="68" spans="1:100" x14ac:dyDescent="0.35">
      <c r="A68" s="24" t="s">
        <v>24</v>
      </c>
      <c r="B68" s="24"/>
      <c r="C68" s="64"/>
      <c r="D68" s="292" t="str">
        <f>IFERROR(VLOOKUP(A68,#REF!,3,0),"")</f>
        <v/>
      </c>
      <c r="E68" s="292" t="str">
        <f>IFERROR(VLOOKUP(A68,#REF!,3,0),"")</f>
        <v/>
      </c>
      <c r="F68" s="100" t="str">
        <f>IFERROR(VLOOKUP(A68,#REF!,7,0),"")</f>
        <v/>
      </c>
      <c r="G68" s="293" t="str">
        <f>IFERROR(VLOOKUP(A68,#REF!,5,0),"")</f>
        <v/>
      </c>
      <c r="H68" s="293" t="str">
        <f>IFERROR(VLOOKUP(A68,#REF!,5,0),"")</f>
        <v/>
      </c>
      <c r="I68" s="300"/>
      <c r="J68" s="28" t="s">
        <v>137</v>
      </c>
      <c r="K68" s="260"/>
      <c r="L68" s="257"/>
      <c r="N68" s="49"/>
      <c r="O68" s="276"/>
      <c r="P68" s="277"/>
      <c r="R68" s="112"/>
      <c r="S68" s="71"/>
      <c r="T68" s="264"/>
      <c r="X68" s="266"/>
      <c r="Y68" s="261"/>
      <c r="AA68" s="10"/>
      <c r="AB68" s="10"/>
      <c r="AC68" s="266"/>
      <c r="AD68" s="261"/>
      <c r="AH68" s="55"/>
      <c r="AI68" s="269"/>
      <c r="AL68" s="114"/>
      <c r="AP68" s="58"/>
      <c r="BK68" s="11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</row>
    <row r="69" spans="1:100" x14ac:dyDescent="0.35">
      <c r="A69" s="24" t="s">
        <v>25</v>
      </c>
      <c r="B69" s="24"/>
      <c r="C69" s="108"/>
      <c r="D69" s="292" t="str">
        <f>IFERROR(VLOOKUP(A69,#REF!,3,0),"")</f>
        <v/>
      </c>
      <c r="E69" s="292" t="str">
        <f>IFERROR(VLOOKUP(A69,#REF!,3,0),"")</f>
        <v/>
      </c>
      <c r="F69" s="100" t="str">
        <f>IFERROR(VLOOKUP(A69,#REF!,7,0),"")</f>
        <v/>
      </c>
      <c r="G69" s="293" t="str">
        <f>IFERROR(VLOOKUP(A69,#REF!,5,0),"")</f>
        <v/>
      </c>
      <c r="H69" s="293" t="str">
        <f>IFERROR(VLOOKUP(A69,#REF!,5,0),"")</f>
        <v/>
      </c>
      <c r="I69" s="300"/>
      <c r="K69" s="43"/>
      <c r="L69" s="50"/>
      <c r="N69" s="49"/>
      <c r="O69" s="276"/>
      <c r="P69" s="277"/>
      <c r="R69" s="112"/>
      <c r="S69" s="71"/>
      <c r="T69" s="264"/>
      <c r="X69" s="71"/>
      <c r="Y69" s="264"/>
      <c r="AA69" s="10"/>
      <c r="AB69" s="10"/>
      <c r="AC69" s="266"/>
      <c r="AD69" s="261"/>
      <c r="AG69" s="283" t="s">
        <v>52</v>
      </c>
      <c r="AH69" s="284">
        <f>209*0.3</f>
        <v>62.699999999999996</v>
      </c>
      <c r="AI69" s="286">
        <f>69*0.3</f>
        <v>20.7</v>
      </c>
      <c r="AK69" s="58"/>
      <c r="AN69" s="58"/>
      <c r="BK69" s="11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</row>
    <row r="70" spans="1:100" x14ac:dyDescent="0.35">
      <c r="A70" s="24" t="s">
        <v>153</v>
      </c>
      <c r="B70" s="24"/>
      <c r="C70" s="111"/>
      <c r="D70" s="292" t="str">
        <f>IFERROR(VLOOKUP(A70,#REF!,3,0),"")</f>
        <v/>
      </c>
      <c r="E70" s="292" t="str">
        <f>IFERROR(VLOOKUP(A70,#REF!,3,0),"")</f>
        <v/>
      </c>
      <c r="F70" s="100" t="str">
        <f>IFERROR(VLOOKUP(A70,#REF!,7,0),"")</f>
        <v/>
      </c>
      <c r="G70" s="293" t="str">
        <f>IFERROR(VLOOKUP(A70,#REF!,5,0),"")</f>
        <v/>
      </c>
      <c r="H70" s="293" t="str">
        <f>IFERROR(VLOOKUP(A70,#REF!,5,0),"")</f>
        <v/>
      </c>
      <c r="I70" s="300"/>
      <c r="K70" s="55"/>
      <c r="L70" s="256"/>
      <c r="N70" s="49"/>
      <c r="O70" s="107"/>
      <c r="P70" s="109"/>
      <c r="R70" s="112"/>
      <c r="S70" s="71"/>
      <c r="T70" s="264"/>
      <c r="W70" s="318">
        <v>44470</v>
      </c>
      <c r="X70" s="71"/>
      <c r="Y70" s="264"/>
      <c r="Z70" s="95" t="s">
        <v>207</v>
      </c>
      <c r="AA70" s="10"/>
      <c r="AB70" s="10"/>
      <c r="AC70" s="266"/>
      <c r="AD70" s="261"/>
      <c r="AG70" s="283" t="s">
        <v>154</v>
      </c>
      <c r="AH70" s="34"/>
      <c r="AI70" s="286">
        <v>5.25</v>
      </c>
      <c r="AN70" s="58"/>
      <c r="BK70" s="11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</row>
    <row r="71" spans="1:100" x14ac:dyDescent="0.35">
      <c r="A71" s="24" t="s">
        <v>208</v>
      </c>
      <c r="B71" s="24"/>
      <c r="C71" s="281"/>
      <c r="D71" s="292" t="str">
        <f>IFERROR(VLOOKUP(A71,#REF!,3,0),"")</f>
        <v/>
      </c>
      <c r="E71" s="292" t="str">
        <f>IFERROR(VLOOKUP(A71,#REF!,3,0),"")</f>
        <v/>
      </c>
      <c r="F71" s="100" t="str">
        <f>IFERROR(VLOOKUP(A71,#REF!,7,0),"")</f>
        <v/>
      </c>
      <c r="G71" s="293" t="str">
        <f>IFERROR(VLOOKUP(A71,#REF!,5,0),"")</f>
        <v/>
      </c>
      <c r="H71" s="293" t="str">
        <f>IFERROR(VLOOKUP(A71,#REF!,5,0),"")</f>
        <v/>
      </c>
      <c r="I71" s="300"/>
      <c r="K71" s="284">
        <f>477*0.66</f>
        <v>314.82</v>
      </c>
      <c r="L71" s="289">
        <f>296*0.66</f>
        <v>195.36</v>
      </c>
      <c r="M71" s="58"/>
      <c r="N71" s="49"/>
      <c r="O71" s="276"/>
      <c r="P71" s="277"/>
      <c r="R71" s="112"/>
      <c r="S71" s="44"/>
      <c r="T71" s="264"/>
      <c r="W71" s="283" t="s">
        <v>162</v>
      </c>
      <c r="X71" s="284">
        <f>780*0.66</f>
        <v>514.80000000000007</v>
      </c>
      <c r="Y71" s="289">
        <f>443*0.66</f>
        <v>292.38</v>
      </c>
      <c r="Z71" s="317">
        <f>X71+Y71</f>
        <v>807.18000000000006</v>
      </c>
      <c r="AA71" s="115"/>
      <c r="AB71" s="115"/>
      <c r="AC71" s="44"/>
      <c r="AD71" s="267"/>
      <c r="AG71" s="99"/>
      <c r="AH71" s="55"/>
      <c r="AI71" s="39"/>
      <c r="AN71" s="58"/>
      <c r="BK71" s="11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</row>
    <row r="72" spans="1:100" x14ac:dyDescent="0.35">
      <c r="A72" s="24" t="s">
        <v>30</v>
      </c>
      <c r="B72" s="24"/>
      <c r="C72" s="292"/>
      <c r="D72" s="292" t="str">
        <f>IFERROR(VLOOKUP(A72,#REF!,3,0),"")</f>
        <v/>
      </c>
      <c r="E72" s="292" t="str">
        <f>IFERROR(VLOOKUP(A72,#REF!,3,0),"")</f>
        <v/>
      </c>
      <c r="F72" s="100" t="str">
        <f>IFERROR(VLOOKUP(A72,#REF!,7,0),"")</f>
        <v/>
      </c>
      <c r="G72" s="293" t="str">
        <f>IFERROR(VLOOKUP(A72,#REF!,5,0),"")</f>
        <v/>
      </c>
      <c r="H72" s="293" t="str">
        <f>IFERROR(VLOOKUP(A72,#REF!,5,0),"")</f>
        <v/>
      </c>
      <c r="I72" s="300"/>
      <c r="K72" s="295"/>
      <c r="L72" s="296"/>
      <c r="N72" s="49"/>
      <c r="O72" s="276"/>
      <c r="P72" s="277"/>
      <c r="R72" s="112"/>
      <c r="S72" s="44"/>
      <c r="T72" s="264"/>
      <c r="X72" s="71"/>
      <c r="Y72" s="264"/>
      <c r="Z72" s="317"/>
      <c r="AA72" s="115"/>
      <c r="AB72" s="115"/>
      <c r="AC72" s="44"/>
      <c r="AD72" s="267"/>
      <c r="AG72" s="99"/>
      <c r="AH72" s="55"/>
      <c r="AI72" s="39"/>
      <c r="AN72" s="58"/>
      <c r="BK72" s="11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</row>
    <row r="73" spans="1:100" x14ac:dyDescent="0.35">
      <c r="A73" s="24" t="s">
        <v>75</v>
      </c>
      <c r="B73" s="24"/>
      <c r="C73" s="116"/>
      <c r="D73" s="292" t="str">
        <f>IFERROR(VLOOKUP(A73,#REF!,3,0),"")</f>
        <v/>
      </c>
      <c r="E73" s="292" t="str">
        <f>IFERROR(VLOOKUP(A73,#REF!,3,0),"")</f>
        <v/>
      </c>
      <c r="F73" s="100" t="str">
        <f>IFERROR(VLOOKUP(A73,#REF!,7,0),"")</f>
        <v/>
      </c>
      <c r="G73" s="293" t="str">
        <f>IFERROR(VLOOKUP(A73,#REF!,5,0),"")</f>
        <v/>
      </c>
      <c r="H73" s="293" t="str">
        <f>IFERROR(VLOOKUP(A73,#REF!,5,0),"")</f>
        <v/>
      </c>
      <c r="I73" s="300"/>
      <c r="J73" s="28" t="s">
        <v>122</v>
      </c>
      <c r="K73" s="252"/>
      <c r="L73" s="263"/>
      <c r="M73" s="48"/>
      <c r="N73" s="49"/>
      <c r="O73" s="107"/>
      <c r="P73" s="109"/>
      <c r="R73" s="112"/>
      <c r="S73" s="44"/>
      <c r="T73" s="56"/>
      <c r="V73" s="11"/>
      <c r="X73" s="71"/>
      <c r="Y73" s="264"/>
      <c r="AA73" s="10"/>
      <c r="AB73" s="10"/>
      <c r="AC73" s="268"/>
      <c r="AD73" s="275"/>
      <c r="AF73" s="11"/>
      <c r="AG73" s="117"/>
      <c r="AH73" s="255"/>
      <c r="AI73" s="118"/>
      <c r="AO73" s="58"/>
      <c r="BK73" s="11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</row>
    <row r="74" spans="1:100" ht="15" thickBot="1" x14ac:dyDescent="0.4">
      <c r="A74" s="24" t="s">
        <v>31</v>
      </c>
      <c r="B74" s="24"/>
      <c r="C74" s="25" t="s">
        <v>73</v>
      </c>
      <c r="D74" s="292" t="str">
        <f>IFERROR(VLOOKUP(A74,#REF!,3,0),"")</f>
        <v/>
      </c>
      <c r="E74" s="292" t="str">
        <f>IFERROR(VLOOKUP(A74,#REF!,3,0),"")</f>
        <v/>
      </c>
      <c r="F74" s="100" t="str">
        <f>IFERROR(VLOOKUP(A74,#REF!,7,0),"")</f>
        <v/>
      </c>
      <c r="G74" s="293" t="str">
        <f>IFERROR(VLOOKUP(A74,#REF!,5,0),"")</f>
        <v/>
      </c>
      <c r="H74" s="293" t="str">
        <f>IFERROR(VLOOKUP(A74,#REF!,5,0),"")</f>
        <v/>
      </c>
      <c r="I74" s="300"/>
      <c r="K74" s="119"/>
      <c r="L74" s="256"/>
      <c r="M74" s="11"/>
      <c r="N74" s="49"/>
      <c r="O74" s="107"/>
      <c r="P74" s="109"/>
      <c r="R74" s="112"/>
      <c r="S74" s="44"/>
      <c r="T74" s="56"/>
      <c r="V74" s="11"/>
      <c r="X74" s="71"/>
      <c r="Y74" s="264"/>
      <c r="AA74" s="283" t="s">
        <v>76</v>
      </c>
      <c r="AB74" s="283"/>
      <c r="AC74" s="284">
        <f>266*0.7</f>
        <v>186.2</v>
      </c>
      <c r="AD74" s="286">
        <f>120*0.7</f>
        <v>84</v>
      </c>
      <c r="AE74" s="58"/>
      <c r="AF74" s="11"/>
      <c r="AG74" s="117"/>
      <c r="AH74" s="255"/>
      <c r="AI74" s="118"/>
      <c r="AK74" s="11"/>
      <c r="AO74" s="60"/>
      <c r="AP74" s="60"/>
      <c r="BK74" s="11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</row>
    <row r="75" spans="1:100" ht="15" thickBot="1" x14ac:dyDescent="0.4">
      <c r="A75" s="120"/>
      <c r="B75" s="1"/>
      <c r="C75" s="25"/>
      <c r="D75" s="70"/>
      <c r="E75" s="70"/>
      <c r="F75" s="121"/>
      <c r="G75" s="121"/>
      <c r="H75" s="11"/>
      <c r="I75" s="11"/>
      <c r="K75" s="290"/>
      <c r="L75" s="291"/>
      <c r="O75" s="107"/>
      <c r="P75" s="109"/>
      <c r="R75" s="112"/>
      <c r="S75" s="287"/>
      <c r="T75" s="288"/>
      <c r="X75" s="67"/>
      <c r="Y75" s="32"/>
      <c r="AA75" s="113"/>
      <c r="AB75" s="113"/>
      <c r="AC75" s="107"/>
      <c r="AD75" s="109"/>
      <c r="AH75" s="107"/>
      <c r="AI75" s="109"/>
      <c r="AK75" s="375" t="s">
        <v>77</v>
      </c>
      <c r="AL75" s="376"/>
      <c r="AM75" s="377"/>
      <c r="BK75" s="11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</row>
    <row r="76" spans="1:100" ht="15" thickBot="1" x14ac:dyDescent="0.4">
      <c r="A76" s="122"/>
      <c r="B76" s="11"/>
      <c r="C76" s="38"/>
      <c r="D76" s="77"/>
      <c r="E76" s="77"/>
      <c r="F76" s="121"/>
      <c r="G76" s="121"/>
      <c r="H76" s="11"/>
      <c r="I76" s="11"/>
      <c r="J76" s="117"/>
      <c r="K76" s="387">
        <f>K77+L77</f>
        <v>510.18</v>
      </c>
      <c r="L76" s="388"/>
      <c r="N76" s="124"/>
      <c r="O76" s="387">
        <f>O77+P77</f>
        <v>148.97999999999999</v>
      </c>
      <c r="P76" s="389"/>
      <c r="R76" s="117"/>
      <c r="S76" s="387">
        <f>S77+T77</f>
        <v>6.99</v>
      </c>
      <c r="T76" s="389"/>
      <c r="X76" s="387">
        <f>Y77+X77</f>
        <v>821.08000000000015</v>
      </c>
      <c r="Y76" s="388"/>
      <c r="AA76" s="124"/>
      <c r="AB76" s="124"/>
      <c r="AC76" s="378">
        <f>AC77+AD77</f>
        <v>5705.4060000000009</v>
      </c>
      <c r="AD76" s="379"/>
      <c r="AH76" s="378">
        <f>AH77+AI77</f>
        <v>288.24999999999994</v>
      </c>
      <c r="AI76" s="379"/>
      <c r="AK76" s="380">
        <f>K76+AH76+AC76+X76+S76+O76</f>
        <v>7480.8860000000004</v>
      </c>
      <c r="AL76" s="381"/>
      <c r="AM76" s="382"/>
      <c r="BK76" s="11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</row>
    <row r="77" spans="1:100" ht="15" thickBot="1" x14ac:dyDescent="0.4">
      <c r="A77" s="11"/>
      <c r="B77" s="11"/>
      <c r="C77" s="38"/>
      <c r="D77" s="77"/>
      <c r="E77" s="77"/>
      <c r="F77" s="121"/>
      <c r="G77" s="78"/>
      <c r="H77" s="11"/>
      <c r="I77" s="11"/>
      <c r="J77" s="233" t="s">
        <v>60</v>
      </c>
      <c r="K77" s="81">
        <f>SUM(K56:K75)</f>
        <v>314.82</v>
      </c>
      <c r="L77" s="82">
        <f>SUM(L56:L75)</f>
        <v>195.36</v>
      </c>
      <c r="N77" s="83"/>
      <c r="O77" s="81">
        <f>SUM(O56:O75)</f>
        <v>70.94</v>
      </c>
      <c r="P77" s="82">
        <f>SUM(P56:P75)</f>
        <v>78.039999999999992</v>
      </c>
      <c r="R77" s="112"/>
      <c r="S77" s="81">
        <f>SUM(S56:S75)</f>
        <v>4.13</v>
      </c>
      <c r="T77" s="82">
        <f>SUM(T56:T75)</f>
        <v>2.86</v>
      </c>
      <c r="X77" s="81">
        <f>SUM(X56:X75)</f>
        <v>519.50000000000011</v>
      </c>
      <c r="Y77" s="82">
        <f>SUM(Y56:Y75)</f>
        <v>301.58</v>
      </c>
      <c r="AA77" s="58"/>
      <c r="AB77" s="58"/>
      <c r="AC77" s="341">
        <f>SUM(AC56:AC75)</f>
        <v>3676.2420000000002</v>
      </c>
      <c r="AD77" s="342">
        <f>SUM(AD56:AD75)</f>
        <v>2029.1640000000002</v>
      </c>
      <c r="AH77" s="341">
        <f>SUM(AH56:AH75)</f>
        <v>226.69999999999996</v>
      </c>
      <c r="AI77" s="342">
        <f>SUM(AI56:AI75)</f>
        <v>61.55</v>
      </c>
      <c r="AJ77" s="58"/>
      <c r="AK77" s="47"/>
      <c r="AL77" s="47"/>
      <c r="AM77" s="47"/>
      <c r="AN77" s="47"/>
      <c r="AO77" s="47"/>
      <c r="AP77" s="47"/>
      <c r="BK77" s="11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</row>
    <row r="78" spans="1:100" ht="15" thickBot="1" x14ac:dyDescent="0.4">
      <c r="A78" s="11"/>
      <c r="B78" s="11"/>
      <c r="C78" s="38"/>
      <c r="D78" s="77"/>
      <c r="E78" s="77"/>
      <c r="F78" s="121"/>
      <c r="G78" s="197">
        <f>SUMPRODUCT((ISNUMBER(G4:H43))*(G4:H43&lt;$F4:$F43))+SUMPRODUCT((ISNUMBER(G56:H74))*(G56:H74&lt;$F56:$F74))</f>
        <v>0</v>
      </c>
      <c r="H78" s="298" t="e">
        <f>G78/G80</f>
        <v>#DIV/0!</v>
      </c>
      <c r="I78" s="11"/>
      <c r="K78" s="232">
        <f>K77+AH48</f>
        <v>4181.3059999999996</v>
      </c>
      <c r="L78" s="82">
        <f>L77+AI48</f>
        <v>3039.8080000000004</v>
      </c>
      <c r="M78" s="11"/>
      <c r="N78" s="233" t="s">
        <v>60</v>
      </c>
      <c r="O78" s="232">
        <f>K78+O77</f>
        <v>4252.2459999999992</v>
      </c>
      <c r="P78" s="82">
        <f>L78+P77</f>
        <v>3117.8480000000004</v>
      </c>
      <c r="R78" s="233" t="s">
        <v>60</v>
      </c>
      <c r="S78" s="232">
        <f>O78+S77</f>
        <v>4256.3759999999993</v>
      </c>
      <c r="T78" s="82">
        <f>P78+T77</f>
        <v>3120.7080000000005</v>
      </c>
      <c r="V78" s="49"/>
      <c r="W78" s="233" t="s">
        <v>60</v>
      </c>
      <c r="X78" s="232">
        <f>S78+X77</f>
        <v>4775.8759999999993</v>
      </c>
      <c r="Y78" s="82">
        <f>T78+Y77</f>
        <v>3422.2880000000005</v>
      </c>
      <c r="AB78" s="233" t="s">
        <v>60</v>
      </c>
      <c r="AC78" s="343">
        <f>X78+AC77</f>
        <v>8452.1179999999986</v>
      </c>
      <c r="AD78" s="342">
        <f>Y78+AD77</f>
        <v>5451.4520000000011</v>
      </c>
      <c r="AG78" s="11"/>
      <c r="AH78" s="343">
        <f>AC78+AH77</f>
        <v>8678.8179999999993</v>
      </c>
      <c r="AI78" s="342">
        <f>AD78+AI77</f>
        <v>5513.0020000000013</v>
      </c>
      <c r="BK78" s="11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</row>
    <row r="79" spans="1:100" ht="15" thickBot="1" x14ac:dyDescent="0.4">
      <c r="A79" s="11"/>
      <c r="B79" s="11"/>
      <c r="C79" s="38"/>
      <c r="F79" s="121"/>
      <c r="G79" s="198">
        <f>SUMPRODUCT((ISNUMBER(G4:H43))*(G4:H43&gt;$F4:$F43))+SUMPRODUCT((ISNUMBER(G56:H74))*(G56:H74&gt;$F56:$F74))</f>
        <v>0</v>
      </c>
      <c r="H79" s="297" t="e">
        <f>G79/G80</f>
        <v>#DIV/0!</v>
      </c>
      <c r="I79" s="11"/>
      <c r="N79" s="124"/>
      <c r="R79" s="117"/>
      <c r="AA79" s="124"/>
      <c r="AB79" s="124"/>
      <c r="AC79" s="114"/>
      <c r="AD79" s="114"/>
      <c r="AH79" s="114"/>
      <c r="AI79" s="114"/>
      <c r="AK79" s="89">
        <f>SUM(K80:AI80)</f>
        <v>26</v>
      </c>
      <c r="AL79" s="365" t="s">
        <v>59</v>
      </c>
      <c r="AM79" s="366"/>
      <c r="BK79" s="11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</row>
    <row r="80" spans="1:100" ht="15" thickBot="1" x14ac:dyDescent="0.4">
      <c r="A80" s="11"/>
      <c r="B80" s="11"/>
      <c r="C80" s="38"/>
      <c r="G80" s="294">
        <f>G78+G79</f>
        <v>0</v>
      </c>
      <c r="H80" s="236" t="e">
        <f>H78+H79</f>
        <v>#DIV/0!</v>
      </c>
      <c r="I80" s="11"/>
      <c r="K80" s="87">
        <f>COUNTIF(K56:L75,"&gt;1")</f>
        <v>2</v>
      </c>
      <c r="L80" s="88" t="s">
        <v>58</v>
      </c>
      <c r="N80" s="10"/>
      <c r="O80" s="87">
        <f>COUNTIF(O56:P75,"&gt;1")</f>
        <v>4</v>
      </c>
      <c r="P80" s="88" t="s">
        <v>58</v>
      </c>
      <c r="R80" s="11"/>
      <c r="S80" s="87">
        <f>COUNTIF(S56:T75,"&gt;1")</f>
        <v>2</v>
      </c>
      <c r="T80" s="88" t="s">
        <v>58</v>
      </c>
      <c r="V80" s="10"/>
      <c r="X80" s="87">
        <f>COUNTIF(W56:Y74,"&gt;1")</f>
        <v>5</v>
      </c>
      <c r="Y80" s="88" t="s">
        <v>58</v>
      </c>
      <c r="AA80" s="10"/>
      <c r="AB80" s="10"/>
      <c r="AC80" s="344">
        <f>COUNTIF(AC56:AD74,"&gt;1")</f>
        <v>6</v>
      </c>
      <c r="AD80" s="345" t="s">
        <v>58</v>
      </c>
      <c r="AF80" s="10"/>
      <c r="AG80" s="11"/>
      <c r="AH80" s="344">
        <f>COUNTIF(AH56:AI74,"&gt;1")</f>
        <v>7</v>
      </c>
      <c r="AI80" s="345" t="s">
        <v>58</v>
      </c>
      <c r="AO80" s="10"/>
      <c r="AP80" s="58"/>
      <c r="BK80" s="11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</row>
    <row r="81" spans="1:100" ht="18.5" thickBot="1" x14ac:dyDescent="0.45">
      <c r="A81" s="11"/>
      <c r="B81" s="11"/>
      <c r="C81" s="38"/>
      <c r="I81" s="11"/>
      <c r="K81" s="361">
        <f>K76+AH50</f>
        <v>7466.0040000000008</v>
      </c>
      <c r="L81" s="362"/>
      <c r="N81" s="92" t="s">
        <v>60</v>
      </c>
      <c r="O81" s="361">
        <f>O76+K81</f>
        <v>7614.9840000000004</v>
      </c>
      <c r="P81" s="407"/>
      <c r="R81" s="92" t="s">
        <v>60</v>
      </c>
      <c r="S81" s="361">
        <f>S76+O81</f>
        <v>7621.9740000000002</v>
      </c>
      <c r="T81" s="362"/>
      <c r="W81" s="126" t="s">
        <v>60</v>
      </c>
      <c r="X81" s="361">
        <f>S81+X76</f>
        <v>8443.0540000000001</v>
      </c>
      <c r="Y81" s="362"/>
      <c r="AB81" s="92" t="s">
        <v>60</v>
      </c>
      <c r="AC81" s="385">
        <f>AC76+X81</f>
        <v>14148.460000000001</v>
      </c>
      <c r="AD81" s="386"/>
      <c r="AF81" s="10"/>
      <c r="AG81" s="92" t="s">
        <v>222</v>
      </c>
      <c r="AH81" s="385">
        <f>AC81+AH76</f>
        <v>14436.710000000001</v>
      </c>
      <c r="AI81" s="386"/>
      <c r="AK81" s="372">
        <f>AK46+AK76</f>
        <v>14436.710000000003</v>
      </c>
      <c r="AL81" s="373"/>
      <c r="AM81" s="374"/>
      <c r="AP81" s="58"/>
      <c r="BK81" s="11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</row>
    <row r="82" spans="1:100" ht="15" thickBot="1" x14ac:dyDescent="0.4">
      <c r="A82" s="10"/>
      <c r="B82" s="10"/>
      <c r="C82" s="93"/>
      <c r="D82" s="77"/>
      <c r="E82" s="77"/>
      <c r="F82" s="10"/>
      <c r="G82" s="78"/>
      <c r="H82" s="10"/>
      <c r="I82" s="10"/>
      <c r="J82" s="312" t="s">
        <v>212</v>
      </c>
      <c r="K82" s="370">
        <f>K81*0.828</f>
        <v>6181.8513120000007</v>
      </c>
      <c r="L82" s="371"/>
      <c r="M82" s="10"/>
      <c r="N82" s="312" t="s">
        <v>212</v>
      </c>
      <c r="O82" s="363">
        <f>O81*0.828</f>
        <v>6305.2067520000001</v>
      </c>
      <c r="P82" s="364"/>
      <c r="Q82" s="10"/>
      <c r="R82" s="312" t="s">
        <v>212</v>
      </c>
      <c r="S82" s="363">
        <f>S81*0.828</f>
        <v>6310.9944719999994</v>
      </c>
      <c r="T82" s="364"/>
      <c r="U82" s="10"/>
      <c r="V82" s="10"/>
      <c r="W82" s="312" t="s">
        <v>212</v>
      </c>
      <c r="X82" s="363">
        <f>X81*0.828</f>
        <v>6990.848712</v>
      </c>
      <c r="Y82" s="364"/>
      <c r="AB82" s="312" t="s">
        <v>212</v>
      </c>
      <c r="AC82" s="383">
        <f>AC81*0.828</f>
        <v>11714.92488</v>
      </c>
      <c r="AD82" s="384"/>
      <c r="AG82" s="312" t="s">
        <v>212</v>
      </c>
      <c r="AH82" s="383">
        <f>AH81*0.828</f>
        <v>11953.595880000001</v>
      </c>
      <c r="AI82" s="384"/>
      <c r="BK82" s="11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</row>
    <row r="83" spans="1:100" ht="15.5" x14ac:dyDescent="0.35">
      <c r="A83" s="127"/>
      <c r="B83" s="127"/>
      <c r="C83" s="95"/>
      <c r="D83" s="96"/>
      <c r="E83" s="96"/>
      <c r="F83" s="127"/>
      <c r="G83" s="128"/>
      <c r="H83" s="127"/>
      <c r="I83" s="11"/>
      <c r="J83" s="129"/>
      <c r="K83" s="10"/>
      <c r="O83" s="10"/>
      <c r="V83" s="24"/>
      <c r="X83" s="11"/>
      <c r="AH83" s="10"/>
      <c r="AK83" s="89">
        <f>AK49+AK79</f>
        <v>64</v>
      </c>
      <c r="AL83" s="393" t="s">
        <v>59</v>
      </c>
      <c r="AM83" s="394"/>
      <c r="BK83" s="11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</row>
    <row r="84" spans="1:100" ht="15.5" x14ac:dyDescent="0.35">
      <c r="J84" s="129"/>
      <c r="K84" s="130" t="s">
        <v>78</v>
      </c>
      <c r="L84" s="129"/>
      <c r="M84" s="129"/>
      <c r="O84" s="10"/>
      <c r="Q84" s="58"/>
      <c r="S84" s="114"/>
      <c r="U84" s="114"/>
      <c r="V84" s="114"/>
      <c r="W84" s="391"/>
      <c r="X84" s="11"/>
      <c r="AG84" t="s">
        <v>79</v>
      </c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</row>
    <row r="85" spans="1:100" ht="15.5" x14ac:dyDescent="0.35">
      <c r="J85" s="129"/>
      <c r="K85" s="129"/>
      <c r="L85" s="129"/>
      <c r="M85" s="129"/>
      <c r="Q85" s="58"/>
      <c r="W85" s="392"/>
      <c r="X85" s="131"/>
      <c r="AD85" s="58"/>
      <c r="AH85" s="322"/>
      <c r="AI85" s="58"/>
      <c r="AK85" s="58"/>
      <c r="AO85" s="58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</row>
    <row r="86" spans="1:100" ht="16" thickBot="1" x14ac:dyDescent="0.4">
      <c r="J86" s="129"/>
      <c r="K86" s="129" t="s">
        <v>80</v>
      </c>
      <c r="L86" s="129"/>
      <c r="M86" s="129"/>
      <c r="Q86" s="58"/>
      <c r="AC86" s="132"/>
      <c r="AK86" s="123"/>
      <c r="AL86" s="123"/>
      <c r="AN86" s="58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</row>
    <row r="87" spans="1:100" ht="15" customHeight="1" thickBot="1" x14ac:dyDescent="0.4">
      <c r="J87" s="129"/>
      <c r="K87" s="129"/>
      <c r="L87" s="129"/>
      <c r="M87" s="129"/>
      <c r="O87" s="404" t="s">
        <v>219</v>
      </c>
      <c r="P87" s="404"/>
      <c r="Q87" s="404"/>
      <c r="S87" s="337">
        <f>244.86</f>
        <v>244.86</v>
      </c>
      <c r="T87" s="200">
        <f>S87/R99</f>
        <v>2.5538172715894869E-2</v>
      </c>
      <c r="Y87" t="s">
        <v>120</v>
      </c>
      <c r="AE87" s="123"/>
      <c r="AF87" s="123"/>
      <c r="AG87" s="148"/>
      <c r="AH87" s="123"/>
      <c r="AI87" s="123"/>
      <c r="AJ87" s="123"/>
      <c r="AK87" s="123"/>
      <c r="AL87" s="123"/>
      <c r="AN87" s="58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</row>
    <row r="88" spans="1:100" ht="16" thickBot="1" x14ac:dyDescent="0.4">
      <c r="K88" s="129" t="s">
        <v>81</v>
      </c>
      <c r="L88" s="129"/>
      <c r="M88" s="129"/>
      <c r="O88" s="404" t="s">
        <v>204</v>
      </c>
      <c r="P88" s="404"/>
      <c r="Q88" s="404"/>
      <c r="S88" s="337">
        <f>K47+O47+S47+X47+AC47+AH47+K77+O77+S77+X77+AC77+AH77</f>
        <v>8678.8179999999993</v>
      </c>
      <c r="T88" s="200">
        <f>S88/Q96</f>
        <v>9.9379571739379363E-2</v>
      </c>
      <c r="AE88" s="123"/>
      <c r="AF88" s="395"/>
      <c r="AG88" s="395"/>
      <c r="AH88" s="123"/>
      <c r="AI88" s="123"/>
      <c r="AJ88" s="123"/>
      <c r="AK88" s="123"/>
      <c r="AL88" s="123"/>
      <c r="AN88" s="58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</row>
    <row r="89" spans="1:100" ht="18.5" thickBot="1" x14ac:dyDescent="0.45">
      <c r="O89" s="404" t="s">
        <v>205</v>
      </c>
      <c r="P89" s="404"/>
      <c r="Q89" s="404"/>
      <c r="S89" s="337">
        <f>L47+P47+T47+Y47+AD47+AI47+L77+P77+T77+Y77+AD77+AI77</f>
        <v>5513.0020000000013</v>
      </c>
      <c r="T89" s="200">
        <f>S89/Q98</f>
        <v>9.3440711864406806E-2</v>
      </c>
      <c r="W89" s="133" t="s">
        <v>206</v>
      </c>
      <c r="X89" s="133"/>
      <c r="Y89" s="134">
        <f>AK81</f>
        <v>14436.710000000003</v>
      </c>
      <c r="AA89" s="114"/>
      <c r="AB89" s="114"/>
      <c r="AC89" s="113"/>
      <c r="AE89" s="123"/>
      <c r="AF89" s="395"/>
      <c r="AG89" s="395"/>
      <c r="AH89" s="123"/>
      <c r="AI89" s="123"/>
      <c r="AJ89" s="123"/>
      <c r="AK89" s="123"/>
      <c r="AL89" s="137"/>
    </row>
    <row r="90" spans="1:100" ht="18.5" thickBot="1" x14ac:dyDescent="0.45">
      <c r="O90" s="404"/>
      <c r="P90" s="404"/>
      <c r="Q90" s="404"/>
      <c r="S90" s="114"/>
      <c r="W90" s="136" t="s">
        <v>83</v>
      </c>
      <c r="X90" s="133"/>
      <c r="Y90" s="285">
        <v>-3274.31</v>
      </c>
      <c r="AA90" s="24"/>
      <c r="AB90" s="24"/>
      <c r="AE90" s="123"/>
      <c r="AF90" s="123"/>
      <c r="AG90" s="123"/>
      <c r="AH90" s="123"/>
      <c r="AI90" s="137"/>
      <c r="AJ90" s="123"/>
      <c r="AK90" s="123"/>
      <c r="AL90" s="123"/>
    </row>
    <row r="91" spans="1:100" ht="18.5" thickBot="1" x14ac:dyDescent="0.45">
      <c r="G91"/>
      <c r="S91" s="114"/>
      <c r="T91" s="138" t="s">
        <v>82</v>
      </c>
      <c r="U91" s="138" t="s">
        <v>140</v>
      </c>
      <c r="V91" s="114"/>
      <c r="W91" s="136" t="s">
        <v>84</v>
      </c>
      <c r="X91" s="133"/>
      <c r="Y91" s="285">
        <f>-218.63</f>
        <v>-218.63</v>
      </c>
      <c r="AA91" s="24"/>
      <c r="AB91" s="24"/>
      <c r="AE91" s="139"/>
      <c r="AF91" s="140"/>
      <c r="AG91" s="141"/>
      <c r="AH91" s="123"/>
      <c r="AI91" s="123"/>
      <c r="AJ91" s="123"/>
      <c r="AK91" s="148"/>
      <c r="AL91" s="123"/>
    </row>
    <row r="92" spans="1:100" ht="18.5" thickBot="1" x14ac:dyDescent="0.45">
      <c r="K92" s="114"/>
      <c r="L92" s="114"/>
      <c r="O92" s="142" t="s">
        <v>85</v>
      </c>
      <c r="S92" s="143">
        <f>SUM(S87:S89)</f>
        <v>14436.68</v>
      </c>
      <c r="T92" s="235">
        <f>S92/365</f>
        <v>39.552547945205482</v>
      </c>
      <c r="U92" s="235">
        <f>S92/12</f>
        <v>1203.0566666666666</v>
      </c>
      <c r="V92" s="114"/>
      <c r="W92" s="144"/>
      <c r="X92" s="144"/>
      <c r="Y92" s="321">
        <f>Y89+Y90+Y91</f>
        <v>10943.770000000004</v>
      </c>
      <c r="AA92" s="113"/>
      <c r="AB92" s="24"/>
      <c r="AC92" s="113"/>
      <c r="AD92" s="113"/>
      <c r="AE92" s="145"/>
      <c r="AF92" s="140"/>
      <c r="AG92" s="146"/>
      <c r="AH92" s="147"/>
      <c r="AI92" s="123"/>
      <c r="AJ92" s="123"/>
      <c r="AK92" s="123"/>
      <c r="AL92" s="123"/>
    </row>
    <row r="93" spans="1:100" ht="30.75" customHeight="1" thickBot="1" x14ac:dyDescent="0.4">
      <c r="L93" s="114"/>
      <c r="T93" s="114"/>
      <c r="Y93" s="324" t="s">
        <v>214</v>
      </c>
      <c r="Z93" s="95" t="s">
        <v>82</v>
      </c>
      <c r="AA93" s="95" t="s">
        <v>140</v>
      </c>
      <c r="AB93" s="24"/>
      <c r="AC93" s="113"/>
      <c r="AD93" s="113"/>
      <c r="AE93" s="145"/>
      <c r="AF93" s="149"/>
      <c r="AG93" s="150"/>
      <c r="AH93" s="123"/>
      <c r="AI93" s="123"/>
      <c r="AJ93" s="123"/>
      <c r="AK93" s="123"/>
      <c r="AL93" s="123"/>
    </row>
    <row r="94" spans="1:100" ht="18.5" thickBot="1" x14ac:dyDescent="0.45">
      <c r="U94" s="114"/>
      <c r="Y94" s="321">
        <f>Y89*0.9</f>
        <v>12993.039000000002</v>
      </c>
      <c r="Z94" s="135">
        <f>Y94/365</f>
        <v>35.597367123287675</v>
      </c>
      <c r="AA94" s="135">
        <f>Y94/12</f>
        <v>1082.7532500000002</v>
      </c>
      <c r="AB94" s="24"/>
      <c r="AC94" s="113"/>
      <c r="AD94" s="113"/>
      <c r="AE94" s="145"/>
      <c r="AF94" s="149"/>
      <c r="AG94" s="150"/>
      <c r="AH94" s="123"/>
      <c r="AI94" s="123"/>
      <c r="AJ94" s="151"/>
    </row>
    <row r="95" spans="1:100" ht="16.899999999999999" customHeight="1" thickBot="1" x14ac:dyDescent="0.4">
      <c r="Q95" s="113"/>
      <c r="AB95" s="24"/>
      <c r="AC95" s="113"/>
    </row>
    <row r="96" spans="1:100" ht="15" thickBot="1" x14ac:dyDescent="0.4">
      <c r="C96"/>
      <c r="G96"/>
      <c r="P96" s="152" t="s">
        <v>86</v>
      </c>
      <c r="Q96" s="153">
        <f>87330</f>
        <v>87330</v>
      </c>
      <c r="R96" s="346">
        <f>Q96+Q97+Q98</f>
        <v>146830</v>
      </c>
      <c r="S96" s="349">
        <f>R96+R99</f>
        <v>156418</v>
      </c>
      <c r="T96" s="352">
        <f>S92/S96</f>
        <v>9.2295515861345878E-2</v>
      </c>
      <c r="U96" s="355" t="s">
        <v>119</v>
      </c>
      <c r="AB96" s="24"/>
      <c r="AG96" s="396" t="s">
        <v>87</v>
      </c>
      <c r="AH96" s="397"/>
    </row>
    <row r="97" spans="3:37" ht="15" thickBot="1" x14ac:dyDescent="0.4">
      <c r="C97"/>
      <c r="G97"/>
      <c r="P97" s="152" t="s">
        <v>211</v>
      </c>
      <c r="Q97" s="153">
        <v>500</v>
      </c>
      <c r="R97" s="347"/>
      <c r="S97" s="350"/>
      <c r="T97" s="353"/>
      <c r="U97" s="356"/>
      <c r="AB97" s="24"/>
      <c r="AG97" s="398"/>
      <c r="AH97" s="399"/>
    </row>
    <row r="98" spans="3:37" ht="15" thickBot="1" x14ac:dyDescent="0.4">
      <c r="C98"/>
      <c r="G98"/>
      <c r="K98" s="114"/>
      <c r="L98" s="114"/>
      <c r="P98" s="152" t="s">
        <v>88</v>
      </c>
      <c r="Q98" s="153">
        <f>59000</f>
        <v>59000</v>
      </c>
      <c r="R98" s="348"/>
      <c r="S98" s="350"/>
      <c r="T98" s="353"/>
      <c r="U98" s="356"/>
      <c r="AB98" s="24"/>
      <c r="AG98" s="400"/>
      <c r="AH98" s="401"/>
    </row>
    <row r="99" spans="3:37" ht="19" thickBot="1" x14ac:dyDescent="0.5">
      <c r="C99"/>
      <c r="G99"/>
      <c r="P99" s="154" t="s">
        <v>89</v>
      </c>
      <c r="Q99" s="155"/>
      <c r="R99" s="156">
        <f>9568+20</f>
        <v>9588</v>
      </c>
      <c r="S99" s="351"/>
      <c r="T99" s="354"/>
      <c r="U99" s="357"/>
      <c r="X99" s="358" t="s">
        <v>90</v>
      </c>
      <c r="Y99" s="359"/>
      <c r="Z99" s="360"/>
      <c r="AA99" s="157" t="s">
        <v>91</v>
      </c>
      <c r="AB99" s="24"/>
      <c r="AD99" s="402">
        <v>2020</v>
      </c>
      <c r="AE99" s="403"/>
      <c r="AJ99" s="114"/>
      <c r="AK99" s="11"/>
    </row>
    <row r="100" spans="3:37" ht="16.5" thickTop="1" thickBot="1" x14ac:dyDescent="0.4">
      <c r="C100"/>
      <c r="G100"/>
      <c r="W100" s="226" t="s">
        <v>92</v>
      </c>
      <c r="X100" s="229">
        <v>2015</v>
      </c>
      <c r="Y100" s="230">
        <v>8400</v>
      </c>
      <c r="Z100" s="161" t="s">
        <v>93</v>
      </c>
      <c r="AA100" s="162">
        <f t="shared" ref="AA100:AA107" si="0">Y100/12</f>
        <v>700</v>
      </c>
      <c r="AB100" s="24"/>
      <c r="AD100" s="234">
        <v>9488.23</v>
      </c>
      <c r="AE100" s="181">
        <v>43466</v>
      </c>
      <c r="AF100" s="95"/>
      <c r="AG100" s="208">
        <f>8925.04</f>
        <v>8925.0400000000009</v>
      </c>
      <c r="AH100" s="172">
        <v>43101</v>
      </c>
      <c r="AI100" s="11"/>
      <c r="AJ100" s="11"/>
      <c r="AK100" s="11"/>
    </row>
    <row r="101" spans="3:37" ht="16" thickBot="1" x14ac:dyDescent="0.4">
      <c r="C101"/>
      <c r="G101"/>
      <c r="O101" s="163" t="s">
        <v>94</v>
      </c>
      <c r="P101" s="164" t="s">
        <v>95</v>
      </c>
      <c r="Q101" s="164" t="s">
        <v>96</v>
      </c>
      <c r="R101" s="164" t="s">
        <v>97</v>
      </c>
      <c r="S101" s="164" t="s">
        <v>98</v>
      </c>
      <c r="T101" s="165" t="s">
        <v>44</v>
      </c>
      <c r="U101" s="114"/>
      <c r="W101" s="226" t="s">
        <v>99</v>
      </c>
      <c r="X101" s="229">
        <v>2016</v>
      </c>
      <c r="Y101" s="230">
        <v>8778</v>
      </c>
      <c r="Z101" s="166" t="s">
        <v>93</v>
      </c>
      <c r="AA101" s="167">
        <f t="shared" si="0"/>
        <v>731.5</v>
      </c>
      <c r="AB101" s="24"/>
      <c r="AD101" s="234">
        <v>10046.39</v>
      </c>
      <c r="AE101" s="190">
        <v>43468</v>
      </c>
      <c r="AF101" s="168"/>
      <c r="AG101" s="209">
        <f>8956.08</f>
        <v>8956.08</v>
      </c>
      <c r="AH101" s="174">
        <v>43109</v>
      </c>
      <c r="AI101" s="219"/>
      <c r="AJ101" s="11"/>
      <c r="AK101" s="11"/>
    </row>
    <row r="102" spans="3:37" ht="16" thickBot="1" x14ac:dyDescent="0.4">
      <c r="C102"/>
      <c r="G102"/>
      <c r="N102" s="169">
        <v>2013</v>
      </c>
      <c r="O102" s="170">
        <v>0</v>
      </c>
      <c r="P102" s="170">
        <v>0</v>
      </c>
      <c r="Q102" s="170">
        <v>60.32</v>
      </c>
      <c r="R102" s="170">
        <v>372.95</v>
      </c>
      <c r="S102" s="170">
        <v>439.08</v>
      </c>
      <c r="T102" s="170">
        <v>392.05</v>
      </c>
      <c r="U102" s="114">
        <f t="shared" ref="U102:U107" si="1">SUM(O102:T102)</f>
        <v>1264.3999999999999</v>
      </c>
      <c r="W102" s="226" t="s">
        <v>100</v>
      </c>
      <c r="X102" s="227">
        <v>2017</v>
      </c>
      <c r="Y102" s="228">
        <f>8925</f>
        <v>8925</v>
      </c>
      <c r="Z102" s="171" t="s">
        <v>93</v>
      </c>
      <c r="AA102" s="167">
        <f t="shared" si="0"/>
        <v>743.75</v>
      </c>
      <c r="AB102" s="24"/>
      <c r="AD102" s="234">
        <f>10405.31-331.8</f>
        <v>10073.51</v>
      </c>
      <c r="AE102" s="190">
        <v>43473</v>
      </c>
      <c r="AF102" s="168"/>
      <c r="AG102" s="210">
        <f>8992.85</f>
        <v>8992.85</v>
      </c>
      <c r="AH102" s="178">
        <v>43110</v>
      </c>
      <c r="AI102" s="11"/>
      <c r="AJ102" s="11"/>
      <c r="AK102" s="220"/>
    </row>
    <row r="103" spans="3:37" ht="16" thickBot="1" x14ac:dyDescent="0.4">
      <c r="C103"/>
      <c r="G103"/>
      <c r="N103" s="169">
        <v>2014</v>
      </c>
      <c r="O103" s="170">
        <v>0</v>
      </c>
      <c r="P103" s="170">
        <v>0</v>
      </c>
      <c r="Q103" s="170">
        <v>281.27</v>
      </c>
      <c r="R103" s="170">
        <v>68.13</v>
      </c>
      <c r="S103" s="170">
        <v>2253.96</v>
      </c>
      <c r="T103" s="170">
        <v>692.66</v>
      </c>
      <c r="U103" s="114">
        <f t="shared" si="1"/>
        <v>3296.02</v>
      </c>
      <c r="W103" s="226" t="s">
        <v>101</v>
      </c>
      <c r="X103" s="229">
        <v>2018</v>
      </c>
      <c r="Y103" s="230">
        <v>9820</v>
      </c>
      <c r="Z103" s="173" t="s">
        <v>93</v>
      </c>
      <c r="AA103" s="167">
        <f t="shared" si="0"/>
        <v>818.33333333333337</v>
      </c>
      <c r="AB103" s="24"/>
      <c r="AD103" s="243">
        <f>10094.21</f>
        <v>10094.209999999999</v>
      </c>
      <c r="AE103" s="190">
        <v>43483</v>
      </c>
      <c r="AF103" s="168"/>
      <c r="AG103" s="211">
        <f>9040.96</f>
        <v>9040.9599999999991</v>
      </c>
      <c r="AH103" s="181">
        <v>43111</v>
      </c>
      <c r="AI103" s="11"/>
      <c r="AJ103" s="11"/>
      <c r="AK103" s="11"/>
    </row>
    <row r="104" spans="3:37" ht="16.5" thickTop="1" thickBot="1" x14ac:dyDescent="0.4">
      <c r="C104"/>
      <c r="G104"/>
      <c r="N104" s="169">
        <v>2015</v>
      </c>
      <c r="O104" s="175">
        <v>118.12</v>
      </c>
      <c r="P104" s="176">
        <v>7.61</v>
      </c>
      <c r="Q104" s="176">
        <v>332.05</v>
      </c>
      <c r="R104" s="176">
        <v>1111.19</v>
      </c>
      <c r="S104" s="176">
        <v>2265.7599999999998</v>
      </c>
      <c r="T104" s="176">
        <v>848.27</v>
      </c>
      <c r="U104" s="114">
        <f t="shared" si="1"/>
        <v>4683</v>
      </c>
      <c r="W104" s="158" t="s">
        <v>102</v>
      </c>
      <c r="X104" s="159">
        <v>2019</v>
      </c>
      <c r="Y104" s="160">
        <f>12000</f>
        <v>12000</v>
      </c>
      <c r="Z104" s="177"/>
      <c r="AA104" s="167">
        <f t="shared" si="0"/>
        <v>1000</v>
      </c>
      <c r="AB104" s="24"/>
      <c r="AD104" s="244">
        <f>9536.06</f>
        <v>9536.06</v>
      </c>
      <c r="AE104" s="182">
        <v>43487</v>
      </c>
      <c r="AF104" s="168"/>
      <c r="AG104" s="212">
        <f>9113.76</f>
        <v>9113.76</v>
      </c>
      <c r="AH104" s="182">
        <v>43115</v>
      </c>
      <c r="AI104" s="220"/>
      <c r="AJ104" s="11"/>
      <c r="AK104" s="11"/>
    </row>
    <row r="105" spans="3:37" ht="16.5" thickTop="1" thickBot="1" x14ac:dyDescent="0.4">
      <c r="C105"/>
      <c r="G105"/>
      <c r="N105" s="169">
        <v>2016</v>
      </c>
      <c r="O105" s="170">
        <f>364.47</f>
        <v>364.47</v>
      </c>
      <c r="P105" s="170">
        <f>179.31</f>
        <v>179.31</v>
      </c>
      <c r="Q105" s="170">
        <f>112.56</f>
        <v>112.56</v>
      </c>
      <c r="R105" s="170">
        <v>1031.8699999999999</v>
      </c>
      <c r="S105" s="170">
        <v>3502.05</v>
      </c>
      <c r="T105" s="170">
        <f>1433.29</f>
        <v>1433.29</v>
      </c>
      <c r="U105" s="114">
        <f t="shared" si="1"/>
        <v>6623.55</v>
      </c>
      <c r="W105" s="158" t="s">
        <v>159</v>
      </c>
      <c r="X105" s="179">
        <v>2020</v>
      </c>
      <c r="Y105" s="180">
        <f>Y104*1.043</f>
        <v>12516</v>
      </c>
      <c r="Z105" s="177"/>
      <c r="AA105" s="167">
        <f t="shared" si="0"/>
        <v>1043</v>
      </c>
      <c r="AB105" s="24"/>
      <c r="AD105" s="243">
        <f>9666.3</f>
        <v>9666.2999999999993</v>
      </c>
      <c r="AE105" s="190">
        <v>43490</v>
      </c>
      <c r="AF105" s="168"/>
      <c r="AG105" s="213">
        <f>9004.87</f>
        <v>9004.8700000000008</v>
      </c>
      <c r="AH105" s="182">
        <v>43116</v>
      </c>
      <c r="AI105" s="11"/>
      <c r="AJ105" s="11"/>
      <c r="AK105" s="11"/>
    </row>
    <row r="106" spans="3:37" ht="16.5" thickTop="1" thickBot="1" x14ac:dyDescent="0.4">
      <c r="C106"/>
      <c r="G106"/>
      <c r="N106" s="169">
        <v>2017</v>
      </c>
      <c r="O106" s="170">
        <v>485.04</v>
      </c>
      <c r="P106" s="170">
        <v>6.08</v>
      </c>
      <c r="Q106" s="170">
        <v>0</v>
      </c>
      <c r="R106" s="170">
        <f>1093.33</f>
        <v>1093.33</v>
      </c>
      <c r="S106" s="170">
        <v>4201.12</v>
      </c>
      <c r="T106" s="170">
        <v>1445.25</v>
      </c>
      <c r="U106" s="114">
        <f t="shared" si="1"/>
        <v>7230.82</v>
      </c>
      <c r="W106" s="158" t="s">
        <v>103</v>
      </c>
      <c r="X106" s="179">
        <v>2021</v>
      </c>
      <c r="Y106" s="180">
        <f>Y105*1.043</f>
        <v>13054.187999999998</v>
      </c>
      <c r="Z106" s="177"/>
      <c r="AA106" s="167">
        <f t="shared" si="0"/>
        <v>1087.8489999999999</v>
      </c>
      <c r="AB106" s="24"/>
      <c r="AC106" s="126" t="s">
        <v>142</v>
      </c>
      <c r="AD106" s="244">
        <f>9419.89</f>
        <v>9419.89</v>
      </c>
      <c r="AE106" s="182">
        <v>43498</v>
      </c>
      <c r="AF106" s="168"/>
      <c r="AG106" s="212">
        <f>9123.69</f>
        <v>9123.69</v>
      </c>
      <c r="AH106" s="182">
        <v>43123</v>
      </c>
      <c r="AI106" s="11"/>
      <c r="AJ106" s="11"/>
      <c r="AK106" s="11"/>
    </row>
    <row r="107" spans="3:37" ht="19.899999999999999" customHeight="1" thickTop="1" thickBot="1" x14ac:dyDescent="0.4">
      <c r="C107"/>
      <c r="G107"/>
      <c r="N107" s="169">
        <v>2018</v>
      </c>
      <c r="O107" s="170">
        <v>4.1100000000000003</v>
      </c>
      <c r="P107" s="170">
        <v>164.28</v>
      </c>
      <c r="Q107" s="170">
        <f>95.97</f>
        <v>95.97</v>
      </c>
      <c r="R107" s="170">
        <f>0</f>
        <v>0</v>
      </c>
      <c r="S107" s="170">
        <f>4061.29</f>
        <v>4061.29</v>
      </c>
      <c r="T107" s="170">
        <f>950.45</f>
        <v>950.45</v>
      </c>
      <c r="U107" s="114">
        <f t="shared" si="1"/>
        <v>5276.0999999999995</v>
      </c>
      <c r="W107" s="158" t="s">
        <v>104</v>
      </c>
      <c r="X107" s="179">
        <v>2022</v>
      </c>
      <c r="Y107" s="180">
        <f>Y106*1.043</f>
        <v>13615.518083999998</v>
      </c>
      <c r="Z107" s="183"/>
      <c r="AA107" s="231">
        <f t="shared" si="0"/>
        <v>1134.6265069999997</v>
      </c>
      <c r="AB107" s="24"/>
      <c r="AD107" s="234">
        <f>9756.92</f>
        <v>9756.92</v>
      </c>
      <c r="AE107" s="190">
        <v>43500</v>
      </c>
      <c r="AF107" s="168"/>
      <c r="AG107" s="213">
        <f>9092.93</f>
        <v>9092.93</v>
      </c>
      <c r="AH107" s="182">
        <v>43130</v>
      </c>
      <c r="AI107" s="11"/>
      <c r="AJ107" s="11"/>
      <c r="AK107" s="11"/>
    </row>
    <row r="108" spans="3:37" ht="19.149999999999999" customHeight="1" thickTop="1" thickBot="1" x14ac:dyDescent="0.4">
      <c r="C108"/>
      <c r="G108"/>
      <c r="N108" s="169">
        <v>2019</v>
      </c>
      <c r="O108" s="170">
        <f>K46</f>
        <v>153.78</v>
      </c>
      <c r="P108" s="170">
        <f>O46</f>
        <v>0</v>
      </c>
      <c r="Q108" s="170">
        <f>S46</f>
        <v>1509.83</v>
      </c>
      <c r="R108" s="170">
        <f>X46</f>
        <v>855.21999999999991</v>
      </c>
      <c r="S108" s="170">
        <f>AC46</f>
        <v>3120.2440000000006</v>
      </c>
      <c r="T108" s="170">
        <f>AH46</f>
        <v>1071.8600000000001</v>
      </c>
      <c r="U108" s="114">
        <f>SUM(O108:T108)</f>
        <v>6710.9340000000011</v>
      </c>
      <c r="AB108" s="24"/>
      <c r="AC108" t="s">
        <v>143</v>
      </c>
      <c r="AD108" s="234">
        <f>9669.54</f>
        <v>9669.5400000000009</v>
      </c>
      <c r="AE108" s="190">
        <v>43508</v>
      </c>
      <c r="AF108" s="168"/>
      <c r="AG108" s="212">
        <f>9398.13</f>
        <v>9398.1299999999992</v>
      </c>
      <c r="AH108" s="182">
        <v>43138</v>
      </c>
      <c r="AI108" s="11"/>
      <c r="AJ108" s="11"/>
      <c r="AK108" s="11"/>
    </row>
    <row r="109" spans="3:37" ht="16" thickTop="1" x14ac:dyDescent="0.35">
      <c r="C109"/>
      <c r="G109"/>
      <c r="N109" s="184"/>
      <c r="O109" s="95"/>
      <c r="P109" s="95"/>
      <c r="Q109" s="95"/>
      <c r="R109" s="95"/>
      <c r="S109" s="95"/>
      <c r="T109" s="95"/>
      <c r="U109" s="114"/>
      <c r="AA109" s="113"/>
      <c r="AB109" s="24"/>
      <c r="AC109" t="s">
        <v>144</v>
      </c>
      <c r="AD109" s="234">
        <f>11750.73</f>
        <v>11750.73</v>
      </c>
      <c r="AE109" s="190">
        <v>43527</v>
      </c>
      <c r="AF109" s="168"/>
      <c r="AG109" s="208">
        <f>9534.34</f>
        <v>9534.34</v>
      </c>
      <c r="AH109" s="182">
        <v>43146</v>
      </c>
      <c r="AI109" s="11"/>
      <c r="AJ109" s="11"/>
      <c r="AK109" s="11"/>
    </row>
    <row r="110" spans="3:37" ht="15.5" x14ac:dyDescent="0.35">
      <c r="C110"/>
      <c r="G110"/>
      <c r="AA110" s="113"/>
      <c r="AB110" s="113"/>
      <c r="AC110" t="s">
        <v>145</v>
      </c>
      <c r="AD110" s="244">
        <f>11415.82</f>
        <v>11415.82</v>
      </c>
      <c r="AE110" s="182">
        <v>43544</v>
      </c>
      <c r="AF110" s="168"/>
      <c r="AG110" s="209">
        <f>9555.78</f>
        <v>9555.7800000000007</v>
      </c>
      <c r="AH110" s="182">
        <v>43150</v>
      </c>
      <c r="AI110" s="221"/>
      <c r="AJ110" s="11"/>
      <c r="AK110" s="11"/>
    </row>
    <row r="111" spans="3:37" ht="16" thickBot="1" x14ac:dyDescent="0.4">
      <c r="C111"/>
      <c r="G111"/>
      <c r="AA111" s="113"/>
      <c r="AB111" s="113"/>
      <c r="AC111" t="s">
        <v>146</v>
      </c>
      <c r="AD111" s="234">
        <f>12263.32</f>
        <v>12263.32</v>
      </c>
      <c r="AE111" s="190">
        <v>43553</v>
      </c>
      <c r="AF111" s="168"/>
      <c r="AG111" s="210">
        <f>9587</f>
        <v>9587</v>
      </c>
      <c r="AH111" s="182">
        <v>43151</v>
      </c>
      <c r="AI111" s="221"/>
      <c r="AJ111" s="11"/>
      <c r="AK111" s="11"/>
    </row>
    <row r="112" spans="3:37" ht="22" thickTop="1" thickBot="1" x14ac:dyDescent="0.55000000000000004">
      <c r="C112"/>
      <c r="G112"/>
      <c r="N112" s="184"/>
      <c r="O112" s="163" t="s">
        <v>105</v>
      </c>
      <c r="P112" s="164" t="s">
        <v>106</v>
      </c>
      <c r="Q112" s="164" t="s">
        <v>107</v>
      </c>
      <c r="R112" s="164" t="s">
        <v>108</v>
      </c>
      <c r="S112" s="164" t="s">
        <v>109</v>
      </c>
      <c r="T112" s="165" t="s">
        <v>110</v>
      </c>
      <c r="U112" s="114"/>
      <c r="W112" s="239" t="s">
        <v>141</v>
      </c>
      <c r="X112" s="185"/>
      <c r="Z112" s="113"/>
      <c r="AA112" s="113"/>
      <c r="AB112" s="113"/>
      <c r="AC112" t="s">
        <v>149</v>
      </c>
      <c r="AD112" s="234">
        <f>12270.77</f>
        <v>12270.77</v>
      </c>
      <c r="AE112" s="190">
        <v>43556</v>
      </c>
      <c r="AF112" s="168"/>
      <c r="AG112" s="208">
        <f>9654.27</f>
        <v>9654.27</v>
      </c>
      <c r="AH112" s="182">
        <v>43152</v>
      </c>
      <c r="AI112" s="221"/>
      <c r="AJ112" s="11"/>
      <c r="AK112" s="11"/>
    </row>
    <row r="113" spans="3:37" ht="16" thickBot="1" x14ac:dyDescent="0.4">
      <c r="C113"/>
      <c r="G113"/>
      <c r="N113" s="169">
        <v>2013</v>
      </c>
      <c r="O113" s="170">
        <v>273.54000000000002</v>
      </c>
      <c r="P113" s="170">
        <v>0</v>
      </c>
      <c r="Q113" s="170">
        <v>279.73</v>
      </c>
      <c r="R113" s="170">
        <v>0</v>
      </c>
      <c r="S113" s="170">
        <v>1278.3800000000001</v>
      </c>
      <c r="T113" s="170">
        <v>611.96</v>
      </c>
      <c r="U113" s="114">
        <f t="shared" ref="U113:U119" si="2">SUM(O113:T113)</f>
        <v>2443.61</v>
      </c>
      <c r="V113" s="169">
        <v>2013</v>
      </c>
      <c r="W113" s="240">
        <f>U102+U113</f>
        <v>3708.01</v>
      </c>
      <c r="AA113" s="113"/>
      <c r="AB113" s="113"/>
      <c r="AC113" t="s">
        <v>151</v>
      </c>
      <c r="AD113" s="234">
        <f>12341.15</f>
        <v>12341.15</v>
      </c>
      <c r="AE113" s="190">
        <v>43558</v>
      </c>
      <c r="AF113" s="186"/>
      <c r="AG113" s="210">
        <f>9680.11</f>
        <v>9680.11</v>
      </c>
      <c r="AH113" s="182">
        <v>43157</v>
      </c>
      <c r="AI113" s="221"/>
      <c r="AJ113" s="11"/>
      <c r="AK113" s="11"/>
    </row>
    <row r="114" spans="3:37" ht="16.5" thickTop="1" thickBot="1" x14ac:dyDescent="0.4">
      <c r="C114"/>
      <c r="G114"/>
      <c r="N114" s="169">
        <v>2014</v>
      </c>
      <c r="O114" s="170">
        <v>522.66999999999996</v>
      </c>
      <c r="P114" s="170">
        <v>279.73</v>
      </c>
      <c r="Q114" s="170">
        <v>308.06</v>
      </c>
      <c r="R114" s="170">
        <v>885.94</v>
      </c>
      <c r="S114" s="170">
        <v>49.57</v>
      </c>
      <c r="T114" s="170">
        <v>631.9</v>
      </c>
      <c r="U114" s="114">
        <f t="shared" si="2"/>
        <v>2677.87</v>
      </c>
      <c r="V114" s="169">
        <v>2014</v>
      </c>
      <c r="W114" s="241">
        <f t="shared" ref="W114:W119" si="3">U103+U114</f>
        <v>5973.8899999999994</v>
      </c>
      <c r="Y114" s="114"/>
      <c r="AA114" s="113"/>
      <c r="AB114" s="113"/>
      <c r="AC114" s="280" t="s">
        <v>152</v>
      </c>
      <c r="AD114" s="234">
        <f>12433.82</f>
        <v>12433.82</v>
      </c>
      <c r="AE114" s="190">
        <v>43562</v>
      </c>
      <c r="AF114" s="186"/>
      <c r="AG114" s="208">
        <f>9705.08</f>
        <v>9705.08</v>
      </c>
      <c r="AH114" s="182">
        <v>43168</v>
      </c>
      <c r="AI114" s="221"/>
      <c r="AJ114" s="11"/>
      <c r="AK114" s="11"/>
    </row>
    <row r="115" spans="3:37" ht="16" thickBot="1" x14ac:dyDescent="0.4">
      <c r="C115"/>
      <c r="G115"/>
      <c r="N115" s="169">
        <v>2015</v>
      </c>
      <c r="O115" s="175">
        <v>1192.1199999999999</v>
      </c>
      <c r="P115" s="176">
        <v>8.8699999999999992</v>
      </c>
      <c r="Q115" s="176">
        <v>15</v>
      </c>
      <c r="R115" s="176">
        <v>1657.4699999999998</v>
      </c>
      <c r="S115" s="176">
        <v>31.84</v>
      </c>
      <c r="T115" s="176">
        <v>793.66000000000008</v>
      </c>
      <c r="U115" s="114">
        <f t="shared" si="2"/>
        <v>3698.96</v>
      </c>
      <c r="V115" s="169">
        <v>2015</v>
      </c>
      <c r="W115" s="241">
        <f t="shared" si="3"/>
        <v>8381.9599999999991</v>
      </c>
      <c r="Y115" s="114"/>
      <c r="AC115" s="280" t="s">
        <v>155</v>
      </c>
      <c r="AD115" s="234">
        <f>12458.72</f>
        <v>12458.72</v>
      </c>
      <c r="AE115" s="190">
        <v>43578</v>
      </c>
      <c r="AF115" s="186"/>
      <c r="AG115" s="210">
        <f>9726.64</f>
        <v>9726.64</v>
      </c>
      <c r="AH115" s="182">
        <v>43170</v>
      </c>
      <c r="AI115" s="221"/>
      <c r="AJ115" s="11"/>
      <c r="AK115" s="11"/>
    </row>
    <row r="116" spans="3:37" ht="16" thickBot="1" x14ac:dyDescent="0.4">
      <c r="C116"/>
      <c r="G116"/>
      <c r="N116" s="169">
        <v>2016</v>
      </c>
      <c r="O116" s="170">
        <v>311.81</v>
      </c>
      <c r="P116" s="170">
        <v>6.84</v>
      </c>
      <c r="Q116" s="170">
        <v>896.84</v>
      </c>
      <c r="R116" s="170">
        <v>2499.71</v>
      </c>
      <c r="S116" s="170">
        <v>629.27</v>
      </c>
      <c r="T116" s="170">
        <v>87.88</v>
      </c>
      <c r="U116" s="114">
        <f t="shared" si="2"/>
        <v>4432.3499999999995</v>
      </c>
      <c r="V116" s="169">
        <v>2016</v>
      </c>
      <c r="W116" s="241">
        <f t="shared" si="3"/>
        <v>11055.9</v>
      </c>
      <c r="Y116" s="114"/>
      <c r="AA116" s="113"/>
      <c r="AB116" s="113"/>
      <c r="AC116" t="s">
        <v>156</v>
      </c>
      <c r="AD116" s="244">
        <f>12202.4</f>
        <v>12202.4</v>
      </c>
      <c r="AE116" s="190">
        <v>43610</v>
      </c>
      <c r="AF116" s="186"/>
      <c r="AG116" s="214">
        <f>9927.1</f>
        <v>9927.1</v>
      </c>
      <c r="AH116" s="190">
        <v>43231</v>
      </c>
      <c r="AI116" s="221"/>
      <c r="AJ116" s="11"/>
      <c r="AK116" s="11"/>
    </row>
    <row r="117" spans="3:37" ht="16.5" thickTop="1" thickBot="1" x14ac:dyDescent="0.4">
      <c r="C117"/>
      <c r="G117"/>
      <c r="N117" s="169">
        <v>2017</v>
      </c>
      <c r="O117" s="170">
        <v>1707.83</v>
      </c>
      <c r="P117" s="170">
        <v>0</v>
      </c>
      <c r="Q117" s="170">
        <v>274.22000000000003</v>
      </c>
      <c r="R117" s="170">
        <v>1911.76</v>
      </c>
      <c r="S117" s="170">
        <v>1861.36</v>
      </c>
      <c r="T117" s="170">
        <v>240.49</v>
      </c>
      <c r="U117" s="114">
        <f t="shared" si="2"/>
        <v>5995.66</v>
      </c>
      <c r="V117" s="169">
        <v>2017</v>
      </c>
      <c r="W117" s="241">
        <f t="shared" si="3"/>
        <v>13226.48</v>
      </c>
      <c r="X117" s="199"/>
      <c r="Y117" s="114"/>
      <c r="Z117" s="188"/>
      <c r="AD117" s="244">
        <f>12030.58</f>
        <v>12030.58</v>
      </c>
      <c r="AE117" s="190">
        <v>43578</v>
      </c>
      <c r="AF117" s="186"/>
      <c r="AG117" s="213">
        <f>9742.67</f>
        <v>9742.67</v>
      </c>
      <c r="AH117" s="190">
        <v>43244</v>
      </c>
      <c r="AI117" s="221"/>
      <c r="AJ117" s="11"/>
      <c r="AK117" s="11"/>
    </row>
    <row r="118" spans="3:37" ht="16" thickBot="1" x14ac:dyDescent="0.4">
      <c r="C118"/>
      <c r="G118"/>
      <c r="N118" s="169">
        <v>2018</v>
      </c>
      <c r="O118" s="170">
        <f>899.93</f>
        <v>899.93</v>
      </c>
      <c r="P118" s="170">
        <f>184.81</f>
        <v>184.81</v>
      </c>
      <c r="Q118" s="170">
        <f>69.73</f>
        <v>69.73</v>
      </c>
      <c r="R118" s="170">
        <f>1872.69</f>
        <v>1872.69</v>
      </c>
      <c r="S118" s="170">
        <f>1842.24</f>
        <v>1842.24</v>
      </c>
      <c r="T118" s="170">
        <f>143.57</f>
        <v>143.57</v>
      </c>
      <c r="U118" s="114">
        <f t="shared" si="2"/>
        <v>5012.9699999999993</v>
      </c>
      <c r="V118" s="169">
        <v>2018</v>
      </c>
      <c r="W118" s="241">
        <f t="shared" si="3"/>
        <v>10289.07</v>
      </c>
      <c r="X118" s="199"/>
      <c r="Y118" s="114"/>
      <c r="Z118" s="188"/>
      <c r="AA118" s="126"/>
      <c r="AB118" s="126"/>
      <c r="AC118" t="s">
        <v>160</v>
      </c>
      <c r="AD118" s="244">
        <f>11803.15</f>
        <v>11803.15</v>
      </c>
      <c r="AE118" s="190">
        <v>43654</v>
      </c>
      <c r="AF118" s="186"/>
      <c r="AG118" s="214">
        <f>10125.78</f>
        <v>10125.780000000001</v>
      </c>
      <c r="AH118" s="190">
        <v>43245</v>
      </c>
      <c r="AI118" s="221"/>
      <c r="AJ118" s="11"/>
      <c r="AK118" s="11"/>
    </row>
    <row r="119" spans="3:37" ht="16" thickBot="1" x14ac:dyDescent="0.4">
      <c r="C119"/>
      <c r="G119"/>
      <c r="N119" s="169">
        <v>2019</v>
      </c>
      <c r="O119" s="170">
        <f>$K$76</f>
        <v>510.18</v>
      </c>
      <c r="P119" s="170">
        <f>$O$76</f>
        <v>148.97999999999999</v>
      </c>
      <c r="Q119" s="170">
        <f>$S$76</f>
        <v>6.99</v>
      </c>
      <c r="R119" s="170">
        <f>$X$76</f>
        <v>821.08000000000015</v>
      </c>
      <c r="S119" s="170">
        <f>$AC$76</f>
        <v>5705.4060000000009</v>
      </c>
      <c r="T119" s="170">
        <f>$AH$76</f>
        <v>288.24999999999994</v>
      </c>
      <c r="U119" s="114">
        <f t="shared" si="2"/>
        <v>7480.8860000000004</v>
      </c>
      <c r="V119" s="169">
        <v>2019</v>
      </c>
      <c r="W119" s="242">
        <f t="shared" si="3"/>
        <v>14191.820000000002</v>
      </c>
      <c r="X119" s="199"/>
      <c r="Y119" s="114"/>
      <c r="Z119" s="188"/>
      <c r="AA119" s="126"/>
      <c r="AB119" s="126"/>
      <c r="AC119" t="s">
        <v>161</v>
      </c>
      <c r="AD119" s="244">
        <f>10120.29</f>
        <v>10120.290000000001</v>
      </c>
      <c r="AE119" s="190">
        <v>43655</v>
      </c>
      <c r="AF119" s="186"/>
      <c r="AG119" s="214">
        <v>10173.799999999999</v>
      </c>
      <c r="AH119" s="190">
        <v>43251</v>
      </c>
      <c r="AI119" s="221"/>
      <c r="AJ119" s="11"/>
      <c r="AK119" s="11"/>
    </row>
    <row r="120" spans="3:37" ht="16" thickBot="1" x14ac:dyDescent="0.4">
      <c r="C120"/>
      <c r="G120"/>
      <c r="W120" s="238">
        <f>SUM(W113:W119)</f>
        <v>66827.13</v>
      </c>
      <c r="Y120" s="189"/>
      <c r="AC120" t="s">
        <v>164</v>
      </c>
      <c r="AD120" s="234">
        <f>11059.6</f>
        <v>11059.6</v>
      </c>
      <c r="AE120" s="190">
        <v>43685</v>
      </c>
      <c r="AF120" s="186"/>
      <c r="AG120" s="214">
        <v>10204.85</v>
      </c>
      <c r="AH120" s="190">
        <v>43252</v>
      </c>
      <c r="AI120" s="221"/>
      <c r="AJ120" s="11"/>
      <c r="AK120" s="11"/>
    </row>
    <row r="121" spans="3:37" ht="16" thickBot="1" x14ac:dyDescent="0.4">
      <c r="C121"/>
      <c r="G121"/>
      <c r="X121" s="187"/>
      <c r="Y121" s="189"/>
      <c r="AC121" t="s">
        <v>163</v>
      </c>
      <c r="AD121" s="234">
        <f>11090.2</f>
        <v>11090.2</v>
      </c>
      <c r="AE121" s="190">
        <v>43697</v>
      </c>
      <c r="AF121" s="186"/>
      <c r="AG121" s="214">
        <v>10251.219999999999</v>
      </c>
      <c r="AH121" s="190">
        <v>43255</v>
      </c>
      <c r="AI121" s="221"/>
      <c r="AJ121" s="11"/>
      <c r="AK121" s="11"/>
    </row>
    <row r="122" spans="3:37" ht="16" thickBot="1" x14ac:dyDescent="0.4">
      <c r="C122"/>
      <c r="G122"/>
      <c r="N122" s="169">
        <v>2020</v>
      </c>
      <c r="O122" s="170"/>
      <c r="P122" s="170"/>
      <c r="Q122" s="170"/>
      <c r="R122" s="170"/>
      <c r="S122" s="170"/>
      <c r="T122" s="170"/>
      <c r="V122" s="169">
        <v>2020</v>
      </c>
      <c r="X122" s="114"/>
      <c r="AC122" t="s">
        <v>165</v>
      </c>
      <c r="AD122" s="234">
        <f>11047.98</f>
        <v>11047.98</v>
      </c>
      <c r="AE122" s="190">
        <v>43727</v>
      </c>
      <c r="AF122" s="186"/>
      <c r="AG122" s="214">
        <v>10283.1</v>
      </c>
      <c r="AH122" s="190">
        <v>43264</v>
      </c>
      <c r="AI122" s="221"/>
      <c r="AJ122" s="11"/>
      <c r="AK122" s="11"/>
    </row>
    <row r="123" spans="3:37" ht="16.5" thickTop="1" thickBot="1" x14ac:dyDescent="0.4">
      <c r="C123"/>
      <c r="G123"/>
      <c r="X123" s="114"/>
      <c r="AC123" t="s">
        <v>166</v>
      </c>
      <c r="AD123" s="244">
        <f>8362.69</f>
        <v>8362.69</v>
      </c>
      <c r="AE123" s="190">
        <v>43731</v>
      </c>
      <c r="AF123" s="186"/>
      <c r="AG123" s="213">
        <f>9336.24</f>
        <v>9336.24</v>
      </c>
      <c r="AH123" s="190">
        <v>43270</v>
      </c>
      <c r="AI123" s="221"/>
      <c r="AJ123" s="11"/>
      <c r="AK123" s="11"/>
    </row>
    <row r="124" spans="3:37" ht="16" thickTop="1" x14ac:dyDescent="0.35">
      <c r="C124"/>
      <c r="G124"/>
      <c r="X124" s="114"/>
      <c r="AC124" s="282" t="s">
        <v>167</v>
      </c>
      <c r="AD124" s="234">
        <f>8996.69</f>
        <v>8996.69</v>
      </c>
      <c r="AE124" s="190">
        <v>43770</v>
      </c>
      <c r="AF124" s="186"/>
      <c r="AG124" s="214">
        <f>9452.16</f>
        <v>9452.16</v>
      </c>
      <c r="AH124" s="190">
        <v>43271</v>
      </c>
      <c r="AI124" s="221"/>
      <c r="AJ124" s="11"/>
      <c r="AK124" s="11"/>
    </row>
    <row r="125" spans="3:37" ht="15.5" x14ac:dyDescent="0.35">
      <c r="C125"/>
      <c r="G125"/>
      <c r="AF125" s="186"/>
      <c r="AG125" s="214">
        <f>10051.97</f>
        <v>10051.969999999999</v>
      </c>
      <c r="AH125" s="190">
        <v>43272</v>
      </c>
      <c r="AI125" s="221"/>
      <c r="AJ125" s="11"/>
      <c r="AK125" s="11"/>
    </row>
    <row r="126" spans="3:37" ht="16" thickBot="1" x14ac:dyDescent="0.4">
      <c r="C126"/>
      <c r="G126"/>
      <c r="AF126" s="186"/>
      <c r="AG126" s="214">
        <f>10173.69</f>
        <v>10173.69</v>
      </c>
      <c r="AH126" s="190">
        <v>43276</v>
      </c>
      <c r="AI126" s="221"/>
      <c r="AJ126" s="11"/>
      <c r="AK126" s="11"/>
    </row>
    <row r="127" spans="3:37" ht="16.5" thickTop="1" thickBot="1" x14ac:dyDescent="0.4">
      <c r="C127"/>
      <c r="G127"/>
      <c r="AF127" s="186"/>
      <c r="AG127" s="213">
        <f>9938.94</f>
        <v>9938.94</v>
      </c>
      <c r="AH127" s="190">
        <v>43287</v>
      </c>
      <c r="AI127" s="221"/>
      <c r="AJ127" s="11"/>
      <c r="AK127" s="11"/>
    </row>
    <row r="128" spans="3:37" ht="16.5" thickTop="1" thickBot="1" x14ac:dyDescent="0.4">
      <c r="C128"/>
      <c r="G128"/>
      <c r="AA128" s="113"/>
      <c r="AB128" s="113"/>
      <c r="AF128" s="186"/>
      <c r="AG128" s="213">
        <f>9686.42</f>
        <v>9686.42</v>
      </c>
      <c r="AH128" s="190">
        <v>43311</v>
      </c>
      <c r="AI128" s="221"/>
      <c r="AJ128" s="11"/>
      <c r="AK128" s="11"/>
    </row>
    <row r="129" spans="3:37" ht="16.5" thickTop="1" thickBot="1" x14ac:dyDescent="0.4">
      <c r="C129"/>
      <c r="G129"/>
      <c r="AF129" s="186"/>
      <c r="AG129" s="213">
        <f>9632.6</f>
        <v>9632.6</v>
      </c>
      <c r="AH129" s="190">
        <v>43313</v>
      </c>
      <c r="AI129" s="221"/>
      <c r="AJ129" s="11"/>
      <c r="AK129" s="11"/>
    </row>
    <row r="130" spans="3:37" ht="16.5" thickTop="1" thickBot="1" x14ac:dyDescent="0.4">
      <c r="C130"/>
      <c r="G130"/>
      <c r="AF130" s="186"/>
      <c r="AG130" s="213">
        <f>9609.62</f>
        <v>9609.6200000000008</v>
      </c>
      <c r="AH130" s="190">
        <v>43316</v>
      </c>
      <c r="AI130" s="11"/>
      <c r="AJ130" s="11"/>
      <c r="AK130" s="11"/>
    </row>
    <row r="131" spans="3:37" ht="16.5" thickTop="1" thickBot="1" x14ac:dyDescent="0.4">
      <c r="C131"/>
      <c r="G131"/>
      <c r="AF131" s="186"/>
      <c r="AG131" s="213">
        <f>9490.17</f>
        <v>9490.17</v>
      </c>
      <c r="AH131" s="190">
        <v>43318</v>
      </c>
      <c r="AI131" s="223"/>
      <c r="AJ131" s="11"/>
      <c r="AK131" s="11"/>
    </row>
    <row r="132" spans="3:37" ht="16" thickTop="1" x14ac:dyDescent="0.35">
      <c r="C132"/>
      <c r="G132"/>
      <c r="AF132" s="186"/>
      <c r="AG132" s="214">
        <f>9590.16</f>
        <v>9590.16</v>
      </c>
      <c r="AH132" s="190">
        <v>43325</v>
      </c>
      <c r="AI132" s="221"/>
      <c r="AJ132" s="11"/>
      <c r="AK132" s="11"/>
    </row>
    <row r="133" spans="3:37" ht="15.5" x14ac:dyDescent="0.35">
      <c r="C133"/>
      <c r="G133"/>
      <c r="AF133" s="186"/>
      <c r="AG133" s="214">
        <f>9711.83</f>
        <v>9711.83</v>
      </c>
      <c r="AH133" s="190">
        <v>43326</v>
      </c>
      <c r="AI133" s="221"/>
      <c r="AJ133" s="11"/>
      <c r="AK133" s="11"/>
    </row>
    <row r="134" spans="3:37" ht="15.5" x14ac:dyDescent="0.35">
      <c r="C134"/>
      <c r="G134"/>
      <c r="AF134" s="186"/>
      <c r="AG134" s="214">
        <f>9754.06</f>
        <v>9754.06</v>
      </c>
      <c r="AH134" s="190">
        <v>43327</v>
      </c>
      <c r="AI134" s="223"/>
      <c r="AJ134" s="11"/>
      <c r="AK134" s="11"/>
    </row>
    <row r="135" spans="3:37" ht="15.5" x14ac:dyDescent="0.35">
      <c r="C135"/>
      <c r="G135"/>
      <c r="AF135" s="186"/>
      <c r="AG135" s="214">
        <f>9924.83</f>
        <v>9924.83</v>
      </c>
      <c r="AH135" s="190">
        <v>43329</v>
      </c>
      <c r="AI135" s="221"/>
      <c r="AJ135" s="11"/>
      <c r="AK135" s="11"/>
    </row>
    <row r="136" spans="3:37" ht="16" thickBot="1" x14ac:dyDescent="0.4">
      <c r="C136"/>
      <c r="G136"/>
      <c r="Q136" s="191"/>
      <c r="AF136" s="186"/>
      <c r="AG136" s="214">
        <f>9999.21</f>
        <v>9999.2099999999991</v>
      </c>
      <c r="AH136" s="190">
        <v>43336</v>
      </c>
      <c r="AI136" s="221"/>
      <c r="AJ136" s="11"/>
      <c r="AK136" s="11"/>
    </row>
    <row r="137" spans="3:37" ht="16.5" thickTop="1" thickBot="1" x14ac:dyDescent="0.4">
      <c r="C137"/>
      <c r="G137"/>
      <c r="O137" s="192"/>
      <c r="P137" s="192"/>
      <c r="Q137" s="191"/>
      <c r="AF137" s="186"/>
      <c r="AG137" s="213">
        <f>9976.92</f>
        <v>9976.92</v>
      </c>
      <c r="AH137" s="190">
        <v>43355</v>
      </c>
      <c r="AI137" s="221"/>
      <c r="AJ137" s="11"/>
      <c r="AK137" s="11"/>
    </row>
    <row r="138" spans="3:37" ht="16" thickTop="1" x14ac:dyDescent="0.35">
      <c r="C138"/>
      <c r="G138"/>
      <c r="O138" s="192"/>
      <c r="P138" s="192"/>
      <c r="Q138" s="191"/>
      <c r="AF138" s="186"/>
      <c r="AG138" s="214">
        <f>10079.81</f>
        <v>10079.81</v>
      </c>
      <c r="AH138" s="190">
        <v>43388</v>
      </c>
      <c r="AI138" s="221"/>
      <c r="AJ138" s="11"/>
      <c r="AK138" s="11"/>
    </row>
    <row r="139" spans="3:37" ht="15.5" x14ac:dyDescent="0.35">
      <c r="C139"/>
      <c r="G139"/>
      <c r="O139" s="192"/>
      <c r="P139" s="192"/>
      <c r="Q139" s="191"/>
      <c r="AF139" s="186"/>
      <c r="AG139" s="214">
        <f>10101.89</f>
        <v>10101.89</v>
      </c>
      <c r="AH139" s="190">
        <v>43405</v>
      </c>
      <c r="AI139" s="221"/>
      <c r="AJ139" s="11"/>
      <c r="AK139" s="11"/>
    </row>
    <row r="140" spans="3:37" ht="16" thickBot="1" x14ac:dyDescent="0.4">
      <c r="C140"/>
      <c r="G140"/>
      <c r="O140" s="192"/>
      <c r="P140" s="192"/>
      <c r="Q140" s="191"/>
      <c r="AF140" s="186"/>
      <c r="AG140" s="214">
        <f>10198.02</f>
        <v>10198.02</v>
      </c>
      <c r="AH140" s="190">
        <v>43430</v>
      </c>
      <c r="AI140" s="221"/>
      <c r="AJ140" s="11"/>
      <c r="AK140" s="11"/>
    </row>
    <row r="141" spans="3:37" ht="16.5" thickTop="1" thickBot="1" x14ac:dyDescent="0.4">
      <c r="C141"/>
      <c r="G141"/>
      <c r="O141" s="192"/>
      <c r="P141" s="192"/>
      <c r="Q141" s="191"/>
      <c r="AF141" s="186"/>
      <c r="AG141" s="213">
        <f>9814.62</f>
        <v>9814.6200000000008</v>
      </c>
      <c r="AH141" s="190">
        <v>43434</v>
      </c>
      <c r="AI141" s="221"/>
      <c r="AJ141" s="11"/>
      <c r="AK141" s="11"/>
    </row>
    <row r="142" spans="3:37" ht="16" thickTop="1" x14ac:dyDescent="0.35">
      <c r="O142" s="192"/>
      <c r="P142" s="192"/>
      <c r="Q142" s="191"/>
      <c r="AA142" s="113"/>
      <c r="AB142" s="113"/>
      <c r="AF142" s="186"/>
      <c r="AG142" s="214">
        <f>9820.03</f>
        <v>9820.0300000000007</v>
      </c>
      <c r="AH142" s="190">
        <v>43454</v>
      </c>
      <c r="AI142" s="221"/>
      <c r="AJ142" s="11"/>
      <c r="AK142" s="11"/>
    </row>
    <row r="143" spans="3:37" ht="15.5" x14ac:dyDescent="0.35">
      <c r="AA143" s="113"/>
      <c r="AB143" s="113"/>
      <c r="AF143" s="186"/>
      <c r="AG143" s="225"/>
      <c r="AH143" s="222"/>
      <c r="AI143" s="221"/>
      <c r="AJ143" s="11"/>
      <c r="AK143" s="11"/>
    </row>
    <row r="144" spans="3:37" ht="15.5" x14ac:dyDescent="0.35">
      <c r="C144"/>
      <c r="G144"/>
      <c r="AF144" s="186"/>
      <c r="AG144" s="225"/>
      <c r="AH144" s="222"/>
      <c r="AI144" s="221"/>
      <c r="AJ144" s="11"/>
      <c r="AK144" s="11"/>
    </row>
    <row r="145" spans="3:37" ht="15.5" x14ac:dyDescent="0.35">
      <c r="C145"/>
      <c r="G145"/>
      <c r="AC145" s="215"/>
      <c r="AF145" s="186"/>
      <c r="AG145" s="225"/>
      <c r="AH145" s="222"/>
      <c r="AI145" s="221"/>
      <c r="AJ145" s="11"/>
      <c r="AK145" s="11"/>
    </row>
    <row r="146" spans="3:37" ht="15.5" x14ac:dyDescent="0.35">
      <c r="C146"/>
      <c r="G146"/>
      <c r="AC146" s="113"/>
      <c r="AD146" s="113"/>
      <c r="AF146" s="186"/>
      <c r="AG146" s="225"/>
      <c r="AH146" s="222"/>
      <c r="AI146" s="221"/>
      <c r="AJ146" s="11"/>
      <c r="AK146" s="11"/>
    </row>
    <row r="147" spans="3:37" ht="15.5" x14ac:dyDescent="0.35">
      <c r="C147"/>
      <c r="G147"/>
      <c r="AF147" s="186"/>
      <c r="AG147" s="225"/>
      <c r="AH147" s="222"/>
      <c r="AI147" s="221"/>
      <c r="AJ147" s="11"/>
      <c r="AK147" s="11"/>
    </row>
    <row r="148" spans="3:37" ht="15.5" x14ac:dyDescent="0.35">
      <c r="C148"/>
      <c r="G148"/>
      <c r="AF148" s="186"/>
      <c r="AG148" s="225"/>
      <c r="AH148" s="222"/>
      <c r="AI148" s="221"/>
      <c r="AJ148" s="11"/>
      <c r="AK148" s="11"/>
    </row>
    <row r="149" spans="3:37" ht="15.5" x14ac:dyDescent="0.35">
      <c r="C149"/>
      <c r="G149"/>
      <c r="AF149" s="186"/>
      <c r="AG149" s="225"/>
      <c r="AH149" s="222"/>
      <c r="AI149" s="11"/>
      <c r="AJ149" s="11"/>
      <c r="AK149" s="11"/>
    </row>
    <row r="150" spans="3:37" ht="15.5" x14ac:dyDescent="0.35">
      <c r="C150"/>
      <c r="G150"/>
      <c r="AF150" s="186"/>
      <c r="AG150" s="224"/>
      <c r="AH150" s="222"/>
      <c r="AI150" s="11"/>
      <c r="AJ150" s="11"/>
      <c r="AK150" s="11"/>
    </row>
    <row r="151" spans="3:37" ht="15.5" x14ac:dyDescent="0.35">
      <c r="C151"/>
      <c r="G151"/>
      <c r="AD151" s="114"/>
      <c r="AF151" s="186"/>
      <c r="AG151" s="225"/>
      <c r="AH151" s="222"/>
      <c r="AI151" s="11"/>
      <c r="AJ151" s="11"/>
      <c r="AK151" s="11"/>
    </row>
    <row r="152" spans="3:37" ht="15.5" x14ac:dyDescent="0.35">
      <c r="C152"/>
      <c r="G152"/>
      <c r="AD152" s="114"/>
      <c r="AF152" s="186"/>
      <c r="AG152" s="225"/>
      <c r="AH152" s="222"/>
      <c r="AI152" s="11"/>
      <c r="AJ152" s="11"/>
      <c r="AK152" s="11"/>
    </row>
    <row r="153" spans="3:37" ht="15.5" x14ac:dyDescent="0.35">
      <c r="C153"/>
      <c r="G153"/>
      <c r="AF153" s="186"/>
      <c r="AG153" s="225"/>
      <c r="AH153" s="222"/>
      <c r="AI153" s="11"/>
      <c r="AJ153" s="11"/>
      <c r="AK153" s="11"/>
    </row>
    <row r="154" spans="3:37" ht="15.5" x14ac:dyDescent="0.35">
      <c r="C154"/>
      <c r="G154"/>
      <c r="AF154" s="186"/>
      <c r="AG154" s="225"/>
      <c r="AH154" s="222"/>
      <c r="AI154" s="11"/>
      <c r="AJ154" s="11"/>
      <c r="AK154" s="11"/>
    </row>
    <row r="155" spans="3:37" ht="15.5" x14ac:dyDescent="0.35">
      <c r="C155"/>
      <c r="G155"/>
      <c r="AF155" s="186"/>
      <c r="AG155" s="225"/>
      <c r="AH155" s="222"/>
      <c r="AI155" s="11"/>
      <c r="AJ155" s="11"/>
      <c r="AK155" s="11"/>
    </row>
    <row r="156" spans="3:37" ht="15.5" x14ac:dyDescent="0.35">
      <c r="C156"/>
      <c r="G156"/>
      <c r="AE156" s="193"/>
      <c r="AF156" s="186"/>
      <c r="AG156" s="225"/>
      <c r="AH156" s="222"/>
      <c r="AI156" s="221"/>
      <c r="AJ156" s="11"/>
      <c r="AK156" s="11"/>
    </row>
    <row r="157" spans="3:37" ht="15.5" x14ac:dyDescent="0.35">
      <c r="C157"/>
      <c r="G157"/>
      <c r="AF157" s="186"/>
      <c r="AG157" s="224"/>
      <c r="AH157" s="222"/>
      <c r="AI157" s="11"/>
      <c r="AJ157" s="11"/>
      <c r="AK157" s="11"/>
    </row>
    <row r="158" spans="3:37" ht="15.5" x14ac:dyDescent="0.35">
      <c r="C158"/>
      <c r="G158"/>
      <c r="AF158" s="186"/>
      <c r="AG158" s="224"/>
      <c r="AH158" s="222"/>
      <c r="AI158" s="11"/>
      <c r="AJ158" s="11"/>
      <c r="AK158" s="11"/>
    </row>
    <row r="159" spans="3:37" ht="15.5" x14ac:dyDescent="0.35">
      <c r="C159"/>
      <c r="G159"/>
      <c r="AF159" s="186"/>
      <c r="AG159" s="225"/>
      <c r="AH159" s="222"/>
      <c r="AI159" s="221"/>
      <c r="AJ159" s="11"/>
      <c r="AK159" s="11"/>
    </row>
    <row r="160" spans="3:37" ht="15.5" x14ac:dyDescent="0.35">
      <c r="C160"/>
      <c r="G160"/>
      <c r="AF160" s="186"/>
      <c r="AG160" s="225"/>
      <c r="AH160" s="222"/>
      <c r="AI160" s="11"/>
      <c r="AJ160" s="11"/>
      <c r="AK160" s="11"/>
    </row>
    <row r="161" spans="3:37" ht="15.5" x14ac:dyDescent="0.35">
      <c r="C161"/>
      <c r="G161"/>
      <c r="AF161" s="186"/>
      <c r="AG161" s="225"/>
      <c r="AH161" s="222"/>
      <c r="AI161" s="11"/>
      <c r="AJ161" s="11"/>
      <c r="AK161" s="11"/>
    </row>
    <row r="162" spans="3:37" ht="15.5" x14ac:dyDescent="0.35">
      <c r="C162"/>
      <c r="G162"/>
      <c r="AF162" s="186"/>
      <c r="AG162" s="224"/>
      <c r="AH162" s="222"/>
      <c r="AI162" s="11"/>
      <c r="AJ162" s="11"/>
      <c r="AK162" s="11"/>
    </row>
    <row r="163" spans="3:37" ht="15.5" x14ac:dyDescent="0.35">
      <c r="C163"/>
      <c r="G163"/>
      <c r="AF163" s="186"/>
      <c r="AG163" s="225"/>
      <c r="AH163" s="222"/>
      <c r="AI163" s="11"/>
      <c r="AJ163" s="11"/>
      <c r="AK163" s="11"/>
    </row>
    <row r="164" spans="3:37" ht="15.5" x14ac:dyDescent="0.35">
      <c r="C164"/>
      <c r="G164"/>
      <c r="AF164" s="186"/>
      <c r="AG164" s="224"/>
      <c r="AH164" s="222"/>
      <c r="AI164" s="11"/>
      <c r="AJ164" s="11"/>
      <c r="AK164" s="11"/>
    </row>
    <row r="165" spans="3:37" ht="15.5" x14ac:dyDescent="0.35">
      <c r="C165"/>
      <c r="G165"/>
      <c r="AE165" s="390"/>
      <c r="AF165" s="186"/>
      <c r="AG165" s="224"/>
      <c r="AH165" s="222"/>
      <c r="AI165" s="11"/>
      <c r="AJ165" s="11"/>
      <c r="AK165" s="11"/>
    </row>
    <row r="166" spans="3:37" x14ac:dyDescent="0.35">
      <c r="C166"/>
      <c r="G166"/>
      <c r="AE166" s="390"/>
      <c r="AG166" s="11"/>
      <c r="AH166" s="11"/>
      <c r="AI166" s="11"/>
      <c r="AJ166" s="11"/>
      <c r="AK166" s="11"/>
    </row>
    <row r="167" spans="3:37" x14ac:dyDescent="0.35">
      <c r="C167"/>
      <c r="G167"/>
      <c r="AG167" s="11"/>
      <c r="AH167" s="11"/>
      <c r="AI167" s="11"/>
      <c r="AJ167" s="11"/>
      <c r="AK167" s="11"/>
    </row>
    <row r="168" spans="3:37" x14ac:dyDescent="0.35">
      <c r="C168"/>
      <c r="G168"/>
      <c r="AG168" s="11"/>
      <c r="AH168" s="11"/>
      <c r="AI168" s="11"/>
      <c r="AJ168" s="11"/>
      <c r="AK168" s="11"/>
    </row>
    <row r="169" spans="3:37" x14ac:dyDescent="0.35">
      <c r="AG169" s="11"/>
      <c r="AH169" s="11"/>
      <c r="AI169" s="11"/>
      <c r="AJ169" s="11"/>
      <c r="AK169" s="11"/>
    </row>
    <row r="170" spans="3:37" x14ac:dyDescent="0.35">
      <c r="C170"/>
      <c r="G170"/>
      <c r="AG170" s="11"/>
      <c r="AH170" s="11"/>
      <c r="AI170" s="11"/>
      <c r="AJ170" s="11"/>
      <c r="AK170" s="11"/>
    </row>
    <row r="171" spans="3:37" x14ac:dyDescent="0.35">
      <c r="C171"/>
      <c r="G171"/>
      <c r="AG171" s="11"/>
      <c r="AH171" s="11"/>
      <c r="AI171" s="11"/>
      <c r="AJ171" s="11"/>
    </row>
  </sheetData>
  <mergeCells count="70">
    <mergeCell ref="AH3:AI3"/>
    <mergeCell ref="K46:L46"/>
    <mergeCell ref="O46:P46"/>
    <mergeCell ref="S46:T46"/>
    <mergeCell ref="X46:Y46"/>
    <mergeCell ref="AC46:AD46"/>
    <mergeCell ref="AH46:AI46"/>
    <mergeCell ref="AB3:AD3"/>
    <mergeCell ref="G3:H3"/>
    <mergeCell ref="K3:L3"/>
    <mergeCell ref="O3:P3"/>
    <mergeCell ref="S3:T3"/>
    <mergeCell ref="X3:Y3"/>
    <mergeCell ref="AK46:AM46"/>
    <mergeCell ref="O50:P50"/>
    <mergeCell ref="S50:T50"/>
    <mergeCell ref="X50:Y50"/>
    <mergeCell ref="AH50:AI50"/>
    <mergeCell ref="AB50:AD50"/>
    <mergeCell ref="O88:Q88"/>
    <mergeCell ref="O89:Q89"/>
    <mergeCell ref="O90:Q90"/>
    <mergeCell ref="G55:H55"/>
    <mergeCell ref="K55:L55"/>
    <mergeCell ref="O55:P55"/>
    <mergeCell ref="K81:L81"/>
    <mergeCell ref="O81:P81"/>
    <mergeCell ref="K76:L76"/>
    <mergeCell ref="O76:P76"/>
    <mergeCell ref="O82:P82"/>
    <mergeCell ref="K82:L82"/>
    <mergeCell ref="O87:Q87"/>
    <mergeCell ref="AE165:AE166"/>
    <mergeCell ref="X82:Y82"/>
    <mergeCell ref="AC82:AD82"/>
    <mergeCell ref="W84:W85"/>
    <mergeCell ref="AL83:AM83"/>
    <mergeCell ref="AF88:AG89"/>
    <mergeCell ref="AG96:AH98"/>
    <mergeCell ref="AD99:AE99"/>
    <mergeCell ref="AK81:AM81"/>
    <mergeCell ref="S82:T82"/>
    <mergeCell ref="AK75:AM75"/>
    <mergeCell ref="AH76:AI76"/>
    <mergeCell ref="AK76:AM76"/>
    <mergeCell ref="AH82:AI82"/>
    <mergeCell ref="X81:Y81"/>
    <mergeCell ref="AC81:AD81"/>
    <mergeCell ref="X76:Y76"/>
    <mergeCell ref="AC76:AD76"/>
    <mergeCell ref="S76:T76"/>
    <mergeCell ref="S81:T81"/>
    <mergeCell ref="AH81:AI81"/>
    <mergeCell ref="K50:L50"/>
    <mergeCell ref="O51:P51"/>
    <mergeCell ref="S51:T51"/>
    <mergeCell ref="X51:Y51"/>
    <mergeCell ref="AL79:AM79"/>
    <mergeCell ref="AB51:AD51"/>
    <mergeCell ref="AH51:AI51"/>
    <mergeCell ref="AC55:AD55"/>
    <mergeCell ref="AH55:AI55"/>
    <mergeCell ref="K51:L51"/>
    <mergeCell ref="S55:T55"/>
    <mergeCell ref="X55:Y55"/>
    <mergeCell ref="R96:R98"/>
    <mergeCell ref="S96:S99"/>
    <mergeCell ref="T96:T99"/>
    <mergeCell ref="U96:U99"/>
    <mergeCell ref="X99:Z99"/>
  </mergeCells>
  <conditionalFormatting sqref="G56:G59 G61:G74">
    <cfRule type="expression" dxfId="20" priority="67">
      <formula>G56=""</formula>
    </cfRule>
    <cfRule type="expression" dxfId="19" priority="68">
      <formula>G56&lt;F56</formula>
    </cfRule>
    <cfRule type="expression" dxfId="18" priority="69">
      <formula>G56&gt;=F56</formula>
    </cfRule>
  </conditionalFormatting>
  <conditionalFormatting sqref="G4:G44">
    <cfRule type="expression" dxfId="17" priority="25">
      <formula>G4=""</formula>
    </cfRule>
    <cfRule type="expression" dxfId="16" priority="26">
      <formula>G4&lt;F4</formula>
    </cfRule>
    <cfRule type="expression" dxfId="15" priority="27">
      <formula>G4&gt;=F4</formula>
    </cfRule>
  </conditionalFormatting>
  <conditionalFormatting sqref="I5 H4:H44 H56:I59 H61:I74">
    <cfRule type="expression" dxfId="14" priority="19">
      <formula>H4=""</formula>
    </cfRule>
    <cfRule type="expression" dxfId="13" priority="20">
      <formula>H4&lt;F4</formula>
    </cfRule>
    <cfRule type="expression" dxfId="12" priority="21">
      <formula>H4&gt;=F4</formula>
    </cfRule>
  </conditionalFormatting>
  <conditionalFormatting sqref="I6:I44">
    <cfRule type="expression" dxfId="11" priority="13">
      <formula>I6=""</formula>
    </cfRule>
    <cfRule type="expression" dxfId="10" priority="14">
      <formula>I6&lt;G6</formula>
    </cfRule>
    <cfRule type="expression" dxfId="9" priority="15">
      <formula>I6&gt;=G6</formula>
    </cfRule>
  </conditionalFormatting>
  <conditionalFormatting sqref="G60">
    <cfRule type="expression" dxfId="8" priority="7">
      <formula>G60=""</formula>
    </cfRule>
    <cfRule type="expression" dxfId="7" priority="8">
      <formula>G60&lt;F60</formula>
    </cfRule>
    <cfRule type="expression" dxfId="6" priority="9">
      <formula>G60&gt;=F60</formula>
    </cfRule>
  </conditionalFormatting>
  <conditionalFormatting sqref="H60">
    <cfRule type="expression" dxfId="5" priority="4">
      <formula>H60=""</formula>
    </cfRule>
    <cfRule type="expression" dxfId="4" priority="5">
      <formula>H60&lt;F60</formula>
    </cfRule>
    <cfRule type="expression" dxfId="3" priority="6">
      <formula>H60&gt;=F60</formula>
    </cfRule>
  </conditionalFormatting>
  <conditionalFormatting sqref="I60">
    <cfRule type="expression" dxfId="2" priority="1">
      <formula>I60=""</formula>
    </cfRule>
    <cfRule type="expression" dxfId="1" priority="2">
      <formula>I60&lt;G60</formula>
    </cfRule>
    <cfRule type="expression" dxfId="0" priority="3">
      <formula>I60&gt;=G60</formula>
    </cfRule>
  </conditionalFormatting>
  <pageMargins left="0.7" right="0.7" top="0.75" bottom="0.75" header="0.3" footer="0.3"/>
  <pageSetup paperSize="9" orientation="portrait" r:id="rId1"/>
  <ignoredErrors>
    <ignoredError sqref="AD11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1:L23"/>
  <sheetViews>
    <sheetView tabSelected="1" zoomScale="115" zoomScaleNormal="115" workbookViewId="0">
      <pane ySplit="3" topLeftCell="A4" activePane="bottomLeft" state="frozen"/>
      <selection pane="bottomLeft" activeCell="L13" sqref="L13"/>
    </sheetView>
  </sheetViews>
  <sheetFormatPr baseColWidth="10" defaultColWidth="10.7265625" defaultRowHeight="14.5" x14ac:dyDescent="0.35"/>
  <cols>
    <col min="1" max="1" width="29.1796875" bestFit="1" customWidth="1"/>
    <col min="2" max="2" width="14" bestFit="1" customWidth="1"/>
    <col min="3" max="3" width="12.26953125" customWidth="1"/>
    <col min="4" max="5" width="15.1796875" bestFit="1" customWidth="1"/>
    <col min="7" max="7" width="11.7265625" bestFit="1" customWidth="1"/>
    <col min="8" max="8" width="8.7265625" customWidth="1"/>
    <col min="10" max="10" width="10.26953125" customWidth="1"/>
    <col min="11" max="11" width="16.26953125" customWidth="1"/>
    <col min="12" max="12" width="6" customWidth="1"/>
  </cols>
  <sheetData>
    <row r="1" spans="1:12" ht="15" thickBot="1" x14ac:dyDescent="0.4">
      <c r="A1" s="303" t="s">
        <v>129</v>
      </c>
      <c r="B1" s="303" t="s">
        <v>182</v>
      </c>
      <c r="C1" s="303" t="s">
        <v>181</v>
      </c>
      <c r="D1" s="303" t="s">
        <v>183</v>
      </c>
      <c r="E1" s="303" t="s">
        <v>184</v>
      </c>
      <c r="F1" s="303" t="s">
        <v>185</v>
      </c>
      <c r="G1" s="303" t="s">
        <v>186</v>
      </c>
      <c r="H1" s="303" t="s">
        <v>187</v>
      </c>
      <c r="I1" s="303" t="s">
        <v>188</v>
      </c>
      <c r="J1" s="303" t="s">
        <v>189</v>
      </c>
      <c r="K1" s="303" t="s">
        <v>175</v>
      </c>
    </row>
    <row r="2" spans="1:12" ht="40.5" customHeight="1" thickBot="1" x14ac:dyDescent="0.4">
      <c r="A2" s="301"/>
      <c r="B2" s="205"/>
      <c r="C2" s="206"/>
      <c r="D2" s="206"/>
      <c r="E2" s="205" t="s">
        <v>176</v>
      </c>
      <c r="F2" s="206"/>
      <c r="G2" s="205" t="s">
        <v>177</v>
      </c>
      <c r="H2" s="302" t="s">
        <v>178</v>
      </c>
      <c r="I2" s="278" t="s">
        <v>216</v>
      </c>
      <c r="J2" s="278" t="s">
        <v>180</v>
      </c>
      <c r="K2" s="205" t="s">
        <v>179</v>
      </c>
    </row>
    <row r="3" spans="1:12" s="201" customFormat="1" ht="45.75" customHeight="1" thickBot="1" x14ac:dyDescent="0.4">
      <c r="A3" s="301" t="s">
        <v>123</v>
      </c>
      <c r="B3" s="205" t="s">
        <v>124</v>
      </c>
      <c r="C3" s="205" t="s">
        <v>215</v>
      </c>
      <c r="D3" s="206" t="s">
        <v>111</v>
      </c>
      <c r="E3" s="205" t="s">
        <v>125</v>
      </c>
      <c r="F3" s="206" t="s">
        <v>126</v>
      </c>
      <c r="G3" s="205" t="s">
        <v>128</v>
      </c>
      <c r="H3" s="207" t="s">
        <v>127</v>
      </c>
      <c r="I3" s="278" t="s">
        <v>150</v>
      </c>
      <c r="J3" s="278" t="s">
        <v>148</v>
      </c>
      <c r="K3" s="205" t="s">
        <v>139</v>
      </c>
    </row>
    <row r="4" spans="1:12" x14ac:dyDescent="0.35">
      <c r="A4" s="323" t="s">
        <v>223</v>
      </c>
      <c r="B4" s="319">
        <v>10.78</v>
      </c>
      <c r="C4" s="216">
        <v>4</v>
      </c>
      <c r="D4" s="330">
        <f>(E4+I4)/C4</f>
        <v>11.603399999999999</v>
      </c>
      <c r="E4" s="307">
        <f>B4*C4</f>
        <v>43.12</v>
      </c>
      <c r="F4" s="246">
        <f>IF(E4&lt;=800,2,IF(E4&lt;=1500,3.8,(E4-1500)*0.45%+3.8))</f>
        <v>2</v>
      </c>
      <c r="G4" s="307">
        <f>E4+F4</f>
        <v>45.12</v>
      </c>
      <c r="H4" s="320">
        <f>E4*0.03</f>
        <v>1.2935999999999999</v>
      </c>
      <c r="I4" s="217">
        <f>F4+H4</f>
        <v>3.2935999999999996</v>
      </c>
      <c r="J4" s="279">
        <f>I4/K4</f>
        <v>7.0961959425685575E-2</v>
      </c>
      <c r="K4" s="326">
        <f>E4+I4</f>
        <v>46.413599999999995</v>
      </c>
      <c r="L4" s="311">
        <f t="shared" ref="L4:L5" ca="1" si="0">couleur(K4)</f>
        <v>35</v>
      </c>
    </row>
    <row r="5" spans="1:12" x14ac:dyDescent="0.35">
      <c r="A5" s="202"/>
      <c r="B5" s="308"/>
      <c r="C5" s="308"/>
      <c r="D5" s="329"/>
      <c r="E5" s="308"/>
      <c r="F5" s="11"/>
      <c r="G5" s="308"/>
      <c r="H5" s="204"/>
      <c r="I5" s="17"/>
      <c r="J5" s="204"/>
      <c r="K5" s="327"/>
      <c r="L5" s="311">
        <f t="shared" ca="1" si="0"/>
        <v>-4142</v>
      </c>
    </row>
    <row r="6" spans="1:12" x14ac:dyDescent="0.35">
      <c r="A6" s="202"/>
      <c r="B6" s="308"/>
      <c r="C6" s="308"/>
      <c r="D6" s="329"/>
      <c r="E6" s="308"/>
      <c r="F6" s="11"/>
      <c r="G6" s="308"/>
      <c r="H6" s="204"/>
      <c r="I6" s="17"/>
      <c r="J6" s="204"/>
      <c r="K6" s="327"/>
      <c r="L6" s="245"/>
    </row>
    <row r="7" spans="1:12" x14ac:dyDescent="0.35">
      <c r="A7" s="202"/>
      <c r="B7" s="308"/>
      <c r="C7" s="308"/>
      <c r="D7" s="329"/>
      <c r="E7" s="308"/>
      <c r="F7" s="11"/>
      <c r="G7" s="308"/>
      <c r="H7" s="204"/>
      <c r="I7" s="17"/>
      <c r="J7" s="204"/>
      <c r="K7" s="327"/>
      <c r="L7" s="245"/>
    </row>
    <row r="8" spans="1:12" x14ac:dyDescent="0.35">
      <c r="A8" s="202"/>
      <c r="B8" s="308"/>
      <c r="C8" s="308"/>
      <c r="D8" s="329"/>
      <c r="E8" s="308"/>
      <c r="F8" s="11"/>
      <c r="G8" s="308"/>
      <c r="H8" s="204"/>
      <c r="I8" s="17"/>
      <c r="J8" s="204"/>
      <c r="K8" s="327"/>
      <c r="L8" s="245"/>
    </row>
    <row r="9" spans="1:12" ht="15" thickBot="1" x14ac:dyDescent="0.4">
      <c r="A9" s="203"/>
      <c r="B9" s="309"/>
      <c r="C9" s="309"/>
      <c r="D9" s="331"/>
      <c r="E9" s="309"/>
      <c r="F9" s="249"/>
      <c r="G9" s="325"/>
      <c r="H9" s="247"/>
      <c r="I9" s="248"/>
      <c r="J9" s="248"/>
      <c r="K9" s="328"/>
    </row>
    <row r="10" spans="1:12" x14ac:dyDescent="0.35">
      <c r="A10" s="11"/>
      <c r="B10" s="310"/>
      <c r="C10" s="310"/>
      <c r="D10" s="310"/>
      <c r="E10" s="310"/>
      <c r="F10" s="304"/>
      <c r="G10" s="305"/>
      <c r="H10" s="305"/>
      <c r="I10" s="306"/>
      <c r="J10" s="306"/>
      <c r="K10" s="310"/>
    </row>
    <row r="13" spans="1:12" x14ac:dyDescent="0.35">
      <c r="F13">
        <f>0.5/100</f>
        <v>5.0000000000000001E-3</v>
      </c>
      <c r="G13">
        <v>0</v>
      </c>
      <c r="H13">
        <f>G13*$F$13</f>
        <v>0</v>
      </c>
    </row>
    <row r="14" spans="1:12" x14ac:dyDescent="0.35">
      <c r="G14">
        <v>10</v>
      </c>
      <c r="H14">
        <f t="shared" ref="H14:H23" si="1">G14*$F$13</f>
        <v>0.05</v>
      </c>
    </row>
    <row r="15" spans="1:12" x14ac:dyDescent="0.35">
      <c r="G15">
        <v>30</v>
      </c>
      <c r="H15">
        <f t="shared" si="1"/>
        <v>0.15</v>
      </c>
    </row>
    <row r="16" spans="1:12" x14ac:dyDescent="0.35">
      <c r="G16">
        <v>100</v>
      </c>
      <c r="H16">
        <f t="shared" si="1"/>
        <v>0.5</v>
      </c>
    </row>
    <row r="17" spans="7:8" x14ac:dyDescent="0.35">
      <c r="G17">
        <v>200</v>
      </c>
      <c r="H17">
        <f t="shared" si="1"/>
        <v>1</v>
      </c>
    </row>
    <row r="18" spans="7:8" x14ac:dyDescent="0.35">
      <c r="G18">
        <v>400</v>
      </c>
      <c r="H18">
        <f t="shared" si="1"/>
        <v>2</v>
      </c>
    </row>
    <row r="19" spans="7:8" x14ac:dyDescent="0.35">
      <c r="G19">
        <v>800</v>
      </c>
      <c r="H19">
        <f t="shared" si="1"/>
        <v>4</v>
      </c>
    </row>
    <row r="21" spans="7:8" x14ac:dyDescent="0.35">
      <c r="G21">
        <v>900</v>
      </c>
      <c r="H21">
        <f t="shared" si="1"/>
        <v>4.5</v>
      </c>
    </row>
    <row r="23" spans="7:8" x14ac:dyDescent="0.35">
      <c r="G23">
        <v>1500</v>
      </c>
      <c r="H23">
        <f t="shared" si="1"/>
        <v>7.5</v>
      </c>
    </row>
  </sheetData>
  <phoneticPr fontId="49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17181A-9E74-4CBE-894B-2934DD5BA0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Divid 2021</vt:lpstr>
      <vt:lpstr>Achat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Administrateur</cp:lastModifiedBy>
  <cp:lastPrinted>2021-11-11T09:20:19Z</cp:lastPrinted>
  <dcterms:created xsi:type="dcterms:W3CDTF">2006-09-16T00:00:00Z</dcterms:created>
  <dcterms:modified xsi:type="dcterms:W3CDTF">2022-05-24T11:21:06Z</dcterms:modified>
</cp:coreProperties>
</file>