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philippe\Documents\Heures JPB\"/>
    </mc:Choice>
  </mc:AlternateContent>
  <xr:revisionPtr revIDLastSave="0" documentId="13_ncr:1_{45B12435-B652-474C-A4A7-1AE27E4CCCEA}" xr6:coauthVersionLast="47" xr6:coauthVersionMax="47" xr10:uidLastSave="{00000000-0000-0000-0000-000000000000}"/>
  <bookViews>
    <workbookView xWindow="-120" yWindow="-120" windowWidth="38640" windowHeight="21240" activeTab="1" xr2:uid="{0FB22351-6A77-47FF-8D25-C4771FA4E61F}"/>
  </bookViews>
  <sheets>
    <sheet name="Poteau" sheetId="1" r:id="rId1"/>
    <sheet name="Traverse" sheetId="6" r:id="rId2"/>
    <sheet name="IMAGES" sheetId="7" r:id="rId3"/>
    <sheet name="Données" sheetId="2" r:id="rId4"/>
  </sheets>
  <definedNames>
    <definedName name="FormePRS">IMAGES!$A$1:$A$4</definedName>
    <definedName name="formesprsimage">IMAGES!$B$1:$B$4</definedName>
    <definedName name="GestionImage1">OFFSET(IMAGES!$B$1,Données!$A$1,0)</definedName>
    <definedName name="_xlnm.Print_Area" localSheetId="0">Poteau!$H$1:$Q$55</definedName>
    <definedName name="_xlnm.Print_Area" localSheetId="1">Traverse!$I$1:$V$31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20" i="6" l="1"/>
  <c r="AB6" i="6"/>
  <c r="AB5" i="6"/>
  <c r="C16" i="6"/>
  <c r="C1" i="2"/>
  <c r="A1" i="2" s="1"/>
  <c r="AA42" i="6" l="1"/>
  <c r="S17" i="6"/>
  <c r="L16" i="6"/>
  <c r="L17" i="6"/>
  <c r="T4" i="6"/>
  <c r="T3" i="6"/>
  <c r="N2" i="6"/>
  <c r="D18" i="6"/>
  <c r="D17" i="6"/>
  <c r="P19" i="6" s="1"/>
  <c r="T8" i="6"/>
  <c r="T7" i="6"/>
  <c r="Q7" i="6"/>
  <c r="AA48" i="6"/>
  <c r="AA47" i="6"/>
  <c r="B49" i="6"/>
  <c r="B48" i="6"/>
  <c r="K14" i="6"/>
  <c r="P10" i="6"/>
  <c r="P11" i="6"/>
  <c r="N21" i="6"/>
  <c r="N20" i="6"/>
  <c r="L4" i="6"/>
  <c r="L3" i="6"/>
  <c r="K10" i="6"/>
  <c r="N3" i="6"/>
  <c r="K8" i="6"/>
  <c r="AA41" i="6"/>
  <c r="AA43" i="6"/>
  <c r="D25" i="6"/>
  <c r="D24" i="6"/>
  <c r="A24" i="6"/>
  <c r="A25" i="6"/>
  <c r="J4" i="6"/>
  <c r="J3" i="6"/>
  <c r="K5" i="6"/>
  <c r="K16" i="6"/>
  <c r="J16" i="6"/>
  <c r="K7" i="6"/>
  <c r="J5" i="6"/>
  <c r="J18" i="6"/>
  <c r="J17" i="6"/>
  <c r="O32" i="1"/>
  <c r="O31" i="1"/>
  <c r="N32" i="1"/>
  <c r="N31" i="1"/>
  <c r="X53" i="1"/>
  <c r="U31" i="1"/>
  <c r="F53" i="1"/>
  <c r="F52" i="1"/>
  <c r="L55" i="1"/>
  <c r="L52" i="1"/>
  <c r="L48" i="1"/>
  <c r="G7" i="2"/>
  <c r="H7" i="2"/>
  <c r="G8" i="2"/>
  <c r="H8" i="2"/>
  <c r="G9" i="2"/>
  <c r="H9" i="2"/>
  <c r="G10" i="2"/>
  <c r="H10" i="2"/>
  <c r="G11" i="2"/>
  <c r="H11" i="2"/>
  <c r="G12" i="2"/>
  <c r="H12" i="2"/>
  <c r="G13" i="2"/>
  <c r="H13" i="2"/>
  <c r="G14" i="2"/>
  <c r="H14" i="2"/>
  <c r="G15" i="2"/>
  <c r="H15" i="2"/>
  <c r="G16" i="2"/>
  <c r="H16" i="2"/>
  <c r="G17" i="2"/>
  <c r="H17" i="2"/>
  <c r="G18" i="2"/>
  <c r="H18" i="2"/>
  <c r="G19" i="2"/>
  <c r="H19" i="2"/>
  <c r="G20" i="2"/>
  <c r="H20" i="2"/>
  <c r="G21" i="2"/>
  <c r="H21" i="2"/>
  <c r="G22" i="2"/>
  <c r="H22" i="2"/>
  <c r="G6" i="2"/>
  <c r="L20" i="1"/>
  <c r="H6" i="2"/>
  <c r="K52" i="1"/>
  <c r="P34" i="1"/>
  <c r="O44" i="1"/>
  <c r="V8" i="1"/>
  <c r="I45" i="1"/>
  <c r="X52" i="1"/>
  <c r="I20" i="1"/>
  <c r="Z28" i="6"/>
  <c r="M4" i="1"/>
  <c r="I21" i="1" l="1"/>
  <c r="F51" i="1"/>
  <c r="K55" i="1" s="1"/>
  <c r="L10" i="1"/>
  <c r="S12" i="6"/>
  <c r="M12" i="6"/>
  <c r="F16" i="6"/>
  <c r="K18" i="6"/>
  <c r="T19" i="6"/>
  <c r="T18" i="6"/>
  <c r="K17" i="6"/>
  <c r="K28" i="1"/>
  <c r="L14" i="1"/>
  <c r="Q4" i="1"/>
  <c r="P4" i="1"/>
  <c r="P5" i="1"/>
  <c r="Q5" i="1"/>
  <c r="Q6" i="1"/>
  <c r="P3" i="1"/>
  <c r="Q3" i="1"/>
  <c r="O51" i="1"/>
  <c r="O52" i="1"/>
  <c r="I8" i="1"/>
  <c r="I9" i="1"/>
  <c r="I3" i="1"/>
  <c r="I22" i="1" s="1"/>
  <c r="V8" i="6"/>
  <c r="I8" i="6"/>
  <c r="P14" i="6"/>
  <c r="U20" i="6" l="1"/>
  <c r="U19" i="6"/>
  <c r="V16" i="6"/>
  <c r="U16" i="6"/>
  <c r="T14" i="6"/>
  <c r="V14" i="6"/>
  <c r="T6" i="6"/>
  <c r="L30" i="6"/>
  <c r="L31" i="6"/>
  <c r="L25" i="6"/>
  <c r="AA46" i="6"/>
  <c r="U4" i="6"/>
  <c r="U3" i="6"/>
  <c r="K21" i="6"/>
  <c r="J20" i="6"/>
  <c r="U5" i="6"/>
  <c r="S4" i="6"/>
  <c r="S3" i="6"/>
  <c r="Q16" i="6" l="1"/>
  <c r="Q11" i="6"/>
  <c r="V11" i="6"/>
  <c r="I11" i="6"/>
  <c r="Z30" i="6"/>
  <c r="Q17" i="6" s="1"/>
  <c r="N11" i="6" l="1"/>
  <c r="U11" i="6"/>
  <c r="J11" i="6"/>
  <c r="A22" i="6"/>
  <c r="E15" i="6"/>
  <c r="A15" i="6"/>
  <c r="A21" i="6"/>
  <c r="S16" i="6"/>
  <c r="O11" i="6"/>
  <c r="AB21" i="6"/>
  <c r="AB20" i="6"/>
  <c r="K12" i="6"/>
  <c r="A16" i="6"/>
  <c r="N1" i="6"/>
  <c r="E16" i="6"/>
  <c r="AB8" i="6" l="1"/>
  <c r="N15" i="6" s="1"/>
  <c r="P3" i="6"/>
  <c r="P4" i="6"/>
  <c r="AB22" i="6"/>
  <c r="T10" i="6"/>
  <c r="AB11" i="6"/>
  <c r="P18" i="6" l="1"/>
  <c r="P17" i="6"/>
  <c r="N16" i="6"/>
  <c r="G45" i="6"/>
  <c r="G44" i="6"/>
  <c r="F38" i="6"/>
  <c r="G35" i="6"/>
  <c r="G34" i="6"/>
  <c r="G32" i="6"/>
  <c r="G31" i="6"/>
  <c r="B7" i="6"/>
  <c r="L29" i="6" s="1"/>
  <c r="B6" i="6"/>
  <c r="L28" i="6" s="1"/>
  <c r="B5" i="6"/>
  <c r="L27" i="6" s="1"/>
  <c r="B4" i="6"/>
  <c r="L26" i="6" s="1"/>
  <c r="AB12" i="6" l="1"/>
  <c r="Q6" i="6" s="1"/>
  <c r="AB9" i="6"/>
  <c r="N6" i="6" s="1"/>
  <c r="N5" i="6"/>
  <c r="Q5" i="6"/>
  <c r="AB34" i="6"/>
  <c r="AB33" i="6"/>
  <c r="N18" i="6" s="1"/>
  <c r="F19" i="1"/>
  <c r="Q7" i="1" s="1"/>
  <c r="T15" i="6" l="1"/>
  <c r="T16" i="6"/>
  <c r="D27" i="6" s="1"/>
  <c r="N17" i="6"/>
  <c r="U14" i="1"/>
  <c r="N51" i="1"/>
  <c r="P5" i="2"/>
  <c r="N52" i="1" s="1"/>
  <c r="I52" i="1" s="1"/>
  <c r="I51" i="1"/>
  <c r="E4" i="1"/>
  <c r="V13" i="1"/>
  <c r="I37" i="1"/>
  <c r="K48" i="1"/>
  <c r="L51" i="1"/>
  <c r="V10" i="1"/>
  <c r="V9" i="1"/>
  <c r="AD9" i="1"/>
  <c r="K36" i="1"/>
  <c r="K32" i="1"/>
  <c r="L4" i="1"/>
  <c r="V15" i="1" l="1"/>
  <c r="I39" i="1" s="1"/>
  <c r="V14" i="1"/>
  <c r="N20" i="1"/>
  <c r="N21" i="1"/>
  <c r="Q27" i="6"/>
  <c r="B19" i="1"/>
  <c r="P7" i="1" s="1"/>
  <c r="L2" i="1"/>
  <c r="L3" i="1"/>
  <c r="E5" i="1"/>
  <c r="L7" i="1"/>
  <c r="M5" i="1"/>
  <c r="N15" i="1"/>
  <c r="D19" i="1"/>
  <c r="C19" i="1"/>
  <c r="D16" i="1"/>
  <c r="B18" i="1"/>
  <c r="P6" i="1" s="1"/>
  <c r="D17" i="1"/>
  <c r="L23" i="1"/>
  <c r="C15" i="1"/>
  <c r="A15" i="1"/>
  <c r="O3" i="1" s="1"/>
  <c r="A14" i="1"/>
  <c r="E10" i="1"/>
  <c r="AD3" i="1"/>
  <c r="H26" i="1" l="1"/>
  <c r="V11" i="1"/>
  <c r="V12" i="1"/>
  <c r="W49" i="1"/>
  <c r="U49" i="1" s="1"/>
  <c r="H31" i="1" s="1"/>
  <c r="I46" i="1"/>
  <c r="L29" i="1"/>
  <c r="K40" i="1"/>
  <c r="W42" i="1"/>
  <c r="L25" i="1" s="1"/>
  <c r="I42" i="1"/>
  <c r="H30" i="1"/>
  <c r="U41" i="1"/>
  <c r="U47" i="1"/>
  <c r="I38" i="1"/>
  <c r="W32" i="1"/>
  <c r="U32" i="1" s="1"/>
  <c r="L32" i="1" s="1"/>
  <c r="W33" i="1"/>
  <c r="U33" i="1" s="1"/>
  <c r="L36" i="1" s="1"/>
  <c r="N47" i="1"/>
  <c r="N44" i="1"/>
  <c r="D29" i="6"/>
  <c r="Q29" i="6" s="1"/>
  <c r="N46" i="1"/>
  <c r="N43" i="1"/>
  <c r="B7" i="1"/>
  <c r="I7" i="1" s="1"/>
  <c r="B6" i="1"/>
  <c r="I6" i="1" s="1"/>
  <c r="B5" i="1"/>
  <c r="I5" i="1" s="1"/>
  <c r="B4" i="1"/>
  <c r="I4" i="1" s="1"/>
  <c r="K38" i="1" l="1"/>
  <c r="U42" i="1"/>
  <c r="I40" i="1" s="1"/>
  <c r="I43" i="1"/>
  <c r="L34" i="1"/>
  <c r="L31" i="1"/>
  <c r="I27" i="1" l="1"/>
  <c r="D33" i="1" l="1"/>
  <c r="D35" i="1" s="1"/>
  <c r="Q41" i="1" s="1"/>
  <c r="Q39" i="1" l="1"/>
</calcChain>
</file>

<file path=xl/sharedStrings.xml><?xml version="1.0" encoding="utf-8"?>
<sst xmlns="http://schemas.openxmlformats.org/spreadsheetml/2006/main" count="195" uniqueCount="136">
  <si>
    <t>Longueur PRS =</t>
  </si>
  <si>
    <t>Débit Ailes =</t>
  </si>
  <si>
    <t>Débit Ame =</t>
  </si>
  <si>
    <t>Robot =</t>
  </si>
  <si>
    <t>Perçage Platine =</t>
  </si>
  <si>
    <t>Perçage PRS =</t>
  </si>
  <si>
    <t>Sous Elements =</t>
  </si>
  <si>
    <t>Métré d'un PRS</t>
  </si>
  <si>
    <t>PRS Inertie Variable :</t>
  </si>
  <si>
    <t>Oui</t>
  </si>
  <si>
    <t xml:space="preserve">Liste : </t>
  </si>
  <si>
    <t>Non</t>
  </si>
  <si>
    <t>Nota : 0 = Oui / 1 = Non</t>
  </si>
  <si>
    <t>Platine Pied Centrée :</t>
  </si>
  <si>
    <t>Baionette</t>
  </si>
  <si>
    <t>Ame renforcée</t>
  </si>
  <si>
    <t>Epaisseur :</t>
  </si>
  <si>
    <t>Raidisseur bas Horiz. :</t>
  </si>
  <si>
    <t>Raidisseur bas Biais :</t>
  </si>
  <si>
    <t>Raidisseur bas Vert. :</t>
  </si>
  <si>
    <t>Console Pont Rolant. :</t>
  </si>
  <si>
    <t>Console section :</t>
  </si>
  <si>
    <t>IPE300</t>
  </si>
  <si>
    <t>IPE330</t>
  </si>
  <si>
    <t>IPE360</t>
  </si>
  <si>
    <t>IPE400</t>
  </si>
  <si>
    <t>IPE450</t>
  </si>
  <si>
    <t>IPE500</t>
  </si>
  <si>
    <t>IPE550</t>
  </si>
  <si>
    <t>IPE600</t>
  </si>
  <si>
    <t>HEA300</t>
  </si>
  <si>
    <t>HEA320</t>
  </si>
  <si>
    <t>HEA340</t>
  </si>
  <si>
    <t>HEA360</t>
  </si>
  <si>
    <t>HEA400</t>
  </si>
  <si>
    <t>HEA450</t>
  </si>
  <si>
    <t>HEA500</t>
  </si>
  <si>
    <t>HEA550</t>
  </si>
  <si>
    <t>HEA600</t>
  </si>
  <si>
    <t>Dimensions du PRS</t>
  </si>
  <si>
    <t>Ep. Ame =</t>
  </si>
  <si>
    <t>Largeur Aile int =</t>
  </si>
  <si>
    <t>Ep. Aile =</t>
  </si>
  <si>
    <t>Longueur Aile Int =</t>
  </si>
  <si>
    <t>Largeur Aile ext =</t>
  </si>
  <si>
    <t>Longueur Aile ext =</t>
  </si>
  <si>
    <t>Largeur platine enc. =</t>
  </si>
  <si>
    <t>Longueur platine enc. =</t>
  </si>
  <si>
    <t>Largeur Ame renf. =</t>
  </si>
  <si>
    <t>Raidisseur en tête :</t>
  </si>
  <si>
    <t>Baionette section :</t>
  </si>
  <si>
    <t>IPE100</t>
  </si>
  <si>
    <t>IPE120</t>
  </si>
  <si>
    <t>IPE140</t>
  </si>
  <si>
    <t>IPE160</t>
  </si>
  <si>
    <t>IPE180</t>
  </si>
  <si>
    <t>IPE200</t>
  </si>
  <si>
    <t>IPE220</t>
  </si>
  <si>
    <t>IPE240</t>
  </si>
  <si>
    <t>HEA100</t>
  </si>
  <si>
    <t>HEA120</t>
  </si>
  <si>
    <t>HEA140</t>
  </si>
  <si>
    <t>HEA160</t>
  </si>
  <si>
    <t>HEA180</t>
  </si>
  <si>
    <t>HEA200</t>
  </si>
  <si>
    <t>HEA220</t>
  </si>
  <si>
    <t>HEA240</t>
  </si>
  <si>
    <t>TC100</t>
  </si>
  <si>
    <t>TC80</t>
  </si>
  <si>
    <t>TC120</t>
  </si>
  <si>
    <t>TC140</t>
  </si>
  <si>
    <t>TC160</t>
  </si>
  <si>
    <t>TC150</t>
  </si>
  <si>
    <t>TC180</t>
  </si>
  <si>
    <t>TC200</t>
  </si>
  <si>
    <t>Platine :</t>
  </si>
  <si>
    <t>Raidisseur :</t>
  </si>
  <si>
    <t>Raidisseur soudure</t>
  </si>
  <si>
    <t>Ht raid. :</t>
  </si>
  <si>
    <t>Lg raidisseur biais</t>
  </si>
  <si>
    <t>Totale Longueur soudure :</t>
  </si>
  <si>
    <t>Totale Temps soudure :</t>
  </si>
  <si>
    <t>Forme PRS :</t>
  </si>
  <si>
    <t>Raidisseur platine pied :</t>
  </si>
  <si>
    <t>Raidisseur platine tete dessous :</t>
  </si>
  <si>
    <t>Raidisseur platine tete dessus :</t>
  </si>
  <si>
    <t xml:space="preserve">Aile Int &gt; 6m </t>
  </si>
  <si>
    <t xml:space="preserve">Aile Ext &gt; 6m </t>
  </si>
  <si>
    <t xml:space="preserve">Aile Int &gt; 12m </t>
  </si>
  <si>
    <t>Largeur Aile basse =</t>
  </si>
  <si>
    <t>Largeur Aile haute =</t>
  </si>
  <si>
    <t>Longueur Aile Basse =</t>
  </si>
  <si>
    <t>Longueur Aile haute=</t>
  </si>
  <si>
    <t>Ep platine enc. =</t>
  </si>
  <si>
    <t xml:space="preserve">Aile Ext &gt; 12m </t>
  </si>
  <si>
    <t>Ht Jarret</t>
  </si>
  <si>
    <t>Lg Jarret</t>
  </si>
  <si>
    <t>Lg Aile basse Jarret</t>
  </si>
  <si>
    <t>Nombre de bracon :</t>
  </si>
  <si>
    <t>Nb Bracon</t>
  </si>
  <si>
    <t xml:space="preserve">Ame constante &gt; 6m </t>
  </si>
  <si>
    <t xml:space="preserve">Ame constante &gt; 12m </t>
  </si>
  <si>
    <t>PRS Type 3 : Calcul Hauteur d'âme à 6m :</t>
  </si>
  <si>
    <t>PRS Type 3 : Calcul Hauteur d'âme à 12m :</t>
  </si>
  <si>
    <t>Type 3 :</t>
  </si>
  <si>
    <t xml:space="preserve">lg soudure PLATINE PIED ENCASTREMENT </t>
  </si>
  <si>
    <t>Ame =</t>
  </si>
  <si>
    <t>Aile basse =</t>
  </si>
  <si>
    <t>(Plat 100 x 100 x 10)</t>
  </si>
  <si>
    <t xml:space="preserve">lg soudure PLATINE TETE ENCASTREMENT </t>
  </si>
  <si>
    <t>Aile haute =</t>
  </si>
  <si>
    <t>Données du PRS</t>
  </si>
  <si>
    <t>Platine Pied :</t>
  </si>
  <si>
    <t>Ame :</t>
  </si>
  <si>
    <t>Aile int :</t>
  </si>
  <si>
    <t>Aile ext :</t>
  </si>
  <si>
    <t>Voile Raidisseur :</t>
  </si>
  <si>
    <t>Chantier :</t>
  </si>
  <si>
    <t xml:space="preserve">Pièce : </t>
  </si>
  <si>
    <t>Prs Droit :</t>
  </si>
  <si>
    <t>Prs Inertie variable :</t>
  </si>
  <si>
    <t>Largeur Rb :</t>
  </si>
  <si>
    <t>Largeur Rh :</t>
  </si>
  <si>
    <t>Continuité Ame 2 :</t>
  </si>
  <si>
    <t>Continuité Ame 1 :</t>
  </si>
  <si>
    <t>Largeur Ame :</t>
  </si>
  <si>
    <t>continuité ame 6M</t>
  </si>
  <si>
    <t>continuité ame 12m</t>
  </si>
  <si>
    <t>Position visuel continuité ame 6m</t>
  </si>
  <si>
    <t>Position visuel continuité ame 12m</t>
  </si>
  <si>
    <t>Ailes renforcée</t>
  </si>
  <si>
    <t>Choix Fome PRS :</t>
  </si>
  <si>
    <t>‪C:\Users\jeanphilippe\PRS _FORME_0.jpg</t>
  </si>
  <si>
    <t>‪C:\Users\jeanphilippe\PRS _FORME_1.jpg</t>
  </si>
  <si>
    <t>‪C:\Users\jeanphilippe\PRS _FORME_2.jpg</t>
  </si>
  <si>
    <t>‪C:\Users\jeanphilippe\PRS _FORME_3.jpg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</si>
</sst>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3" formatCode="_-* #,##0.00_-;\-* #,##0.00_-;_-* &quot;-&quot;??_-;_-@_-"/>
    <numFmt numFmtId="164" formatCode="0&quot;ml&quot;"/>
    <numFmt numFmtId="165" formatCode="0&quot;mm&quot;"/>
    <numFmt numFmtId="166" formatCode="&quot;Lg : &quot;0&quot;mm&quot;"/>
    <numFmt numFmtId="167" formatCode="&quot;Larg : &quot;0&quot;mm&quot;"/>
    <numFmt numFmtId="168" formatCode="&quot;Ep : &quot;0&quot;mm&quot;"/>
    <numFmt numFmtId="169" formatCode="0.0"/>
    <numFmt numFmtId="170" formatCode="0.0&quot;h&quot;"/>
    <numFmt numFmtId="171" formatCode="0.00&quot;ml&quot;"/>
    <numFmt numFmtId="172" formatCode="&quot;Nb : &quot;0&quot;u&quot;"/>
    <numFmt numFmtId="173" formatCode="0&quot; mm&quot;"/>
    <numFmt numFmtId="174" formatCode="&quot;Ep =&quot;0&quot;mm&quot;"/>
    <numFmt numFmtId="175" formatCode="&quot; x &quot;0&quot;mm&quot;"/>
    <numFmt numFmtId="176" formatCode="&quot;Ht Console &quot;0&quot;mm&quot;"/>
    <numFmt numFmtId="177" formatCode="0.00&quot;m&quot;"/>
    <numFmt numFmtId="178" formatCode="0.000"/>
    <numFmt numFmtId="179" formatCode="0.00&quot; ml&quot;"/>
  </numFmts>
  <fonts count="15" x14ac:knownFonts="1">
    <font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4"/>
      <name val="Calibri"/>
      <family val="2"/>
      <scheme val="minor"/>
    </font>
    <font>
      <sz val="9"/>
      <color theme="7"/>
      <name val="Calibri"/>
      <family val="2"/>
      <scheme val="minor"/>
    </font>
    <font>
      <sz val="11"/>
      <color theme="5"/>
      <name val="Calibri"/>
      <family val="2"/>
      <scheme val="minor"/>
    </font>
    <font>
      <sz val="9"/>
      <color rgb="FF7030A0"/>
      <name val="Calibri"/>
      <family val="2"/>
      <scheme val="minor"/>
    </font>
    <font>
      <b/>
      <sz val="11"/>
      <color theme="7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8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165" fontId="1" fillId="0" borderId="0" xfId="0" applyNumberFormat="1" applyFont="1"/>
    <xf numFmtId="1" fontId="1" fillId="0" borderId="0" xfId="0" applyNumberFormat="1" applyFont="1"/>
    <xf numFmtId="165" fontId="1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165" fontId="2" fillId="0" borderId="0" xfId="0" applyNumberFormat="1" applyFont="1"/>
    <xf numFmtId="166" fontId="1" fillId="0" borderId="0" xfId="0" applyNumberFormat="1" applyFont="1"/>
    <xf numFmtId="167" fontId="1" fillId="0" borderId="0" xfId="0" applyNumberFormat="1" applyFont="1"/>
    <xf numFmtId="168" fontId="1" fillId="0" borderId="0" xfId="0" applyNumberFormat="1" applyFont="1"/>
    <xf numFmtId="165" fontId="2" fillId="0" borderId="0" xfId="0" applyNumberFormat="1" applyFont="1" applyAlignment="1">
      <alignment horizontal="left"/>
    </xf>
    <xf numFmtId="0" fontId="0" fillId="0" borderId="0" xfId="0" applyAlignment="1">
      <alignment horizontal="right"/>
    </xf>
    <xf numFmtId="0" fontId="6" fillId="0" borderId="0" xfId="0" applyFont="1" applyAlignment="1">
      <alignment horizontal="right"/>
    </xf>
    <xf numFmtId="1" fontId="0" fillId="0" borderId="0" xfId="0" applyNumberFormat="1"/>
    <xf numFmtId="0" fontId="6" fillId="0" borderId="0" xfId="0" applyFont="1"/>
    <xf numFmtId="169" fontId="1" fillId="0" borderId="0" xfId="0" applyNumberFormat="1" applyFont="1" applyAlignment="1">
      <alignment horizontal="center"/>
    </xf>
    <xf numFmtId="164" fontId="7" fillId="3" borderId="0" xfId="0" applyNumberFormat="1" applyFont="1" applyFill="1" applyAlignment="1">
      <alignment horizontal="center"/>
    </xf>
    <xf numFmtId="170" fontId="7" fillId="2" borderId="0" xfId="0" applyNumberFormat="1" applyFont="1" applyFill="1" applyAlignment="1">
      <alignment horizontal="center"/>
    </xf>
    <xf numFmtId="171" fontId="1" fillId="0" borderId="0" xfId="0" applyNumberFormat="1" applyFont="1" applyAlignment="1">
      <alignment horizontal="center"/>
    </xf>
    <xf numFmtId="43" fontId="1" fillId="0" borderId="0" xfId="1" applyFont="1" applyAlignment="1">
      <alignment horizontal="center" vertical="center"/>
    </xf>
    <xf numFmtId="0" fontId="0" fillId="0" borderId="0" xfId="0" applyAlignment="1">
      <alignment horizontal="left"/>
    </xf>
    <xf numFmtId="172" fontId="6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right"/>
    </xf>
    <xf numFmtId="0" fontId="6" fillId="0" borderId="0" xfId="0" applyFont="1" applyAlignment="1">
      <alignment horizontal="center"/>
    </xf>
    <xf numFmtId="165" fontId="0" fillId="0" borderId="0" xfId="0" applyNumberFormat="1"/>
    <xf numFmtId="173" fontId="0" fillId="0" borderId="0" xfId="0" applyNumberFormat="1"/>
    <xf numFmtId="2" fontId="1" fillId="0" borderId="0" xfId="0" applyNumberFormat="1" applyFont="1" applyAlignment="1">
      <alignment horizontal="center"/>
    </xf>
    <xf numFmtId="2" fontId="0" fillId="0" borderId="0" xfId="0" applyNumberFormat="1"/>
    <xf numFmtId="2" fontId="8" fillId="0" borderId="0" xfId="0" applyNumberFormat="1" applyFont="1"/>
    <xf numFmtId="0" fontId="0" fillId="0" borderId="0" xfId="0" applyFill="1"/>
    <xf numFmtId="0" fontId="0" fillId="0" borderId="0" xfId="0" applyFill="1" applyAlignment="1">
      <alignment horizontal="right"/>
    </xf>
    <xf numFmtId="0" fontId="7" fillId="0" borderId="0" xfId="0" applyFont="1" applyAlignment="1">
      <alignment horizontal="right"/>
    </xf>
    <xf numFmtId="0" fontId="9" fillId="0" borderId="0" xfId="0" applyFont="1"/>
    <xf numFmtId="171" fontId="0" fillId="0" borderId="0" xfId="0" applyNumberFormat="1"/>
    <xf numFmtId="174" fontId="11" fillId="0" borderId="0" xfId="0" applyNumberFormat="1" applyFont="1"/>
    <xf numFmtId="165" fontId="10" fillId="0" borderId="0" xfId="0" applyNumberFormat="1" applyFont="1" applyAlignment="1">
      <alignment horizontal="center"/>
    </xf>
    <xf numFmtId="165" fontId="10" fillId="0" borderId="0" xfId="0" applyNumberFormat="1" applyFont="1" applyAlignment="1">
      <alignment horizontal="right"/>
    </xf>
    <xf numFmtId="165" fontId="10" fillId="0" borderId="0" xfId="0" applyNumberFormat="1" applyFont="1" applyAlignment="1">
      <alignment horizontal="left"/>
    </xf>
    <xf numFmtId="0" fontId="12" fillId="0" borderId="0" xfId="0" applyFont="1"/>
    <xf numFmtId="0" fontId="13" fillId="0" borderId="0" xfId="0" applyFont="1" applyAlignment="1">
      <alignment horizontal="left"/>
    </xf>
    <xf numFmtId="174" fontId="11" fillId="0" borderId="0" xfId="0" applyNumberFormat="1" applyFont="1" applyAlignment="1">
      <alignment horizontal="center"/>
    </xf>
    <xf numFmtId="0" fontId="13" fillId="0" borderId="0" xfId="0" applyFont="1"/>
    <xf numFmtId="0" fontId="13" fillId="0" borderId="0" xfId="0" applyFont="1" applyAlignment="1">
      <alignment horizontal="right"/>
    </xf>
    <xf numFmtId="0" fontId="2" fillId="0" borderId="0" xfId="0" applyFont="1"/>
    <xf numFmtId="0" fontId="9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171" fontId="9" fillId="0" borderId="0" xfId="0" applyNumberFormat="1" applyFont="1"/>
    <xf numFmtId="165" fontId="9" fillId="0" borderId="0" xfId="0" applyNumberFormat="1" applyFont="1"/>
    <xf numFmtId="175" fontId="9" fillId="0" borderId="0" xfId="0" applyNumberFormat="1" applyFon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166" fontId="2" fillId="0" borderId="0" xfId="0" applyNumberFormat="1" applyFont="1" applyAlignment="1"/>
    <xf numFmtId="166" fontId="2" fillId="0" borderId="0" xfId="0" applyNumberFormat="1" applyFont="1" applyAlignment="1">
      <alignment horizontal="right"/>
    </xf>
    <xf numFmtId="0" fontId="4" fillId="0" borderId="0" xfId="0" applyFont="1"/>
    <xf numFmtId="164" fontId="0" fillId="4" borderId="0" xfId="0" applyNumberFormat="1" applyFill="1" applyAlignment="1">
      <alignment horizontal="center"/>
    </xf>
    <xf numFmtId="170" fontId="0" fillId="2" borderId="0" xfId="0" applyNumberFormat="1" applyFill="1" applyAlignment="1">
      <alignment horizontal="center"/>
    </xf>
    <xf numFmtId="0" fontId="0" fillId="0" borderId="0" xfId="0" applyAlignment="1">
      <alignment horizontal="right"/>
    </xf>
    <xf numFmtId="176" fontId="1" fillId="0" borderId="0" xfId="0" applyNumberFormat="1" applyFont="1"/>
    <xf numFmtId="169" fontId="0" fillId="0" borderId="0" xfId="0" applyNumberFormat="1"/>
    <xf numFmtId="178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right"/>
    </xf>
    <xf numFmtId="165" fontId="2" fillId="0" borderId="0" xfId="0" applyNumberFormat="1" applyFont="1" applyAlignment="1"/>
    <xf numFmtId="171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3" fillId="0" borderId="0" xfId="0" applyFont="1" applyAlignment="1">
      <alignment horizontal="center"/>
    </xf>
    <xf numFmtId="0" fontId="0" fillId="0" borderId="0" xfId="0" applyAlignment="1">
      <alignment horizontal="right"/>
    </xf>
    <xf numFmtId="171" fontId="7" fillId="3" borderId="0" xfId="0" applyNumberFormat="1" applyFont="1" applyFill="1" applyAlignment="1">
      <alignment horizontal="center"/>
    </xf>
    <xf numFmtId="179" fontId="2" fillId="0" borderId="0" xfId="0" applyNumberFormat="1" applyFont="1" applyAlignment="1">
      <alignment horizontal="center" vertical="center"/>
    </xf>
    <xf numFmtId="165" fontId="1" fillId="0" borderId="0" xfId="0" applyNumberFormat="1" applyFont="1" applyFill="1" applyAlignment="1">
      <alignment horizontal="center"/>
    </xf>
    <xf numFmtId="174" fontId="11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 vertical="center" textRotation="90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176" fontId="2" fillId="0" borderId="0" xfId="0" applyNumberFormat="1" applyFont="1" applyAlignment="1">
      <alignment horizontal="right"/>
    </xf>
    <xf numFmtId="0" fontId="0" fillId="0" borderId="0" xfId="0" applyAlignment="1">
      <alignment horizontal="center"/>
    </xf>
    <xf numFmtId="165" fontId="2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right"/>
    </xf>
    <xf numFmtId="165" fontId="2" fillId="0" borderId="0" xfId="0" applyNumberFormat="1" applyFont="1" applyAlignment="1">
      <alignment horizontal="center" vertical="center" textRotation="90"/>
    </xf>
    <xf numFmtId="171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left"/>
    </xf>
  </cellXfs>
  <cellStyles count="2">
    <cellStyle name="Milliers" xfId="1" builtinId="3"/>
    <cellStyle name="Normal" xfId="0" builtinId="0"/>
  </cellStyles>
  <dxfs count="50">
    <dxf>
      <font>
        <color rgb="FFC00000"/>
      </font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ont>
        <color rgb="FFC00000"/>
      </font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ont>
        <b val="0"/>
        <i val="0"/>
        <color rgb="FF7030A0"/>
      </font>
    </dxf>
    <dxf>
      <font>
        <color rgb="FFC00000"/>
      </font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57150</xdr:colOff>
      <xdr:row>7</xdr:row>
      <xdr:rowOff>180975</xdr:rowOff>
    </xdr:from>
    <xdr:to>
      <xdr:col>10</xdr:col>
      <xdr:colOff>57150</xdr:colOff>
      <xdr:row>53</xdr:row>
      <xdr:rowOff>19050</xdr:rowOff>
    </xdr:to>
    <xdr:cxnSp macro="">
      <xdr:nvCxnSpPr>
        <xdr:cNvPr id="4" name="Connecteur droit 3">
          <a:extLst>
            <a:ext uri="{FF2B5EF4-FFF2-40B4-BE49-F238E27FC236}">
              <a16:creationId xmlns:a16="http://schemas.microsoft.com/office/drawing/2014/main" id="{3939DD82-ADD2-4083-BF09-6AECF7B5BD43}"/>
            </a:ext>
          </a:extLst>
        </xdr:cNvPr>
        <xdr:cNvCxnSpPr/>
      </xdr:nvCxnSpPr>
      <xdr:spPr>
        <a:xfrm flipV="1">
          <a:off x="5600700" y="1600200"/>
          <a:ext cx="0" cy="6124575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704850</xdr:colOff>
      <xdr:row>20</xdr:row>
      <xdr:rowOff>9525</xdr:rowOff>
    </xdr:from>
    <xdr:to>
      <xdr:col>12</xdr:col>
      <xdr:colOff>704850</xdr:colOff>
      <xdr:row>53</xdr:row>
      <xdr:rowOff>0</xdr:rowOff>
    </xdr:to>
    <xdr:cxnSp macro="">
      <xdr:nvCxnSpPr>
        <xdr:cNvPr id="8" name="Connecteur droit 7" hidden="1">
          <a:extLst>
            <a:ext uri="{FF2B5EF4-FFF2-40B4-BE49-F238E27FC236}">
              <a16:creationId xmlns:a16="http://schemas.microsoft.com/office/drawing/2014/main" id="{4DDE92CB-F6B1-4F5A-BD7E-E16F29EA696E}"/>
            </a:ext>
          </a:extLst>
        </xdr:cNvPr>
        <xdr:cNvCxnSpPr/>
      </xdr:nvCxnSpPr>
      <xdr:spPr>
        <a:xfrm flipV="1">
          <a:off x="7772400" y="3714750"/>
          <a:ext cx="0" cy="3990975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276225</xdr:colOff>
      <xdr:row>19</xdr:row>
      <xdr:rowOff>180975</xdr:rowOff>
    </xdr:from>
    <xdr:to>
      <xdr:col>12</xdr:col>
      <xdr:colOff>714375</xdr:colOff>
      <xdr:row>53</xdr:row>
      <xdr:rowOff>9525</xdr:rowOff>
    </xdr:to>
    <xdr:cxnSp macro="">
      <xdr:nvCxnSpPr>
        <xdr:cNvPr id="10" name="Connecteur droit 9">
          <a:extLst>
            <a:ext uri="{FF2B5EF4-FFF2-40B4-BE49-F238E27FC236}">
              <a16:creationId xmlns:a16="http://schemas.microsoft.com/office/drawing/2014/main" id="{F4FA4B43-6C5A-4B37-ADD0-0C1F8A6CA40C}"/>
            </a:ext>
          </a:extLst>
        </xdr:cNvPr>
        <xdr:cNvCxnSpPr/>
      </xdr:nvCxnSpPr>
      <xdr:spPr>
        <a:xfrm flipV="1">
          <a:off x="6581775" y="3695700"/>
          <a:ext cx="1200150" cy="4019550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53</xdr:row>
      <xdr:rowOff>66675</xdr:rowOff>
    </xdr:from>
    <xdr:to>
      <xdr:col>11</xdr:col>
      <xdr:colOff>333375</xdr:colOff>
      <xdr:row>53</xdr:row>
      <xdr:rowOff>76200</xdr:rowOff>
    </xdr:to>
    <xdr:cxnSp macro="">
      <xdr:nvCxnSpPr>
        <xdr:cNvPr id="12" name="Connecteur droit 11">
          <a:extLst>
            <a:ext uri="{FF2B5EF4-FFF2-40B4-BE49-F238E27FC236}">
              <a16:creationId xmlns:a16="http://schemas.microsoft.com/office/drawing/2014/main" id="{3A39B2E5-D223-44E5-BD28-791263DD5419}"/>
            </a:ext>
          </a:extLst>
        </xdr:cNvPr>
        <xdr:cNvCxnSpPr/>
      </xdr:nvCxnSpPr>
      <xdr:spPr>
        <a:xfrm flipV="1">
          <a:off x="5543550" y="7772400"/>
          <a:ext cx="1095375" cy="9525"/>
        </a:xfrm>
        <a:prstGeom prst="line">
          <a:avLst/>
        </a:prstGeom>
        <a:ln w="10795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</xdr:colOff>
      <xdr:row>53</xdr:row>
      <xdr:rowOff>47625</xdr:rowOff>
    </xdr:from>
    <xdr:to>
      <xdr:col>13</xdr:col>
      <xdr:colOff>0</xdr:colOff>
      <xdr:row>53</xdr:row>
      <xdr:rowOff>47625</xdr:rowOff>
    </xdr:to>
    <xdr:cxnSp macro="">
      <xdr:nvCxnSpPr>
        <xdr:cNvPr id="15" name="Connecteur droit 14" hidden="1">
          <a:extLst>
            <a:ext uri="{FF2B5EF4-FFF2-40B4-BE49-F238E27FC236}">
              <a16:creationId xmlns:a16="http://schemas.microsoft.com/office/drawing/2014/main" id="{A77377B5-BFCC-4318-B0D7-BD87C367AEB0}"/>
            </a:ext>
          </a:extLst>
        </xdr:cNvPr>
        <xdr:cNvCxnSpPr/>
      </xdr:nvCxnSpPr>
      <xdr:spPr>
        <a:xfrm>
          <a:off x="5553075" y="7753350"/>
          <a:ext cx="2276475" cy="0"/>
        </a:xfrm>
        <a:prstGeom prst="line">
          <a:avLst/>
        </a:prstGeom>
        <a:ln w="10795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7</xdr:row>
      <xdr:rowOff>161925</xdr:rowOff>
    </xdr:from>
    <xdr:to>
      <xdr:col>12</xdr:col>
      <xdr:colOff>752475</xdr:colOff>
      <xdr:row>7</xdr:row>
      <xdr:rowOff>180975</xdr:rowOff>
    </xdr:to>
    <xdr:cxnSp macro="">
      <xdr:nvCxnSpPr>
        <xdr:cNvPr id="17" name="Connecteur droit 16">
          <a:extLst>
            <a:ext uri="{FF2B5EF4-FFF2-40B4-BE49-F238E27FC236}">
              <a16:creationId xmlns:a16="http://schemas.microsoft.com/office/drawing/2014/main" id="{FC2B011A-9891-439D-AAA5-7D28F7E0B7CE}"/>
            </a:ext>
          </a:extLst>
        </xdr:cNvPr>
        <xdr:cNvCxnSpPr/>
      </xdr:nvCxnSpPr>
      <xdr:spPr>
        <a:xfrm flipV="1">
          <a:off x="5543550" y="1581150"/>
          <a:ext cx="2276475" cy="19050"/>
        </a:xfrm>
        <a:prstGeom prst="line">
          <a:avLst/>
        </a:prstGeom>
        <a:ln w="10795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695325</xdr:colOff>
      <xdr:row>8</xdr:row>
      <xdr:rowOff>9525</xdr:rowOff>
    </xdr:from>
    <xdr:to>
      <xdr:col>12</xdr:col>
      <xdr:colOff>695325</xdr:colOff>
      <xdr:row>20</xdr:row>
      <xdr:rowOff>0</xdr:rowOff>
    </xdr:to>
    <xdr:cxnSp macro="">
      <xdr:nvCxnSpPr>
        <xdr:cNvPr id="21" name="Connecteur droit 20">
          <a:extLst>
            <a:ext uri="{FF2B5EF4-FFF2-40B4-BE49-F238E27FC236}">
              <a16:creationId xmlns:a16="http://schemas.microsoft.com/office/drawing/2014/main" id="{6606B84D-820D-4185-951A-A7E3A265ECAC}"/>
            </a:ext>
          </a:extLst>
        </xdr:cNvPr>
        <xdr:cNvCxnSpPr/>
      </xdr:nvCxnSpPr>
      <xdr:spPr>
        <a:xfrm flipV="1">
          <a:off x="7762875" y="1619250"/>
          <a:ext cx="0" cy="2085975"/>
        </a:xfrm>
        <a:prstGeom prst="line">
          <a:avLst/>
        </a:prstGeom>
        <a:ln w="152400" cmpd="dbl">
          <a:solidFill>
            <a:schemeClr val="accent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76200</xdr:colOff>
      <xdr:row>20</xdr:row>
      <xdr:rowOff>19050</xdr:rowOff>
    </xdr:from>
    <xdr:to>
      <xdr:col>12</xdr:col>
      <xdr:colOff>657225</xdr:colOff>
      <xdr:row>20</xdr:row>
      <xdr:rowOff>19050</xdr:rowOff>
    </xdr:to>
    <xdr:cxnSp macro="">
      <xdr:nvCxnSpPr>
        <xdr:cNvPr id="28" name="Connecteur droit 27">
          <a:extLst>
            <a:ext uri="{FF2B5EF4-FFF2-40B4-BE49-F238E27FC236}">
              <a16:creationId xmlns:a16="http://schemas.microsoft.com/office/drawing/2014/main" id="{C0C227BB-1070-4C14-9F67-24CE8FF10100}"/>
            </a:ext>
          </a:extLst>
        </xdr:cNvPr>
        <xdr:cNvCxnSpPr/>
      </xdr:nvCxnSpPr>
      <xdr:spPr>
        <a:xfrm>
          <a:off x="5619750" y="3724275"/>
          <a:ext cx="2105025" cy="0"/>
        </a:xfrm>
        <a:prstGeom prst="line">
          <a:avLst/>
        </a:prstGeom>
        <a:ln w="762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561975</xdr:colOff>
      <xdr:row>53</xdr:row>
      <xdr:rowOff>57150</xdr:rowOff>
    </xdr:from>
    <xdr:to>
      <xdr:col>12</xdr:col>
      <xdr:colOff>171450</xdr:colOff>
      <xdr:row>53</xdr:row>
      <xdr:rowOff>57150</xdr:rowOff>
    </xdr:to>
    <xdr:cxnSp macro="">
      <xdr:nvCxnSpPr>
        <xdr:cNvPr id="30" name="Connecteur droit 29" hidden="1">
          <a:extLst>
            <a:ext uri="{FF2B5EF4-FFF2-40B4-BE49-F238E27FC236}">
              <a16:creationId xmlns:a16="http://schemas.microsoft.com/office/drawing/2014/main" id="{63F149BD-1E4B-46F5-A4E4-970E8C5A0A59}"/>
            </a:ext>
          </a:extLst>
        </xdr:cNvPr>
        <xdr:cNvCxnSpPr/>
      </xdr:nvCxnSpPr>
      <xdr:spPr>
        <a:xfrm>
          <a:off x="6105525" y="7762875"/>
          <a:ext cx="1133475" cy="0"/>
        </a:xfrm>
        <a:prstGeom prst="line">
          <a:avLst/>
        </a:prstGeom>
        <a:ln w="10795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</xdr:colOff>
      <xdr:row>53</xdr:row>
      <xdr:rowOff>0</xdr:rowOff>
    </xdr:from>
    <xdr:to>
      <xdr:col>13</xdr:col>
      <xdr:colOff>9525</xdr:colOff>
      <xdr:row>53</xdr:row>
      <xdr:rowOff>9525</xdr:rowOff>
    </xdr:to>
    <xdr:cxnSp macro="">
      <xdr:nvCxnSpPr>
        <xdr:cNvPr id="32" name="Connecteur droit 31" hidden="1">
          <a:extLst>
            <a:ext uri="{FF2B5EF4-FFF2-40B4-BE49-F238E27FC236}">
              <a16:creationId xmlns:a16="http://schemas.microsoft.com/office/drawing/2014/main" id="{526CA8DC-E601-4F59-80F7-679E3BBDA6F2}"/>
            </a:ext>
          </a:extLst>
        </xdr:cNvPr>
        <xdr:cNvCxnSpPr/>
      </xdr:nvCxnSpPr>
      <xdr:spPr>
        <a:xfrm flipV="1">
          <a:off x="5562600" y="7705725"/>
          <a:ext cx="2276475" cy="9525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38100</xdr:colOff>
      <xdr:row>1</xdr:row>
      <xdr:rowOff>47625</xdr:rowOff>
    </xdr:from>
    <xdr:to>
      <xdr:col>10</xdr:col>
      <xdr:colOff>323850</xdr:colOff>
      <xdr:row>7</xdr:row>
      <xdr:rowOff>161925</xdr:rowOff>
    </xdr:to>
    <xdr:sp macro="" textlink="">
      <xdr:nvSpPr>
        <xdr:cNvPr id="40" name="Rectangle 39">
          <a:extLst>
            <a:ext uri="{FF2B5EF4-FFF2-40B4-BE49-F238E27FC236}">
              <a16:creationId xmlns:a16="http://schemas.microsoft.com/office/drawing/2014/main" id="{2CB0960F-F4C0-424C-8352-C2E3D731D5AB}"/>
            </a:ext>
          </a:extLst>
        </xdr:cNvPr>
        <xdr:cNvSpPr/>
      </xdr:nvSpPr>
      <xdr:spPr>
        <a:xfrm>
          <a:off x="5581650" y="371475"/>
          <a:ext cx="285750" cy="1209675"/>
        </a:xfrm>
        <a:prstGeom prst="rect">
          <a:avLst/>
        </a:prstGeom>
        <a:solidFill>
          <a:schemeClr val="bg1"/>
        </a:solidFill>
        <a:ln w="57150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95250</xdr:colOff>
      <xdr:row>20</xdr:row>
      <xdr:rowOff>133350</xdr:rowOff>
    </xdr:from>
    <xdr:to>
      <xdr:col>12</xdr:col>
      <xdr:colOff>676275</xdr:colOff>
      <xdr:row>20</xdr:row>
      <xdr:rowOff>133350</xdr:rowOff>
    </xdr:to>
    <xdr:cxnSp macro="">
      <xdr:nvCxnSpPr>
        <xdr:cNvPr id="41" name="Connecteur droit 40">
          <a:extLst>
            <a:ext uri="{FF2B5EF4-FFF2-40B4-BE49-F238E27FC236}">
              <a16:creationId xmlns:a16="http://schemas.microsoft.com/office/drawing/2014/main" id="{18FA348D-DB4F-4F15-803F-EC4C8F9DE1FA}"/>
            </a:ext>
          </a:extLst>
        </xdr:cNvPr>
        <xdr:cNvCxnSpPr/>
      </xdr:nvCxnSpPr>
      <xdr:spPr>
        <a:xfrm>
          <a:off x="5638800" y="3838575"/>
          <a:ext cx="2105025" cy="0"/>
        </a:xfrm>
        <a:prstGeom prst="line">
          <a:avLst/>
        </a:prstGeom>
        <a:ln w="76200" cmpd="sng">
          <a:solidFill>
            <a:schemeClr val="accent2"/>
          </a:solidFill>
          <a:prstDash val="sysDash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76200</xdr:colOff>
      <xdr:row>49</xdr:row>
      <xdr:rowOff>19050</xdr:rowOff>
    </xdr:from>
    <xdr:to>
      <xdr:col>12</xdr:col>
      <xdr:colOff>657225</xdr:colOff>
      <xdr:row>49</xdr:row>
      <xdr:rowOff>19050</xdr:rowOff>
    </xdr:to>
    <xdr:cxnSp macro="">
      <xdr:nvCxnSpPr>
        <xdr:cNvPr id="14" name="Connecteur droit 13" hidden="1">
          <a:extLst>
            <a:ext uri="{FF2B5EF4-FFF2-40B4-BE49-F238E27FC236}">
              <a16:creationId xmlns:a16="http://schemas.microsoft.com/office/drawing/2014/main" id="{EF1CD0EE-0967-435E-8592-37F85E415B5B}"/>
            </a:ext>
          </a:extLst>
        </xdr:cNvPr>
        <xdr:cNvCxnSpPr/>
      </xdr:nvCxnSpPr>
      <xdr:spPr>
        <a:xfrm>
          <a:off x="6381750" y="6962775"/>
          <a:ext cx="2105025" cy="0"/>
        </a:xfrm>
        <a:prstGeom prst="line">
          <a:avLst/>
        </a:prstGeom>
        <a:ln w="762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133350</xdr:colOff>
      <xdr:row>49</xdr:row>
      <xdr:rowOff>76200</xdr:rowOff>
    </xdr:from>
    <xdr:to>
      <xdr:col>10</xdr:col>
      <xdr:colOff>590550</xdr:colOff>
      <xdr:row>52</xdr:row>
      <xdr:rowOff>171450</xdr:rowOff>
    </xdr:to>
    <xdr:cxnSp macro="">
      <xdr:nvCxnSpPr>
        <xdr:cNvPr id="16" name="Connecteur droit 15" hidden="1">
          <a:extLst>
            <a:ext uri="{FF2B5EF4-FFF2-40B4-BE49-F238E27FC236}">
              <a16:creationId xmlns:a16="http://schemas.microsoft.com/office/drawing/2014/main" id="{7696C97C-8978-4BA9-A470-5D52DBE5A7F0}"/>
            </a:ext>
          </a:extLst>
        </xdr:cNvPr>
        <xdr:cNvCxnSpPr/>
      </xdr:nvCxnSpPr>
      <xdr:spPr>
        <a:xfrm>
          <a:off x="6438900" y="7019925"/>
          <a:ext cx="457200" cy="666750"/>
        </a:xfrm>
        <a:prstGeom prst="line">
          <a:avLst/>
        </a:prstGeom>
        <a:ln w="762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142875</xdr:colOff>
      <xdr:row>49</xdr:row>
      <xdr:rowOff>38100</xdr:rowOff>
    </xdr:from>
    <xdr:to>
      <xdr:col>12</xdr:col>
      <xdr:colOff>619125</xdr:colOff>
      <xdr:row>52</xdr:row>
      <xdr:rowOff>161925</xdr:rowOff>
    </xdr:to>
    <xdr:cxnSp macro="">
      <xdr:nvCxnSpPr>
        <xdr:cNvPr id="18" name="Connecteur droit 17" hidden="1">
          <a:extLst>
            <a:ext uri="{FF2B5EF4-FFF2-40B4-BE49-F238E27FC236}">
              <a16:creationId xmlns:a16="http://schemas.microsoft.com/office/drawing/2014/main" id="{5D84A769-E8B8-47C9-8E85-4F089FC03A85}"/>
            </a:ext>
          </a:extLst>
        </xdr:cNvPr>
        <xdr:cNvCxnSpPr/>
      </xdr:nvCxnSpPr>
      <xdr:spPr>
        <a:xfrm flipH="1">
          <a:off x="7972425" y="6981825"/>
          <a:ext cx="476250" cy="695325"/>
        </a:xfrm>
        <a:prstGeom prst="line">
          <a:avLst/>
        </a:prstGeom>
        <a:ln w="762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638175</xdr:colOff>
      <xdr:row>49</xdr:row>
      <xdr:rowOff>66675</xdr:rowOff>
    </xdr:from>
    <xdr:to>
      <xdr:col>10</xdr:col>
      <xdr:colOff>638175</xdr:colOff>
      <xdr:row>53</xdr:row>
      <xdr:rowOff>28575</xdr:rowOff>
    </xdr:to>
    <xdr:cxnSp macro="">
      <xdr:nvCxnSpPr>
        <xdr:cNvPr id="22" name="Connecteur droit 21" hidden="1">
          <a:extLst>
            <a:ext uri="{FF2B5EF4-FFF2-40B4-BE49-F238E27FC236}">
              <a16:creationId xmlns:a16="http://schemas.microsoft.com/office/drawing/2014/main" id="{C8CB50E8-9844-464F-9641-F0266F2E44FA}"/>
            </a:ext>
          </a:extLst>
        </xdr:cNvPr>
        <xdr:cNvCxnSpPr/>
      </xdr:nvCxnSpPr>
      <xdr:spPr>
        <a:xfrm>
          <a:off x="6943725" y="7010400"/>
          <a:ext cx="0" cy="723900"/>
        </a:xfrm>
        <a:prstGeom prst="line">
          <a:avLst/>
        </a:prstGeom>
        <a:ln w="762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123825</xdr:colOff>
      <xdr:row>49</xdr:row>
      <xdr:rowOff>66675</xdr:rowOff>
    </xdr:from>
    <xdr:to>
      <xdr:col>12</xdr:col>
      <xdr:colOff>123825</xdr:colOff>
      <xdr:row>53</xdr:row>
      <xdr:rowOff>28575</xdr:rowOff>
    </xdr:to>
    <xdr:cxnSp macro="">
      <xdr:nvCxnSpPr>
        <xdr:cNvPr id="24" name="Connecteur droit 23" hidden="1">
          <a:extLst>
            <a:ext uri="{FF2B5EF4-FFF2-40B4-BE49-F238E27FC236}">
              <a16:creationId xmlns:a16="http://schemas.microsoft.com/office/drawing/2014/main" id="{499C0CF7-BAC9-465D-9069-26039E2D4AD4}"/>
            </a:ext>
          </a:extLst>
        </xdr:cNvPr>
        <xdr:cNvCxnSpPr/>
      </xdr:nvCxnSpPr>
      <xdr:spPr>
        <a:xfrm>
          <a:off x="7953375" y="7010400"/>
          <a:ext cx="0" cy="723900"/>
        </a:xfrm>
        <a:prstGeom prst="line">
          <a:avLst/>
        </a:prstGeom>
        <a:ln w="762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742950</xdr:colOff>
      <xdr:row>35</xdr:row>
      <xdr:rowOff>9525</xdr:rowOff>
    </xdr:from>
    <xdr:to>
      <xdr:col>14</xdr:col>
      <xdr:colOff>209550</xdr:colOff>
      <xdr:row>35</xdr:row>
      <xdr:rowOff>9525</xdr:rowOff>
    </xdr:to>
    <xdr:cxnSp macro="">
      <xdr:nvCxnSpPr>
        <xdr:cNvPr id="29" name="Connecteur droit 28" hidden="1">
          <a:extLst>
            <a:ext uri="{FF2B5EF4-FFF2-40B4-BE49-F238E27FC236}">
              <a16:creationId xmlns:a16="http://schemas.microsoft.com/office/drawing/2014/main" id="{A16A4687-F144-4553-B61A-C0A79E4F48BC}"/>
            </a:ext>
          </a:extLst>
        </xdr:cNvPr>
        <xdr:cNvCxnSpPr/>
      </xdr:nvCxnSpPr>
      <xdr:spPr>
        <a:xfrm flipH="1">
          <a:off x="8572500" y="5429250"/>
          <a:ext cx="990600" cy="0"/>
        </a:xfrm>
        <a:prstGeom prst="line">
          <a:avLst/>
        </a:prstGeom>
        <a:ln w="7620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745148</xdr:colOff>
      <xdr:row>32</xdr:row>
      <xdr:rowOff>36634</xdr:rowOff>
    </xdr:from>
    <xdr:to>
      <xdr:col>14</xdr:col>
      <xdr:colOff>205154</xdr:colOff>
      <xdr:row>32</xdr:row>
      <xdr:rowOff>38100</xdr:rowOff>
    </xdr:to>
    <xdr:cxnSp macro="">
      <xdr:nvCxnSpPr>
        <xdr:cNvPr id="31" name="Connecteur droit 30" hidden="1">
          <a:extLst>
            <a:ext uri="{FF2B5EF4-FFF2-40B4-BE49-F238E27FC236}">
              <a16:creationId xmlns:a16="http://schemas.microsoft.com/office/drawing/2014/main" id="{56415367-41FC-444A-B285-DBB61DCD414F}"/>
            </a:ext>
          </a:extLst>
        </xdr:cNvPr>
        <xdr:cNvCxnSpPr/>
      </xdr:nvCxnSpPr>
      <xdr:spPr>
        <a:xfrm flipH="1">
          <a:off x="9405571" y="5128846"/>
          <a:ext cx="984006" cy="1466"/>
        </a:xfrm>
        <a:prstGeom prst="line">
          <a:avLst/>
        </a:prstGeom>
        <a:ln w="7620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200025</xdr:colOff>
      <xdr:row>32</xdr:row>
      <xdr:rowOff>9525</xdr:rowOff>
    </xdr:from>
    <xdr:to>
      <xdr:col>14</xdr:col>
      <xdr:colOff>200025</xdr:colOff>
      <xdr:row>35</xdr:row>
      <xdr:rowOff>38100</xdr:rowOff>
    </xdr:to>
    <xdr:cxnSp macro="">
      <xdr:nvCxnSpPr>
        <xdr:cNvPr id="33" name="Connecteur droit 32" hidden="1">
          <a:extLst>
            <a:ext uri="{FF2B5EF4-FFF2-40B4-BE49-F238E27FC236}">
              <a16:creationId xmlns:a16="http://schemas.microsoft.com/office/drawing/2014/main" id="{20980E4A-4540-4520-BB0B-D7ECF418F076}"/>
            </a:ext>
          </a:extLst>
        </xdr:cNvPr>
        <xdr:cNvCxnSpPr/>
      </xdr:nvCxnSpPr>
      <xdr:spPr>
        <a:xfrm flipV="1">
          <a:off x="9553575" y="4857750"/>
          <a:ext cx="0" cy="600075"/>
        </a:xfrm>
        <a:prstGeom prst="line">
          <a:avLst/>
        </a:prstGeom>
        <a:ln w="254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685800</xdr:colOff>
      <xdr:row>32</xdr:row>
      <xdr:rowOff>47625</xdr:rowOff>
    </xdr:from>
    <xdr:to>
      <xdr:col>13</xdr:col>
      <xdr:colOff>685800</xdr:colOff>
      <xdr:row>34</xdr:row>
      <xdr:rowOff>161925</xdr:rowOff>
    </xdr:to>
    <xdr:cxnSp macro="">
      <xdr:nvCxnSpPr>
        <xdr:cNvPr id="35" name="Connecteur droit 34" hidden="1">
          <a:extLst>
            <a:ext uri="{FF2B5EF4-FFF2-40B4-BE49-F238E27FC236}">
              <a16:creationId xmlns:a16="http://schemas.microsoft.com/office/drawing/2014/main" id="{069E31A8-5EFF-44E3-9141-FC3A2461F6E4}"/>
            </a:ext>
          </a:extLst>
        </xdr:cNvPr>
        <xdr:cNvCxnSpPr/>
      </xdr:nvCxnSpPr>
      <xdr:spPr>
        <a:xfrm flipV="1">
          <a:off x="9277350" y="4895850"/>
          <a:ext cx="0" cy="495300"/>
        </a:xfrm>
        <a:prstGeom prst="line">
          <a:avLst/>
        </a:prstGeom>
        <a:ln w="508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104775</xdr:colOff>
      <xdr:row>32</xdr:row>
      <xdr:rowOff>47625</xdr:rowOff>
    </xdr:from>
    <xdr:to>
      <xdr:col>12</xdr:col>
      <xdr:colOff>657225</xdr:colOff>
      <xdr:row>32</xdr:row>
      <xdr:rowOff>47625</xdr:rowOff>
    </xdr:to>
    <xdr:cxnSp macro="">
      <xdr:nvCxnSpPr>
        <xdr:cNvPr id="38" name="Connecteur droit 37" hidden="1">
          <a:extLst>
            <a:ext uri="{FF2B5EF4-FFF2-40B4-BE49-F238E27FC236}">
              <a16:creationId xmlns:a16="http://schemas.microsoft.com/office/drawing/2014/main" id="{4DCB0465-DC95-4D7C-AF70-E190984F4AC1}"/>
            </a:ext>
          </a:extLst>
        </xdr:cNvPr>
        <xdr:cNvCxnSpPr/>
      </xdr:nvCxnSpPr>
      <xdr:spPr>
        <a:xfrm>
          <a:off x="7241198" y="5139837"/>
          <a:ext cx="2076450" cy="0"/>
        </a:xfrm>
        <a:prstGeom prst="line">
          <a:avLst/>
        </a:prstGeom>
        <a:ln w="762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95250</xdr:colOff>
      <xdr:row>34</xdr:row>
      <xdr:rowOff>185371</xdr:rowOff>
    </xdr:from>
    <xdr:to>
      <xdr:col>12</xdr:col>
      <xdr:colOff>666750</xdr:colOff>
      <xdr:row>34</xdr:row>
      <xdr:rowOff>185371</xdr:rowOff>
    </xdr:to>
    <xdr:cxnSp macro="">
      <xdr:nvCxnSpPr>
        <xdr:cNvPr id="39" name="Connecteur droit 38" hidden="1">
          <a:extLst>
            <a:ext uri="{FF2B5EF4-FFF2-40B4-BE49-F238E27FC236}">
              <a16:creationId xmlns:a16="http://schemas.microsoft.com/office/drawing/2014/main" id="{4FE3173A-A882-49C6-930A-9BC9975B8CB9}"/>
            </a:ext>
          </a:extLst>
        </xdr:cNvPr>
        <xdr:cNvCxnSpPr/>
      </xdr:nvCxnSpPr>
      <xdr:spPr>
        <a:xfrm>
          <a:off x="7231673" y="5658583"/>
          <a:ext cx="2095500" cy="0"/>
        </a:xfrm>
        <a:prstGeom prst="line">
          <a:avLst/>
        </a:prstGeom>
        <a:ln w="762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133350</xdr:colOff>
      <xdr:row>21</xdr:row>
      <xdr:rowOff>171450</xdr:rowOff>
    </xdr:from>
    <xdr:to>
      <xdr:col>12</xdr:col>
      <xdr:colOff>638175</xdr:colOff>
      <xdr:row>21</xdr:row>
      <xdr:rowOff>180975</xdr:rowOff>
    </xdr:to>
    <xdr:cxnSp macro="">
      <xdr:nvCxnSpPr>
        <xdr:cNvPr id="45" name="Connecteur droit avec flèche 44">
          <a:extLst>
            <a:ext uri="{FF2B5EF4-FFF2-40B4-BE49-F238E27FC236}">
              <a16:creationId xmlns:a16="http://schemas.microsoft.com/office/drawing/2014/main" id="{82410FCA-B9BD-4336-914A-0E42A1772DCC}"/>
            </a:ext>
          </a:extLst>
        </xdr:cNvPr>
        <xdr:cNvCxnSpPr/>
      </xdr:nvCxnSpPr>
      <xdr:spPr>
        <a:xfrm flipV="1">
          <a:off x="6715125" y="4114800"/>
          <a:ext cx="2028825" cy="952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142875</xdr:colOff>
      <xdr:row>8</xdr:row>
      <xdr:rowOff>9525</xdr:rowOff>
    </xdr:from>
    <xdr:to>
      <xdr:col>13</xdr:col>
      <xdr:colOff>142875</xdr:colOff>
      <xdr:row>19</xdr:row>
      <xdr:rowOff>104775</xdr:rowOff>
    </xdr:to>
    <xdr:cxnSp macro="">
      <xdr:nvCxnSpPr>
        <xdr:cNvPr id="48" name="Connecteur droit avec flèche 47">
          <a:extLst>
            <a:ext uri="{FF2B5EF4-FFF2-40B4-BE49-F238E27FC236}">
              <a16:creationId xmlns:a16="http://schemas.microsoft.com/office/drawing/2014/main" id="{0ABA0944-DB50-4170-8C78-9B67B9BB3C0B}"/>
            </a:ext>
          </a:extLst>
        </xdr:cNvPr>
        <xdr:cNvCxnSpPr/>
      </xdr:nvCxnSpPr>
      <xdr:spPr>
        <a:xfrm>
          <a:off x="9077325" y="1619250"/>
          <a:ext cx="0" cy="204787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612388</xdr:colOff>
      <xdr:row>5</xdr:row>
      <xdr:rowOff>11456</xdr:rowOff>
    </xdr:from>
    <xdr:to>
      <xdr:col>12</xdr:col>
      <xdr:colOff>645841</xdr:colOff>
      <xdr:row>5</xdr:row>
      <xdr:rowOff>14708</xdr:rowOff>
    </xdr:to>
    <xdr:cxnSp macro="">
      <xdr:nvCxnSpPr>
        <xdr:cNvPr id="54" name="Connecteur droit avec flèche 53">
          <a:extLst>
            <a:ext uri="{FF2B5EF4-FFF2-40B4-BE49-F238E27FC236}">
              <a16:creationId xmlns:a16="http://schemas.microsoft.com/office/drawing/2014/main" id="{D975DBC6-B7AE-4B55-B00E-010AD08CBA7A}"/>
            </a:ext>
          </a:extLst>
        </xdr:cNvPr>
        <xdr:cNvCxnSpPr/>
      </xdr:nvCxnSpPr>
      <xdr:spPr>
        <a:xfrm flipV="1">
          <a:off x="8510811" y="1051879"/>
          <a:ext cx="795453" cy="325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704850</xdr:colOff>
      <xdr:row>5</xdr:row>
      <xdr:rowOff>95250</xdr:rowOff>
    </xdr:from>
    <xdr:to>
      <xdr:col>12</xdr:col>
      <xdr:colOff>704850</xdr:colOff>
      <xdr:row>20</xdr:row>
      <xdr:rowOff>0</xdr:rowOff>
    </xdr:to>
    <xdr:cxnSp macro="">
      <xdr:nvCxnSpPr>
        <xdr:cNvPr id="56" name="Connecteur droit 55">
          <a:extLst>
            <a:ext uri="{FF2B5EF4-FFF2-40B4-BE49-F238E27FC236}">
              <a16:creationId xmlns:a16="http://schemas.microsoft.com/office/drawing/2014/main" id="{DCE44075-62AF-462A-A504-E049C22D0064}"/>
            </a:ext>
          </a:extLst>
        </xdr:cNvPr>
        <xdr:cNvCxnSpPr/>
      </xdr:nvCxnSpPr>
      <xdr:spPr>
        <a:xfrm flipV="1">
          <a:off x="8877300" y="1133475"/>
          <a:ext cx="0" cy="2809875"/>
        </a:xfrm>
        <a:prstGeom prst="line">
          <a:avLst/>
        </a:prstGeom>
        <a:ln w="152400" cmpd="dbl">
          <a:solidFill>
            <a:schemeClr val="accent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651511</xdr:colOff>
      <xdr:row>5</xdr:row>
      <xdr:rowOff>148591</xdr:rowOff>
    </xdr:from>
    <xdr:to>
      <xdr:col>12</xdr:col>
      <xdr:colOff>600075</xdr:colOff>
      <xdr:row>7</xdr:row>
      <xdr:rowOff>123827</xdr:rowOff>
    </xdr:to>
    <xdr:sp macro="" textlink="">
      <xdr:nvSpPr>
        <xdr:cNvPr id="60" name="Rectangle 59">
          <a:extLst>
            <a:ext uri="{FF2B5EF4-FFF2-40B4-BE49-F238E27FC236}">
              <a16:creationId xmlns:a16="http://schemas.microsoft.com/office/drawing/2014/main" id="{A0D8A59F-79EE-4FB0-9A4A-6DB8B84B4A79}"/>
            </a:ext>
          </a:extLst>
        </xdr:cNvPr>
        <xdr:cNvSpPr/>
      </xdr:nvSpPr>
      <xdr:spPr>
        <a:xfrm>
          <a:off x="8065771" y="1188721"/>
          <a:ext cx="710564" cy="356236"/>
        </a:xfrm>
        <a:prstGeom prst="rect">
          <a:avLst/>
        </a:prstGeom>
        <a:solidFill>
          <a:schemeClr val="bg1"/>
        </a:solidFill>
        <a:ln w="57150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647700</xdr:colOff>
      <xdr:row>5</xdr:row>
      <xdr:rowOff>102870</xdr:rowOff>
    </xdr:from>
    <xdr:to>
      <xdr:col>13</xdr:col>
      <xdr:colOff>0</xdr:colOff>
      <xdr:row>5</xdr:row>
      <xdr:rowOff>104775</xdr:rowOff>
    </xdr:to>
    <xdr:cxnSp macro="">
      <xdr:nvCxnSpPr>
        <xdr:cNvPr id="61" name="Connecteur droit 60">
          <a:extLst>
            <a:ext uri="{FF2B5EF4-FFF2-40B4-BE49-F238E27FC236}">
              <a16:creationId xmlns:a16="http://schemas.microsoft.com/office/drawing/2014/main" id="{F24DD3F7-456D-4A88-A57C-6BC8D19606C8}"/>
            </a:ext>
          </a:extLst>
        </xdr:cNvPr>
        <xdr:cNvCxnSpPr/>
      </xdr:nvCxnSpPr>
      <xdr:spPr>
        <a:xfrm flipH="1">
          <a:off x="8823960" y="1143000"/>
          <a:ext cx="114300" cy="1905"/>
        </a:xfrm>
        <a:prstGeom prst="line">
          <a:avLst/>
        </a:prstGeom>
        <a:ln w="38100" cmpd="sng">
          <a:solidFill>
            <a:schemeClr val="accent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544301</xdr:colOff>
      <xdr:row>5</xdr:row>
      <xdr:rowOff>120805</xdr:rowOff>
    </xdr:from>
    <xdr:to>
      <xdr:col>11</xdr:col>
      <xdr:colOff>545231</xdr:colOff>
      <xdr:row>7</xdr:row>
      <xdr:rowOff>119876</xdr:rowOff>
    </xdr:to>
    <xdr:cxnSp macro="">
      <xdr:nvCxnSpPr>
        <xdr:cNvPr id="67" name="Connecteur droit avec flèche 66">
          <a:extLst>
            <a:ext uri="{FF2B5EF4-FFF2-40B4-BE49-F238E27FC236}">
              <a16:creationId xmlns:a16="http://schemas.microsoft.com/office/drawing/2014/main" id="{2A983EA4-58BE-4B70-BA37-C17BDD6DEEE9}"/>
            </a:ext>
          </a:extLst>
        </xdr:cNvPr>
        <xdr:cNvCxnSpPr/>
      </xdr:nvCxnSpPr>
      <xdr:spPr>
        <a:xfrm flipH="1">
          <a:off x="8442724" y="1161228"/>
          <a:ext cx="930" cy="38007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</xdr:colOff>
      <xdr:row>43</xdr:row>
      <xdr:rowOff>168518</xdr:rowOff>
    </xdr:from>
    <xdr:to>
      <xdr:col>10</xdr:col>
      <xdr:colOff>249117</xdr:colOff>
      <xdr:row>45</xdr:row>
      <xdr:rowOff>175846</xdr:rowOff>
    </xdr:to>
    <xdr:sp macro="" textlink="">
      <xdr:nvSpPr>
        <xdr:cNvPr id="2" name="Signe de multiplication 1" hidden="1">
          <a:extLst>
            <a:ext uri="{FF2B5EF4-FFF2-40B4-BE49-F238E27FC236}">
              <a16:creationId xmlns:a16="http://schemas.microsoft.com/office/drawing/2014/main" id="{D1CAFADE-65B3-4388-8474-186B3DCC2C0C}"/>
            </a:ext>
          </a:extLst>
        </xdr:cNvPr>
        <xdr:cNvSpPr/>
      </xdr:nvSpPr>
      <xdr:spPr>
        <a:xfrm>
          <a:off x="8887240" y="7805083"/>
          <a:ext cx="381638" cy="388328"/>
        </a:xfrm>
        <a:prstGeom prst="mathMultiply">
          <a:avLst>
            <a:gd name="adj1" fmla="val 1408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848458</xdr:colOff>
      <xdr:row>42</xdr:row>
      <xdr:rowOff>52021</xdr:rowOff>
    </xdr:from>
    <xdr:to>
      <xdr:col>8</xdr:col>
      <xdr:colOff>455735</xdr:colOff>
      <xdr:row>45</xdr:row>
      <xdr:rowOff>147271</xdr:rowOff>
    </xdr:to>
    <xdr:cxnSp macro="">
      <xdr:nvCxnSpPr>
        <xdr:cNvPr id="34" name="Connecteur droit 33" hidden="1">
          <a:extLst>
            <a:ext uri="{FF2B5EF4-FFF2-40B4-BE49-F238E27FC236}">
              <a16:creationId xmlns:a16="http://schemas.microsoft.com/office/drawing/2014/main" id="{E1D390FB-6620-4D85-9904-7A2FE1EE6D94}"/>
            </a:ext>
          </a:extLst>
        </xdr:cNvPr>
        <xdr:cNvCxnSpPr/>
      </xdr:nvCxnSpPr>
      <xdr:spPr>
        <a:xfrm>
          <a:off x="5969977" y="5906233"/>
          <a:ext cx="457200" cy="666750"/>
        </a:xfrm>
        <a:prstGeom prst="line">
          <a:avLst/>
        </a:prstGeom>
        <a:ln w="762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18477</xdr:colOff>
      <xdr:row>35</xdr:row>
      <xdr:rowOff>111941</xdr:rowOff>
    </xdr:from>
    <xdr:to>
      <xdr:col>10</xdr:col>
      <xdr:colOff>265172</xdr:colOff>
      <xdr:row>37</xdr:row>
      <xdr:rowOff>100665</xdr:rowOff>
    </xdr:to>
    <xdr:sp macro="" textlink="">
      <xdr:nvSpPr>
        <xdr:cNvPr id="36" name="Signe de multiplication 35" hidden="1">
          <a:extLst>
            <a:ext uri="{FF2B5EF4-FFF2-40B4-BE49-F238E27FC236}">
              <a16:creationId xmlns:a16="http://schemas.microsoft.com/office/drawing/2014/main" id="{164ADBC6-B279-4E90-A195-69DF3EB2B82D}"/>
            </a:ext>
          </a:extLst>
        </xdr:cNvPr>
        <xdr:cNvSpPr/>
      </xdr:nvSpPr>
      <xdr:spPr>
        <a:xfrm>
          <a:off x="8905716" y="6241071"/>
          <a:ext cx="379217" cy="353159"/>
        </a:xfrm>
        <a:prstGeom prst="mathMultiply">
          <a:avLst>
            <a:gd name="adj1" fmla="val 1408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537796</xdr:colOff>
      <xdr:row>19</xdr:row>
      <xdr:rowOff>134814</xdr:rowOff>
    </xdr:from>
    <xdr:to>
      <xdr:col>13</xdr:col>
      <xdr:colOff>164123</xdr:colOff>
      <xdr:row>21</xdr:row>
      <xdr:rowOff>142141</xdr:rowOff>
    </xdr:to>
    <xdr:sp macro="" textlink="">
      <xdr:nvSpPr>
        <xdr:cNvPr id="42" name="Signe de multiplication 41">
          <a:extLst>
            <a:ext uri="{FF2B5EF4-FFF2-40B4-BE49-F238E27FC236}">
              <a16:creationId xmlns:a16="http://schemas.microsoft.com/office/drawing/2014/main" id="{4455DD60-B9B3-41F4-93CE-C4FC3B0C4F17}"/>
            </a:ext>
          </a:extLst>
        </xdr:cNvPr>
        <xdr:cNvSpPr/>
      </xdr:nvSpPr>
      <xdr:spPr>
        <a:xfrm>
          <a:off x="9198219" y="3893526"/>
          <a:ext cx="388327" cy="388327"/>
        </a:xfrm>
        <a:prstGeom prst="mathMultiply">
          <a:avLst>
            <a:gd name="adj1" fmla="val 1408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848458</xdr:colOff>
      <xdr:row>31</xdr:row>
      <xdr:rowOff>52021</xdr:rowOff>
    </xdr:from>
    <xdr:to>
      <xdr:col>8</xdr:col>
      <xdr:colOff>455735</xdr:colOff>
      <xdr:row>34</xdr:row>
      <xdr:rowOff>147271</xdr:rowOff>
    </xdr:to>
    <xdr:cxnSp macro="">
      <xdr:nvCxnSpPr>
        <xdr:cNvPr id="43" name="Connecteur droit 42" hidden="1">
          <a:extLst>
            <a:ext uri="{FF2B5EF4-FFF2-40B4-BE49-F238E27FC236}">
              <a16:creationId xmlns:a16="http://schemas.microsoft.com/office/drawing/2014/main" id="{75EDCD01-CD99-4CD6-A8E7-A8EEEBF47D48}"/>
            </a:ext>
          </a:extLst>
        </xdr:cNvPr>
        <xdr:cNvCxnSpPr/>
      </xdr:nvCxnSpPr>
      <xdr:spPr>
        <a:xfrm>
          <a:off x="5969977" y="5906233"/>
          <a:ext cx="457200" cy="666750"/>
        </a:xfrm>
        <a:prstGeom prst="line">
          <a:avLst/>
        </a:prstGeom>
        <a:ln w="762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504094</xdr:colOff>
      <xdr:row>46</xdr:row>
      <xdr:rowOff>115761</xdr:rowOff>
    </xdr:from>
    <xdr:to>
      <xdr:col>13</xdr:col>
      <xdr:colOff>115956</xdr:colOff>
      <xdr:row>49</xdr:row>
      <xdr:rowOff>124238</xdr:rowOff>
    </xdr:to>
    <xdr:sp macro="" textlink="">
      <xdr:nvSpPr>
        <xdr:cNvPr id="44" name="Signe de multiplication 43" hidden="1">
          <a:extLst>
            <a:ext uri="{FF2B5EF4-FFF2-40B4-BE49-F238E27FC236}">
              <a16:creationId xmlns:a16="http://schemas.microsoft.com/office/drawing/2014/main" id="{18104E40-85A6-4457-BF5D-15E9B712807E}"/>
            </a:ext>
          </a:extLst>
        </xdr:cNvPr>
        <xdr:cNvSpPr/>
      </xdr:nvSpPr>
      <xdr:spPr>
        <a:xfrm>
          <a:off x="10948464" y="8737957"/>
          <a:ext cx="373862" cy="389477"/>
        </a:xfrm>
        <a:prstGeom prst="mathMultiply">
          <a:avLst>
            <a:gd name="adj1" fmla="val 1408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848458</xdr:colOff>
      <xdr:row>44</xdr:row>
      <xdr:rowOff>52021</xdr:rowOff>
    </xdr:from>
    <xdr:to>
      <xdr:col>13</xdr:col>
      <xdr:colOff>455735</xdr:colOff>
      <xdr:row>47</xdr:row>
      <xdr:rowOff>147271</xdr:rowOff>
    </xdr:to>
    <xdr:cxnSp macro="">
      <xdr:nvCxnSpPr>
        <xdr:cNvPr id="47" name="Connecteur droit 46" hidden="1">
          <a:extLst>
            <a:ext uri="{FF2B5EF4-FFF2-40B4-BE49-F238E27FC236}">
              <a16:creationId xmlns:a16="http://schemas.microsoft.com/office/drawing/2014/main" id="{ACCD942B-993C-4CE6-9F00-D3481028E051}"/>
            </a:ext>
          </a:extLst>
        </xdr:cNvPr>
        <xdr:cNvCxnSpPr/>
      </xdr:nvCxnSpPr>
      <xdr:spPr>
        <a:xfrm>
          <a:off x="5969977" y="5906233"/>
          <a:ext cx="457200" cy="666750"/>
        </a:xfrm>
        <a:prstGeom prst="line">
          <a:avLst/>
        </a:prstGeom>
        <a:ln w="762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509954</xdr:colOff>
      <xdr:row>42</xdr:row>
      <xdr:rowOff>26375</xdr:rowOff>
    </xdr:from>
    <xdr:to>
      <xdr:col>13</xdr:col>
      <xdr:colOff>136281</xdr:colOff>
      <xdr:row>44</xdr:row>
      <xdr:rowOff>33702</xdr:rowOff>
    </xdr:to>
    <xdr:sp macro="" textlink="">
      <xdr:nvSpPr>
        <xdr:cNvPr id="49" name="Signe de multiplication 48" hidden="1">
          <a:extLst>
            <a:ext uri="{FF2B5EF4-FFF2-40B4-BE49-F238E27FC236}">
              <a16:creationId xmlns:a16="http://schemas.microsoft.com/office/drawing/2014/main" id="{C611B38D-C07F-4C2C-8604-CB41EAA844DB}"/>
            </a:ext>
          </a:extLst>
        </xdr:cNvPr>
        <xdr:cNvSpPr/>
      </xdr:nvSpPr>
      <xdr:spPr>
        <a:xfrm>
          <a:off x="9170377" y="5880587"/>
          <a:ext cx="388327" cy="388327"/>
        </a:xfrm>
        <a:prstGeom prst="mathMultiply">
          <a:avLst>
            <a:gd name="adj1" fmla="val 1408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848458</xdr:colOff>
      <xdr:row>35</xdr:row>
      <xdr:rowOff>52021</xdr:rowOff>
    </xdr:from>
    <xdr:to>
      <xdr:col>13</xdr:col>
      <xdr:colOff>455735</xdr:colOff>
      <xdr:row>44</xdr:row>
      <xdr:rowOff>147271</xdr:rowOff>
    </xdr:to>
    <xdr:cxnSp macro="">
      <xdr:nvCxnSpPr>
        <xdr:cNvPr id="50" name="Connecteur droit 49" hidden="1">
          <a:extLst>
            <a:ext uri="{FF2B5EF4-FFF2-40B4-BE49-F238E27FC236}">
              <a16:creationId xmlns:a16="http://schemas.microsoft.com/office/drawing/2014/main" id="{41FFFBF2-5EC8-4235-B627-48131105A844}"/>
            </a:ext>
          </a:extLst>
        </xdr:cNvPr>
        <xdr:cNvCxnSpPr/>
      </xdr:nvCxnSpPr>
      <xdr:spPr>
        <a:xfrm>
          <a:off x="9423156" y="6287233"/>
          <a:ext cx="455002" cy="666750"/>
        </a:xfrm>
        <a:prstGeom prst="line">
          <a:avLst/>
        </a:prstGeom>
        <a:ln w="762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114300</xdr:colOff>
      <xdr:row>51</xdr:row>
      <xdr:rowOff>180975</xdr:rowOff>
    </xdr:from>
    <xdr:to>
      <xdr:col>8</xdr:col>
      <xdr:colOff>238125</xdr:colOff>
      <xdr:row>51</xdr:row>
      <xdr:rowOff>180975</xdr:rowOff>
    </xdr:to>
    <xdr:cxnSp macro="">
      <xdr:nvCxnSpPr>
        <xdr:cNvPr id="53" name="Connecteur droit avec flèche 52" hidden="1">
          <a:extLst>
            <a:ext uri="{FF2B5EF4-FFF2-40B4-BE49-F238E27FC236}">
              <a16:creationId xmlns:a16="http://schemas.microsoft.com/office/drawing/2014/main" id="{417FF1B0-58A9-482E-8D2A-6DB00CA0E0EB}"/>
            </a:ext>
          </a:extLst>
        </xdr:cNvPr>
        <xdr:cNvCxnSpPr/>
      </xdr:nvCxnSpPr>
      <xdr:spPr>
        <a:xfrm>
          <a:off x="7250723" y="7749687"/>
          <a:ext cx="885825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238125</xdr:colOff>
      <xdr:row>49</xdr:row>
      <xdr:rowOff>146538</xdr:rowOff>
    </xdr:from>
    <xdr:to>
      <xdr:col>12</xdr:col>
      <xdr:colOff>659423</xdr:colOff>
      <xdr:row>52</xdr:row>
      <xdr:rowOff>167786</xdr:rowOff>
    </xdr:to>
    <xdr:cxnSp macro="">
      <xdr:nvCxnSpPr>
        <xdr:cNvPr id="55" name="Connecteur droit avec flèche 54" hidden="1">
          <a:extLst>
            <a:ext uri="{FF2B5EF4-FFF2-40B4-BE49-F238E27FC236}">
              <a16:creationId xmlns:a16="http://schemas.microsoft.com/office/drawing/2014/main" id="{506890C5-605D-4024-B492-B0F738204936}"/>
            </a:ext>
          </a:extLst>
        </xdr:cNvPr>
        <xdr:cNvCxnSpPr/>
      </xdr:nvCxnSpPr>
      <xdr:spPr>
        <a:xfrm flipV="1">
          <a:off x="8898548" y="7334250"/>
          <a:ext cx="421298" cy="592748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750212</xdr:colOff>
      <xdr:row>49</xdr:row>
      <xdr:rowOff>15608</xdr:rowOff>
    </xdr:from>
    <xdr:to>
      <xdr:col>13</xdr:col>
      <xdr:colOff>752410</xdr:colOff>
      <xdr:row>53</xdr:row>
      <xdr:rowOff>42718</xdr:rowOff>
    </xdr:to>
    <xdr:cxnSp macro="">
      <xdr:nvCxnSpPr>
        <xdr:cNvPr id="57" name="Connecteur droit avec flèche 56" hidden="1">
          <a:extLst>
            <a:ext uri="{FF2B5EF4-FFF2-40B4-BE49-F238E27FC236}">
              <a16:creationId xmlns:a16="http://schemas.microsoft.com/office/drawing/2014/main" id="{A50B29CB-8B13-4B0D-921F-AD9345F1D743}"/>
            </a:ext>
          </a:extLst>
        </xdr:cNvPr>
        <xdr:cNvCxnSpPr/>
      </xdr:nvCxnSpPr>
      <xdr:spPr>
        <a:xfrm flipH="1" flipV="1">
          <a:off x="12055973" y="8604673"/>
          <a:ext cx="2198" cy="66487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106973</xdr:colOff>
      <xdr:row>40</xdr:row>
      <xdr:rowOff>145804</xdr:rowOff>
    </xdr:from>
    <xdr:to>
      <xdr:col>12</xdr:col>
      <xdr:colOff>687998</xdr:colOff>
      <xdr:row>40</xdr:row>
      <xdr:rowOff>145804</xdr:rowOff>
    </xdr:to>
    <xdr:cxnSp macro="">
      <xdr:nvCxnSpPr>
        <xdr:cNvPr id="58" name="Connecteur droit 57" hidden="1">
          <a:extLst>
            <a:ext uri="{FF2B5EF4-FFF2-40B4-BE49-F238E27FC236}">
              <a16:creationId xmlns:a16="http://schemas.microsoft.com/office/drawing/2014/main" id="{38416275-F605-41AA-BBB7-466125D23506}"/>
            </a:ext>
          </a:extLst>
        </xdr:cNvPr>
        <xdr:cNvCxnSpPr/>
      </xdr:nvCxnSpPr>
      <xdr:spPr>
        <a:xfrm>
          <a:off x="8401050" y="6571516"/>
          <a:ext cx="2105025" cy="0"/>
        </a:xfrm>
        <a:prstGeom prst="line">
          <a:avLst/>
        </a:prstGeom>
        <a:ln w="76200" cmpd="sng">
          <a:solidFill>
            <a:schemeClr val="accent2"/>
          </a:solidFill>
          <a:prstDash val="sysDash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111880</xdr:colOff>
      <xdr:row>37</xdr:row>
      <xdr:rowOff>153258</xdr:rowOff>
    </xdr:from>
    <xdr:to>
      <xdr:col>12</xdr:col>
      <xdr:colOff>629478</xdr:colOff>
      <xdr:row>37</xdr:row>
      <xdr:rowOff>157370</xdr:rowOff>
    </xdr:to>
    <xdr:cxnSp macro="">
      <xdr:nvCxnSpPr>
        <xdr:cNvPr id="59" name="Connecteur droit 58" hidden="1">
          <a:extLst>
            <a:ext uri="{FF2B5EF4-FFF2-40B4-BE49-F238E27FC236}">
              <a16:creationId xmlns:a16="http://schemas.microsoft.com/office/drawing/2014/main" id="{333DEBE4-205A-4407-A5AE-D4C9381A52A6}"/>
            </a:ext>
          </a:extLst>
        </xdr:cNvPr>
        <xdr:cNvCxnSpPr/>
      </xdr:nvCxnSpPr>
      <xdr:spPr>
        <a:xfrm>
          <a:off x="9131641" y="6646823"/>
          <a:ext cx="2041598" cy="4112"/>
        </a:xfrm>
        <a:prstGeom prst="line">
          <a:avLst/>
        </a:prstGeom>
        <a:ln w="76200" cmpd="sng">
          <a:solidFill>
            <a:schemeClr val="accent2"/>
          </a:solidFill>
          <a:prstDash val="sysDash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114300</xdr:colOff>
      <xdr:row>54</xdr:row>
      <xdr:rowOff>180975</xdr:rowOff>
    </xdr:from>
    <xdr:to>
      <xdr:col>12</xdr:col>
      <xdr:colOff>238125</xdr:colOff>
      <xdr:row>54</xdr:row>
      <xdr:rowOff>180975</xdr:rowOff>
    </xdr:to>
    <xdr:cxnSp macro="">
      <xdr:nvCxnSpPr>
        <xdr:cNvPr id="51" name="Connecteur droit avec flèche 50" hidden="1">
          <a:extLst>
            <a:ext uri="{FF2B5EF4-FFF2-40B4-BE49-F238E27FC236}">
              <a16:creationId xmlns:a16="http://schemas.microsoft.com/office/drawing/2014/main" id="{26615B33-4C18-4DE6-81DC-B87428C1952B}"/>
            </a:ext>
          </a:extLst>
        </xdr:cNvPr>
        <xdr:cNvCxnSpPr/>
      </xdr:nvCxnSpPr>
      <xdr:spPr>
        <a:xfrm>
          <a:off x="8760069" y="8702187"/>
          <a:ext cx="885825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120384</xdr:colOff>
      <xdr:row>32</xdr:row>
      <xdr:rowOff>33130</xdr:rowOff>
    </xdr:from>
    <xdr:to>
      <xdr:col>12</xdr:col>
      <xdr:colOff>190500</xdr:colOff>
      <xdr:row>32</xdr:row>
      <xdr:rowOff>47625</xdr:rowOff>
    </xdr:to>
    <xdr:cxnSp macro="">
      <xdr:nvCxnSpPr>
        <xdr:cNvPr id="52" name="Connecteur droit 51" hidden="1">
          <a:extLst>
            <a:ext uri="{FF2B5EF4-FFF2-40B4-BE49-F238E27FC236}">
              <a16:creationId xmlns:a16="http://schemas.microsoft.com/office/drawing/2014/main" id="{B1893443-2D40-472F-AB3E-5F45C1859D2C}"/>
            </a:ext>
          </a:extLst>
        </xdr:cNvPr>
        <xdr:cNvCxnSpPr/>
      </xdr:nvCxnSpPr>
      <xdr:spPr>
        <a:xfrm flipV="1">
          <a:off x="8933080" y="6261652"/>
          <a:ext cx="1594116" cy="14495"/>
        </a:xfrm>
        <a:prstGeom prst="line">
          <a:avLst/>
        </a:prstGeom>
        <a:ln w="762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113504</xdr:colOff>
      <xdr:row>34</xdr:row>
      <xdr:rowOff>149085</xdr:rowOff>
    </xdr:from>
    <xdr:to>
      <xdr:col>12</xdr:col>
      <xdr:colOff>91110</xdr:colOff>
      <xdr:row>34</xdr:row>
      <xdr:rowOff>152240</xdr:rowOff>
    </xdr:to>
    <xdr:cxnSp macro="">
      <xdr:nvCxnSpPr>
        <xdr:cNvPr id="62" name="Connecteur droit 61" hidden="1">
          <a:extLst>
            <a:ext uri="{FF2B5EF4-FFF2-40B4-BE49-F238E27FC236}">
              <a16:creationId xmlns:a16="http://schemas.microsoft.com/office/drawing/2014/main" id="{C152504E-422B-496E-B441-2E4E15B0E12E}"/>
            </a:ext>
          </a:extLst>
        </xdr:cNvPr>
        <xdr:cNvCxnSpPr/>
      </xdr:nvCxnSpPr>
      <xdr:spPr>
        <a:xfrm flipV="1">
          <a:off x="9033874" y="6758607"/>
          <a:ext cx="1501606" cy="3155"/>
        </a:xfrm>
        <a:prstGeom prst="line">
          <a:avLst/>
        </a:prstGeom>
        <a:ln w="762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591244</xdr:colOff>
      <xdr:row>31</xdr:row>
      <xdr:rowOff>161924</xdr:rowOff>
    </xdr:from>
    <xdr:to>
      <xdr:col>14</xdr:col>
      <xdr:colOff>594907</xdr:colOff>
      <xdr:row>53</xdr:row>
      <xdr:rowOff>28574</xdr:rowOff>
    </xdr:to>
    <xdr:cxnSp macro="">
      <xdr:nvCxnSpPr>
        <xdr:cNvPr id="63" name="Connecteur droit avec flèche 62" hidden="1">
          <a:extLst>
            <a:ext uri="{FF2B5EF4-FFF2-40B4-BE49-F238E27FC236}">
              <a16:creationId xmlns:a16="http://schemas.microsoft.com/office/drawing/2014/main" id="{A4FCB975-8E2C-43E5-AACE-0E968E645957}"/>
            </a:ext>
          </a:extLst>
        </xdr:cNvPr>
        <xdr:cNvCxnSpPr/>
      </xdr:nvCxnSpPr>
      <xdr:spPr>
        <a:xfrm flipH="1" flipV="1">
          <a:off x="12659005" y="5553902"/>
          <a:ext cx="3663" cy="3701498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305532</xdr:colOff>
      <xdr:row>32</xdr:row>
      <xdr:rowOff>20069</xdr:rowOff>
    </xdr:from>
    <xdr:to>
      <xdr:col>13</xdr:col>
      <xdr:colOff>527538</xdr:colOff>
      <xdr:row>32</xdr:row>
      <xdr:rowOff>21535</xdr:rowOff>
    </xdr:to>
    <xdr:cxnSp macro="">
      <xdr:nvCxnSpPr>
        <xdr:cNvPr id="64" name="Connecteur droit 63" hidden="1">
          <a:extLst>
            <a:ext uri="{FF2B5EF4-FFF2-40B4-BE49-F238E27FC236}">
              <a16:creationId xmlns:a16="http://schemas.microsoft.com/office/drawing/2014/main" id="{247FA463-1BB8-4B46-B1B9-2F2EA13846EE}"/>
            </a:ext>
          </a:extLst>
        </xdr:cNvPr>
        <xdr:cNvCxnSpPr/>
      </xdr:nvCxnSpPr>
      <xdr:spPr>
        <a:xfrm flipH="1">
          <a:off x="10642228" y="6248591"/>
          <a:ext cx="984006" cy="1466"/>
        </a:xfrm>
        <a:prstGeom prst="line">
          <a:avLst/>
        </a:prstGeom>
        <a:ln w="7620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186836</xdr:colOff>
      <xdr:row>34</xdr:row>
      <xdr:rowOff>173935</xdr:rowOff>
    </xdr:from>
    <xdr:to>
      <xdr:col>13</xdr:col>
      <xdr:colOff>520211</xdr:colOff>
      <xdr:row>34</xdr:row>
      <xdr:rowOff>181262</xdr:rowOff>
    </xdr:to>
    <xdr:cxnSp macro="">
      <xdr:nvCxnSpPr>
        <xdr:cNvPr id="65" name="Connecteur droit 64" hidden="1">
          <a:extLst>
            <a:ext uri="{FF2B5EF4-FFF2-40B4-BE49-F238E27FC236}">
              <a16:creationId xmlns:a16="http://schemas.microsoft.com/office/drawing/2014/main" id="{7959BDCE-3C86-4714-B56E-0FFF0EC57CDB}"/>
            </a:ext>
          </a:extLst>
        </xdr:cNvPr>
        <xdr:cNvCxnSpPr/>
      </xdr:nvCxnSpPr>
      <xdr:spPr>
        <a:xfrm flipH="1">
          <a:off x="10523532" y="6783457"/>
          <a:ext cx="1095375" cy="7327"/>
        </a:xfrm>
        <a:prstGeom prst="line">
          <a:avLst/>
        </a:prstGeom>
        <a:ln w="7620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287215</xdr:colOff>
      <xdr:row>32</xdr:row>
      <xdr:rowOff>50842</xdr:rowOff>
    </xdr:from>
    <xdr:to>
      <xdr:col>13</xdr:col>
      <xdr:colOff>287215</xdr:colOff>
      <xdr:row>34</xdr:row>
      <xdr:rowOff>165142</xdr:rowOff>
    </xdr:to>
    <xdr:cxnSp macro="">
      <xdr:nvCxnSpPr>
        <xdr:cNvPr id="66" name="Connecteur droit 65" hidden="1">
          <a:extLst>
            <a:ext uri="{FF2B5EF4-FFF2-40B4-BE49-F238E27FC236}">
              <a16:creationId xmlns:a16="http://schemas.microsoft.com/office/drawing/2014/main" id="{B1B519AB-E523-4AA1-9C1F-9E2ABEC14E21}"/>
            </a:ext>
          </a:extLst>
        </xdr:cNvPr>
        <xdr:cNvCxnSpPr/>
      </xdr:nvCxnSpPr>
      <xdr:spPr>
        <a:xfrm flipV="1">
          <a:off x="11385911" y="6279364"/>
          <a:ext cx="0" cy="495300"/>
        </a:xfrm>
        <a:prstGeom prst="line">
          <a:avLst/>
        </a:prstGeom>
        <a:ln w="508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515216</xdr:colOff>
      <xdr:row>31</xdr:row>
      <xdr:rowOff>179378</xdr:rowOff>
    </xdr:from>
    <xdr:to>
      <xdr:col>13</xdr:col>
      <xdr:colOff>521154</xdr:colOff>
      <xdr:row>35</xdr:row>
      <xdr:rowOff>18071</xdr:rowOff>
    </xdr:to>
    <xdr:cxnSp macro="">
      <xdr:nvCxnSpPr>
        <xdr:cNvPr id="68" name="Connecteur droit 67" hidden="1">
          <a:extLst>
            <a:ext uri="{FF2B5EF4-FFF2-40B4-BE49-F238E27FC236}">
              <a16:creationId xmlns:a16="http://schemas.microsoft.com/office/drawing/2014/main" id="{536E130D-0420-4962-8D52-E854DC7DCB57}"/>
            </a:ext>
          </a:extLst>
        </xdr:cNvPr>
        <xdr:cNvCxnSpPr/>
      </xdr:nvCxnSpPr>
      <xdr:spPr>
        <a:xfrm flipV="1">
          <a:off x="11613912" y="6217400"/>
          <a:ext cx="5938" cy="600693"/>
        </a:xfrm>
        <a:prstGeom prst="line">
          <a:avLst/>
        </a:prstGeom>
        <a:ln w="254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16566</xdr:colOff>
      <xdr:row>7</xdr:row>
      <xdr:rowOff>149087</xdr:rowOff>
    </xdr:from>
    <xdr:to>
      <xdr:col>9</xdr:col>
      <xdr:colOff>26601</xdr:colOff>
      <xdr:row>53</xdr:row>
      <xdr:rowOff>51829</xdr:rowOff>
    </xdr:to>
    <xdr:cxnSp macro="">
      <xdr:nvCxnSpPr>
        <xdr:cNvPr id="69" name="Connecteur droit avec flèche 68">
          <a:extLst>
            <a:ext uri="{FF2B5EF4-FFF2-40B4-BE49-F238E27FC236}">
              <a16:creationId xmlns:a16="http://schemas.microsoft.com/office/drawing/2014/main" id="{C5B8CCC4-35B3-4823-B341-EF8828BB4DA6}"/>
            </a:ext>
          </a:extLst>
        </xdr:cNvPr>
        <xdr:cNvCxnSpPr/>
      </xdr:nvCxnSpPr>
      <xdr:spPr>
        <a:xfrm flipH="1" flipV="1">
          <a:off x="8696740" y="1565413"/>
          <a:ext cx="10035" cy="7381938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122327</xdr:colOff>
      <xdr:row>34</xdr:row>
      <xdr:rowOff>64665</xdr:rowOff>
    </xdr:from>
    <xdr:to>
      <xdr:col>12</xdr:col>
      <xdr:colOff>99391</xdr:colOff>
      <xdr:row>34</xdr:row>
      <xdr:rowOff>74543</xdr:rowOff>
    </xdr:to>
    <xdr:cxnSp macro="">
      <xdr:nvCxnSpPr>
        <xdr:cNvPr id="70" name="Connecteur droit avec flèche 69" hidden="1">
          <a:extLst>
            <a:ext uri="{FF2B5EF4-FFF2-40B4-BE49-F238E27FC236}">
              <a16:creationId xmlns:a16="http://schemas.microsoft.com/office/drawing/2014/main" id="{DFA28B5E-331A-41A1-883A-C75A65D19F2D}"/>
            </a:ext>
          </a:extLst>
        </xdr:cNvPr>
        <xdr:cNvCxnSpPr/>
      </xdr:nvCxnSpPr>
      <xdr:spPr>
        <a:xfrm flipH="1" flipV="1">
          <a:off x="9042697" y="6674187"/>
          <a:ext cx="1501064" cy="9878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107673</xdr:colOff>
      <xdr:row>30</xdr:row>
      <xdr:rowOff>173934</xdr:rowOff>
    </xdr:from>
    <xdr:to>
      <xdr:col>12</xdr:col>
      <xdr:colOff>256760</xdr:colOff>
      <xdr:row>30</xdr:row>
      <xdr:rowOff>173934</xdr:rowOff>
    </xdr:to>
    <xdr:cxnSp macro="">
      <xdr:nvCxnSpPr>
        <xdr:cNvPr id="71" name="Connecteur droit avec flèche 70" hidden="1">
          <a:extLst>
            <a:ext uri="{FF2B5EF4-FFF2-40B4-BE49-F238E27FC236}">
              <a16:creationId xmlns:a16="http://schemas.microsoft.com/office/drawing/2014/main" id="{9C404940-E108-4542-9115-C2AB6367CC7E}"/>
            </a:ext>
          </a:extLst>
        </xdr:cNvPr>
        <xdr:cNvCxnSpPr/>
      </xdr:nvCxnSpPr>
      <xdr:spPr>
        <a:xfrm flipH="1">
          <a:off x="9028043" y="6021456"/>
          <a:ext cx="1673087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106780</xdr:colOff>
      <xdr:row>38</xdr:row>
      <xdr:rowOff>66261</xdr:rowOff>
    </xdr:from>
    <xdr:to>
      <xdr:col>11</xdr:col>
      <xdr:colOff>753717</xdr:colOff>
      <xdr:row>38</xdr:row>
      <xdr:rowOff>68840</xdr:rowOff>
    </xdr:to>
    <xdr:cxnSp macro="">
      <xdr:nvCxnSpPr>
        <xdr:cNvPr id="72" name="Connecteur droit 71" hidden="1">
          <a:extLst>
            <a:ext uri="{FF2B5EF4-FFF2-40B4-BE49-F238E27FC236}">
              <a16:creationId xmlns:a16="http://schemas.microsoft.com/office/drawing/2014/main" id="{E2A753A5-7A4D-4855-9488-4D9B9B445313}"/>
            </a:ext>
          </a:extLst>
        </xdr:cNvPr>
        <xdr:cNvCxnSpPr/>
      </xdr:nvCxnSpPr>
      <xdr:spPr>
        <a:xfrm flipV="1">
          <a:off x="9027150" y="7437783"/>
          <a:ext cx="1408937" cy="2579"/>
        </a:xfrm>
        <a:prstGeom prst="line">
          <a:avLst/>
        </a:prstGeom>
        <a:ln w="76200" cmpd="sng">
          <a:solidFill>
            <a:schemeClr val="accent2"/>
          </a:solidFill>
          <a:prstDash val="sysDash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118377</xdr:colOff>
      <xdr:row>40</xdr:row>
      <xdr:rowOff>146696</xdr:rowOff>
    </xdr:from>
    <xdr:to>
      <xdr:col>11</xdr:col>
      <xdr:colOff>670891</xdr:colOff>
      <xdr:row>40</xdr:row>
      <xdr:rowOff>149087</xdr:rowOff>
    </xdr:to>
    <xdr:cxnSp macro="">
      <xdr:nvCxnSpPr>
        <xdr:cNvPr id="73" name="Connecteur droit 72" hidden="1">
          <a:extLst>
            <a:ext uri="{FF2B5EF4-FFF2-40B4-BE49-F238E27FC236}">
              <a16:creationId xmlns:a16="http://schemas.microsoft.com/office/drawing/2014/main" id="{F853A90E-BA00-43E0-A7E2-81CD79D2D9AE}"/>
            </a:ext>
          </a:extLst>
        </xdr:cNvPr>
        <xdr:cNvCxnSpPr/>
      </xdr:nvCxnSpPr>
      <xdr:spPr>
        <a:xfrm>
          <a:off x="9038747" y="7708718"/>
          <a:ext cx="1314514" cy="2391"/>
        </a:xfrm>
        <a:prstGeom prst="line">
          <a:avLst/>
        </a:prstGeom>
        <a:ln w="76200" cmpd="sng">
          <a:solidFill>
            <a:schemeClr val="accent2"/>
          </a:solidFill>
          <a:prstDash val="sysDash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110094</xdr:colOff>
      <xdr:row>29</xdr:row>
      <xdr:rowOff>140804</xdr:rowOff>
    </xdr:from>
    <xdr:to>
      <xdr:col>12</xdr:col>
      <xdr:colOff>397565</xdr:colOff>
      <xdr:row>29</xdr:row>
      <xdr:rowOff>146696</xdr:rowOff>
    </xdr:to>
    <xdr:cxnSp macro="">
      <xdr:nvCxnSpPr>
        <xdr:cNvPr id="74" name="Connecteur droit 73" hidden="1">
          <a:extLst>
            <a:ext uri="{FF2B5EF4-FFF2-40B4-BE49-F238E27FC236}">
              <a16:creationId xmlns:a16="http://schemas.microsoft.com/office/drawing/2014/main" id="{BE168366-C8AF-4DAA-AB10-CBB412F44F45}"/>
            </a:ext>
          </a:extLst>
        </xdr:cNvPr>
        <xdr:cNvCxnSpPr/>
      </xdr:nvCxnSpPr>
      <xdr:spPr>
        <a:xfrm flipV="1">
          <a:off x="8922790" y="5035826"/>
          <a:ext cx="1811471" cy="5892"/>
        </a:xfrm>
        <a:prstGeom prst="line">
          <a:avLst/>
        </a:prstGeom>
        <a:ln w="76200" cmpd="sng">
          <a:solidFill>
            <a:schemeClr val="accent2"/>
          </a:solidFill>
          <a:prstDash val="sysDash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132521</xdr:colOff>
      <xdr:row>25</xdr:row>
      <xdr:rowOff>185531</xdr:rowOff>
    </xdr:from>
    <xdr:to>
      <xdr:col>12</xdr:col>
      <xdr:colOff>491986</xdr:colOff>
      <xdr:row>26</xdr:row>
      <xdr:rowOff>0</xdr:rowOff>
    </xdr:to>
    <xdr:cxnSp macro="">
      <xdr:nvCxnSpPr>
        <xdr:cNvPr id="75" name="Connecteur droit 74" hidden="1">
          <a:extLst>
            <a:ext uri="{FF2B5EF4-FFF2-40B4-BE49-F238E27FC236}">
              <a16:creationId xmlns:a16="http://schemas.microsoft.com/office/drawing/2014/main" id="{95CE3771-7B71-4785-9374-979B9DCC668A}"/>
            </a:ext>
          </a:extLst>
        </xdr:cNvPr>
        <xdr:cNvCxnSpPr/>
      </xdr:nvCxnSpPr>
      <xdr:spPr>
        <a:xfrm flipV="1">
          <a:off x="8945217" y="4699553"/>
          <a:ext cx="1883465" cy="4969"/>
        </a:xfrm>
        <a:prstGeom prst="line">
          <a:avLst/>
        </a:prstGeom>
        <a:ln w="76200" cmpd="sng">
          <a:solidFill>
            <a:schemeClr val="accent2"/>
          </a:solidFill>
          <a:prstDash val="sysDash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94421</xdr:colOff>
      <xdr:row>40</xdr:row>
      <xdr:rowOff>49695</xdr:rowOff>
    </xdr:from>
    <xdr:to>
      <xdr:col>11</xdr:col>
      <xdr:colOff>687456</xdr:colOff>
      <xdr:row>40</xdr:row>
      <xdr:rowOff>53009</xdr:rowOff>
    </xdr:to>
    <xdr:cxnSp macro="">
      <xdr:nvCxnSpPr>
        <xdr:cNvPr id="86" name="Connecteur droit avec flèche 85" hidden="1">
          <a:extLst>
            <a:ext uri="{FF2B5EF4-FFF2-40B4-BE49-F238E27FC236}">
              <a16:creationId xmlns:a16="http://schemas.microsoft.com/office/drawing/2014/main" id="{0231753C-CE69-43B8-B667-37C351BD16EA}"/>
            </a:ext>
          </a:extLst>
        </xdr:cNvPr>
        <xdr:cNvCxnSpPr/>
      </xdr:nvCxnSpPr>
      <xdr:spPr>
        <a:xfrm flipH="1">
          <a:off x="9014791" y="7802217"/>
          <a:ext cx="1355035" cy="3314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97734</xdr:colOff>
      <xdr:row>29</xdr:row>
      <xdr:rowOff>31474</xdr:rowOff>
    </xdr:from>
    <xdr:to>
      <xdr:col>12</xdr:col>
      <xdr:colOff>306456</xdr:colOff>
      <xdr:row>29</xdr:row>
      <xdr:rowOff>33130</xdr:rowOff>
    </xdr:to>
    <xdr:cxnSp macro="">
      <xdr:nvCxnSpPr>
        <xdr:cNvPr id="88" name="Connecteur droit avec flèche 87" hidden="1">
          <a:extLst>
            <a:ext uri="{FF2B5EF4-FFF2-40B4-BE49-F238E27FC236}">
              <a16:creationId xmlns:a16="http://schemas.microsoft.com/office/drawing/2014/main" id="{E856CDCA-8316-4E5E-A64A-CCB57596A8D6}"/>
            </a:ext>
          </a:extLst>
        </xdr:cNvPr>
        <xdr:cNvCxnSpPr/>
      </xdr:nvCxnSpPr>
      <xdr:spPr>
        <a:xfrm flipH="1" flipV="1">
          <a:off x="9018104" y="5688496"/>
          <a:ext cx="1732722" cy="165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109329</xdr:colOff>
      <xdr:row>25</xdr:row>
      <xdr:rowOff>74543</xdr:rowOff>
    </xdr:from>
    <xdr:to>
      <xdr:col>12</xdr:col>
      <xdr:colOff>430695</xdr:colOff>
      <xdr:row>25</xdr:row>
      <xdr:rowOff>76200</xdr:rowOff>
    </xdr:to>
    <xdr:cxnSp macro="">
      <xdr:nvCxnSpPr>
        <xdr:cNvPr id="91" name="Connecteur droit avec flèche 90" hidden="1">
          <a:extLst>
            <a:ext uri="{FF2B5EF4-FFF2-40B4-BE49-F238E27FC236}">
              <a16:creationId xmlns:a16="http://schemas.microsoft.com/office/drawing/2014/main" id="{4F1B37C7-2C2C-4B6D-ACA4-CE3A86C4F700}"/>
            </a:ext>
          </a:extLst>
        </xdr:cNvPr>
        <xdr:cNvCxnSpPr/>
      </xdr:nvCxnSpPr>
      <xdr:spPr>
        <a:xfrm flipH="1">
          <a:off x="9029699" y="4969565"/>
          <a:ext cx="1845366" cy="1657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147430</xdr:colOff>
      <xdr:row>37</xdr:row>
      <xdr:rowOff>185535</xdr:rowOff>
    </xdr:from>
    <xdr:to>
      <xdr:col>11</xdr:col>
      <xdr:colOff>740465</xdr:colOff>
      <xdr:row>37</xdr:row>
      <xdr:rowOff>188849</xdr:rowOff>
    </xdr:to>
    <xdr:cxnSp macro="">
      <xdr:nvCxnSpPr>
        <xdr:cNvPr id="93" name="Connecteur droit avec flèche 92" hidden="1">
          <a:extLst>
            <a:ext uri="{FF2B5EF4-FFF2-40B4-BE49-F238E27FC236}">
              <a16:creationId xmlns:a16="http://schemas.microsoft.com/office/drawing/2014/main" id="{D39EEB33-1C81-4481-9A1C-F99F6521E109}"/>
            </a:ext>
          </a:extLst>
        </xdr:cNvPr>
        <xdr:cNvCxnSpPr/>
      </xdr:nvCxnSpPr>
      <xdr:spPr>
        <a:xfrm flipH="1">
          <a:off x="9067800" y="7366557"/>
          <a:ext cx="1355035" cy="3314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272181</xdr:colOff>
      <xdr:row>45</xdr:row>
      <xdr:rowOff>132328</xdr:rowOff>
    </xdr:from>
    <xdr:to>
      <xdr:col>11</xdr:col>
      <xdr:colOff>646043</xdr:colOff>
      <xdr:row>48</xdr:row>
      <xdr:rowOff>91109</xdr:rowOff>
    </xdr:to>
    <xdr:sp macro="" textlink="">
      <xdr:nvSpPr>
        <xdr:cNvPr id="76" name="Signe de multiplication 75" hidden="1">
          <a:extLst>
            <a:ext uri="{FF2B5EF4-FFF2-40B4-BE49-F238E27FC236}">
              <a16:creationId xmlns:a16="http://schemas.microsoft.com/office/drawing/2014/main" id="{51F43349-E1C0-4184-BB3E-73840907CB5D}"/>
            </a:ext>
          </a:extLst>
        </xdr:cNvPr>
        <xdr:cNvSpPr/>
      </xdr:nvSpPr>
      <xdr:spPr>
        <a:xfrm>
          <a:off x="10053942" y="8149893"/>
          <a:ext cx="373862" cy="389477"/>
        </a:xfrm>
        <a:prstGeom prst="mathMultiply">
          <a:avLst>
            <a:gd name="adj1" fmla="val 1408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415660</xdr:colOff>
      <xdr:row>41</xdr:row>
      <xdr:rowOff>173870</xdr:rowOff>
    </xdr:from>
    <xdr:to>
      <xdr:col>12</xdr:col>
      <xdr:colOff>41987</xdr:colOff>
      <xdr:row>43</xdr:row>
      <xdr:rowOff>181197</xdr:rowOff>
    </xdr:to>
    <xdr:sp macro="" textlink="">
      <xdr:nvSpPr>
        <xdr:cNvPr id="77" name="Signe de multiplication 76" hidden="1">
          <a:extLst>
            <a:ext uri="{FF2B5EF4-FFF2-40B4-BE49-F238E27FC236}">
              <a16:creationId xmlns:a16="http://schemas.microsoft.com/office/drawing/2014/main" id="{82558DD7-AB5D-4340-8897-CB85DD35E2D7}"/>
            </a:ext>
          </a:extLst>
        </xdr:cNvPr>
        <xdr:cNvSpPr/>
      </xdr:nvSpPr>
      <xdr:spPr>
        <a:xfrm>
          <a:off x="10197421" y="7429435"/>
          <a:ext cx="388327" cy="388327"/>
        </a:xfrm>
        <a:prstGeom prst="mathMultiply">
          <a:avLst>
            <a:gd name="adj1" fmla="val 1408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538369</xdr:colOff>
      <xdr:row>32</xdr:row>
      <xdr:rowOff>149087</xdr:rowOff>
    </xdr:from>
    <xdr:to>
      <xdr:col>14</xdr:col>
      <xdr:colOff>695739</xdr:colOff>
      <xdr:row>33</xdr:row>
      <xdr:rowOff>107674</xdr:rowOff>
    </xdr:to>
    <xdr:cxnSp macro="">
      <xdr:nvCxnSpPr>
        <xdr:cNvPr id="78" name="Connecteur droit avec flèche 77" hidden="1">
          <a:extLst>
            <a:ext uri="{FF2B5EF4-FFF2-40B4-BE49-F238E27FC236}">
              <a16:creationId xmlns:a16="http://schemas.microsoft.com/office/drawing/2014/main" id="{7949922C-319D-4BC1-A21B-F85EC3448274}"/>
            </a:ext>
          </a:extLst>
        </xdr:cNvPr>
        <xdr:cNvCxnSpPr/>
      </xdr:nvCxnSpPr>
      <xdr:spPr>
        <a:xfrm flipH="1" flipV="1">
          <a:off x="11844130" y="5706717"/>
          <a:ext cx="919370" cy="149087"/>
        </a:xfrm>
        <a:prstGeom prst="straightConnector1">
          <a:avLst/>
        </a:prstGeom>
        <a:ln>
          <a:tailEnd type="triangle"/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190499</xdr:colOff>
      <xdr:row>33</xdr:row>
      <xdr:rowOff>33131</xdr:rowOff>
    </xdr:from>
    <xdr:to>
      <xdr:col>14</xdr:col>
      <xdr:colOff>695739</xdr:colOff>
      <xdr:row>33</xdr:row>
      <xdr:rowOff>115957</xdr:rowOff>
    </xdr:to>
    <xdr:cxnSp macro="">
      <xdr:nvCxnSpPr>
        <xdr:cNvPr id="79" name="Connecteur droit avec flèche 78" hidden="1">
          <a:extLst>
            <a:ext uri="{FF2B5EF4-FFF2-40B4-BE49-F238E27FC236}">
              <a16:creationId xmlns:a16="http://schemas.microsoft.com/office/drawing/2014/main" id="{44BB7F3D-C9B2-4AD4-89E2-612BE9C46841}"/>
            </a:ext>
          </a:extLst>
        </xdr:cNvPr>
        <xdr:cNvCxnSpPr/>
      </xdr:nvCxnSpPr>
      <xdr:spPr>
        <a:xfrm flipH="1" flipV="1">
          <a:off x="12258260" y="5781261"/>
          <a:ext cx="505240" cy="82826"/>
        </a:xfrm>
        <a:prstGeom prst="straightConnector1">
          <a:avLst/>
        </a:prstGeom>
        <a:ln>
          <a:tailEnd type="triangle"/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105603</xdr:colOff>
      <xdr:row>52</xdr:row>
      <xdr:rowOff>106018</xdr:rowOff>
    </xdr:from>
    <xdr:to>
      <xdr:col>11</xdr:col>
      <xdr:colOff>240196</xdr:colOff>
      <xdr:row>52</xdr:row>
      <xdr:rowOff>107674</xdr:rowOff>
    </xdr:to>
    <xdr:cxnSp macro="">
      <xdr:nvCxnSpPr>
        <xdr:cNvPr id="80" name="Connecteur droit avec flèche 79">
          <a:extLst>
            <a:ext uri="{FF2B5EF4-FFF2-40B4-BE49-F238E27FC236}">
              <a16:creationId xmlns:a16="http://schemas.microsoft.com/office/drawing/2014/main" id="{6A3BF2DD-90CF-4017-8A27-DC65138D6ED3}"/>
            </a:ext>
          </a:extLst>
        </xdr:cNvPr>
        <xdr:cNvCxnSpPr/>
      </xdr:nvCxnSpPr>
      <xdr:spPr>
        <a:xfrm>
          <a:off x="9125364" y="9200322"/>
          <a:ext cx="896593" cy="165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552864</xdr:colOff>
      <xdr:row>53</xdr:row>
      <xdr:rowOff>155713</xdr:rowOff>
    </xdr:from>
    <xdr:to>
      <xdr:col>12</xdr:col>
      <xdr:colOff>182217</xdr:colOff>
      <xdr:row>53</xdr:row>
      <xdr:rowOff>157370</xdr:rowOff>
    </xdr:to>
    <xdr:cxnSp macro="">
      <xdr:nvCxnSpPr>
        <xdr:cNvPr id="81" name="Connecteur droit avec flèche 80" hidden="1">
          <a:extLst>
            <a:ext uri="{FF2B5EF4-FFF2-40B4-BE49-F238E27FC236}">
              <a16:creationId xmlns:a16="http://schemas.microsoft.com/office/drawing/2014/main" id="{724C2961-2083-46E1-AB44-85C73414EE74}"/>
            </a:ext>
          </a:extLst>
        </xdr:cNvPr>
        <xdr:cNvCxnSpPr/>
      </xdr:nvCxnSpPr>
      <xdr:spPr>
        <a:xfrm>
          <a:off x="9572625" y="9382539"/>
          <a:ext cx="1153353" cy="1657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584593</xdr:colOff>
      <xdr:row>32</xdr:row>
      <xdr:rowOff>43324</xdr:rowOff>
    </xdr:from>
    <xdr:to>
      <xdr:col>10</xdr:col>
      <xdr:colOff>3186</xdr:colOff>
      <xdr:row>32</xdr:row>
      <xdr:rowOff>44790</xdr:rowOff>
    </xdr:to>
    <xdr:cxnSp macro="">
      <xdr:nvCxnSpPr>
        <xdr:cNvPr id="82" name="Connecteur droit 81" hidden="1">
          <a:extLst>
            <a:ext uri="{FF2B5EF4-FFF2-40B4-BE49-F238E27FC236}">
              <a16:creationId xmlns:a16="http://schemas.microsoft.com/office/drawing/2014/main" id="{81D9875D-360B-47A8-959B-A671F38E6A66}"/>
            </a:ext>
          </a:extLst>
        </xdr:cNvPr>
        <xdr:cNvCxnSpPr/>
      </xdr:nvCxnSpPr>
      <xdr:spPr>
        <a:xfrm flipH="1">
          <a:off x="8038941" y="5600954"/>
          <a:ext cx="984006" cy="1466"/>
        </a:xfrm>
        <a:prstGeom prst="line">
          <a:avLst/>
        </a:prstGeom>
        <a:ln w="7620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596348</xdr:colOff>
      <xdr:row>35</xdr:row>
      <xdr:rowOff>4143</xdr:rowOff>
    </xdr:from>
    <xdr:to>
      <xdr:col>10</xdr:col>
      <xdr:colOff>21535</xdr:colOff>
      <xdr:row>35</xdr:row>
      <xdr:rowOff>4143</xdr:rowOff>
    </xdr:to>
    <xdr:cxnSp macro="">
      <xdr:nvCxnSpPr>
        <xdr:cNvPr id="83" name="Connecteur droit 82" hidden="1">
          <a:extLst>
            <a:ext uri="{FF2B5EF4-FFF2-40B4-BE49-F238E27FC236}">
              <a16:creationId xmlns:a16="http://schemas.microsoft.com/office/drawing/2014/main" id="{EC403BDF-ABC3-4207-B2AF-D790F63BACE2}"/>
            </a:ext>
          </a:extLst>
        </xdr:cNvPr>
        <xdr:cNvCxnSpPr/>
      </xdr:nvCxnSpPr>
      <xdr:spPr>
        <a:xfrm flipH="1">
          <a:off x="8050696" y="6133273"/>
          <a:ext cx="990600" cy="0"/>
        </a:xfrm>
        <a:prstGeom prst="line">
          <a:avLst/>
        </a:prstGeom>
        <a:ln w="7620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600075</xdr:colOff>
      <xdr:row>32</xdr:row>
      <xdr:rowOff>12423</xdr:rowOff>
    </xdr:from>
    <xdr:to>
      <xdr:col>7</xdr:col>
      <xdr:colOff>600075</xdr:colOff>
      <xdr:row>35</xdr:row>
      <xdr:rowOff>40998</xdr:rowOff>
    </xdr:to>
    <xdr:cxnSp macro="">
      <xdr:nvCxnSpPr>
        <xdr:cNvPr id="84" name="Connecteur droit 83" hidden="1">
          <a:extLst>
            <a:ext uri="{FF2B5EF4-FFF2-40B4-BE49-F238E27FC236}">
              <a16:creationId xmlns:a16="http://schemas.microsoft.com/office/drawing/2014/main" id="{A196AA4E-FED6-4708-B735-E69F63CE965F}"/>
            </a:ext>
          </a:extLst>
        </xdr:cNvPr>
        <xdr:cNvCxnSpPr/>
      </xdr:nvCxnSpPr>
      <xdr:spPr>
        <a:xfrm flipV="1">
          <a:off x="8054423" y="5570053"/>
          <a:ext cx="0" cy="600075"/>
        </a:xfrm>
        <a:prstGeom prst="line">
          <a:avLst/>
        </a:prstGeom>
        <a:ln w="254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862220</xdr:colOff>
      <xdr:row>32</xdr:row>
      <xdr:rowOff>75373</xdr:rowOff>
    </xdr:from>
    <xdr:to>
      <xdr:col>7</xdr:col>
      <xdr:colOff>862220</xdr:colOff>
      <xdr:row>34</xdr:row>
      <xdr:rowOff>189673</xdr:rowOff>
    </xdr:to>
    <xdr:cxnSp macro="">
      <xdr:nvCxnSpPr>
        <xdr:cNvPr id="85" name="Connecteur droit 84" hidden="1">
          <a:extLst>
            <a:ext uri="{FF2B5EF4-FFF2-40B4-BE49-F238E27FC236}">
              <a16:creationId xmlns:a16="http://schemas.microsoft.com/office/drawing/2014/main" id="{8A7403C3-C169-4FD8-8929-F1F5DC310252}"/>
            </a:ext>
          </a:extLst>
        </xdr:cNvPr>
        <xdr:cNvCxnSpPr/>
      </xdr:nvCxnSpPr>
      <xdr:spPr>
        <a:xfrm flipV="1">
          <a:off x="8316568" y="5633003"/>
          <a:ext cx="0" cy="495300"/>
        </a:xfrm>
        <a:prstGeom prst="line">
          <a:avLst/>
        </a:prstGeom>
        <a:ln w="508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115193</xdr:colOff>
      <xdr:row>25</xdr:row>
      <xdr:rowOff>181419</xdr:rowOff>
    </xdr:from>
    <xdr:to>
      <xdr:col>12</xdr:col>
      <xdr:colOff>632791</xdr:colOff>
      <xdr:row>25</xdr:row>
      <xdr:rowOff>185531</xdr:rowOff>
    </xdr:to>
    <xdr:cxnSp macro="">
      <xdr:nvCxnSpPr>
        <xdr:cNvPr id="87" name="Connecteur droit 86" hidden="1">
          <a:extLst>
            <a:ext uri="{FF2B5EF4-FFF2-40B4-BE49-F238E27FC236}">
              <a16:creationId xmlns:a16="http://schemas.microsoft.com/office/drawing/2014/main" id="{BA9F6956-8087-4AF1-B62F-812A29C74152}"/>
            </a:ext>
          </a:extLst>
        </xdr:cNvPr>
        <xdr:cNvCxnSpPr/>
      </xdr:nvCxnSpPr>
      <xdr:spPr>
        <a:xfrm>
          <a:off x="9134954" y="4446962"/>
          <a:ext cx="2041598" cy="4112"/>
        </a:xfrm>
        <a:prstGeom prst="line">
          <a:avLst/>
        </a:prstGeom>
        <a:ln w="76200" cmpd="sng">
          <a:solidFill>
            <a:schemeClr val="accent2"/>
          </a:solidFill>
          <a:prstDash val="sysDash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98535</xdr:colOff>
      <xdr:row>13</xdr:row>
      <xdr:rowOff>26278</xdr:rowOff>
    </xdr:from>
    <xdr:to>
      <xdr:col>11</xdr:col>
      <xdr:colOff>637189</xdr:colOff>
      <xdr:row>16</xdr:row>
      <xdr:rowOff>19709</xdr:rowOff>
    </xdr:to>
    <xdr:cxnSp macro="">
      <xdr:nvCxnSpPr>
        <xdr:cNvPr id="183" name="Connecteur droit 182" hidden="1">
          <a:extLst>
            <a:ext uri="{FF2B5EF4-FFF2-40B4-BE49-F238E27FC236}">
              <a16:creationId xmlns:a16="http://schemas.microsoft.com/office/drawing/2014/main" id="{D53649D3-3BC5-4DFA-9B02-BD25BC1919DF}"/>
            </a:ext>
          </a:extLst>
        </xdr:cNvPr>
        <xdr:cNvCxnSpPr/>
      </xdr:nvCxnSpPr>
      <xdr:spPr>
        <a:xfrm flipH="1">
          <a:off x="8230914" y="2594744"/>
          <a:ext cx="2023241" cy="564931"/>
        </a:xfrm>
        <a:prstGeom prst="line">
          <a:avLst/>
        </a:prstGeom>
        <a:ln w="10160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637190</xdr:colOff>
      <xdr:row>13</xdr:row>
      <xdr:rowOff>19706</xdr:rowOff>
    </xdr:from>
    <xdr:to>
      <xdr:col>18</xdr:col>
      <xdr:colOff>137948</xdr:colOff>
      <xdr:row>13</xdr:row>
      <xdr:rowOff>32844</xdr:rowOff>
    </xdr:to>
    <xdr:cxnSp macro="">
      <xdr:nvCxnSpPr>
        <xdr:cNvPr id="101" name="Connecteur droit 100" hidden="1">
          <a:extLst>
            <a:ext uri="{FF2B5EF4-FFF2-40B4-BE49-F238E27FC236}">
              <a16:creationId xmlns:a16="http://schemas.microsoft.com/office/drawing/2014/main" id="{A65CA150-5F74-4995-AF95-239B2712EA33}"/>
            </a:ext>
          </a:extLst>
        </xdr:cNvPr>
        <xdr:cNvCxnSpPr/>
      </xdr:nvCxnSpPr>
      <xdr:spPr>
        <a:xfrm flipH="1" flipV="1">
          <a:off x="9945414" y="2588172"/>
          <a:ext cx="3323896" cy="13138"/>
        </a:xfrm>
        <a:prstGeom prst="line">
          <a:avLst/>
        </a:prstGeom>
        <a:ln w="7620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848458</xdr:colOff>
      <xdr:row>3</xdr:row>
      <xdr:rowOff>52021</xdr:rowOff>
    </xdr:from>
    <xdr:to>
      <xdr:col>13</xdr:col>
      <xdr:colOff>455735</xdr:colOff>
      <xdr:row>6</xdr:row>
      <xdr:rowOff>147271</xdr:rowOff>
    </xdr:to>
    <xdr:cxnSp macro="">
      <xdr:nvCxnSpPr>
        <xdr:cNvPr id="2" name="Connecteur droit 1" hidden="1">
          <a:extLst>
            <a:ext uri="{FF2B5EF4-FFF2-40B4-BE49-F238E27FC236}">
              <a16:creationId xmlns:a16="http://schemas.microsoft.com/office/drawing/2014/main" id="{3283D748-F4CE-4A9A-9EE8-924472E84747}"/>
            </a:ext>
          </a:extLst>
        </xdr:cNvPr>
        <xdr:cNvCxnSpPr/>
      </xdr:nvCxnSpPr>
      <xdr:spPr>
        <a:xfrm>
          <a:off x="5972908" y="6852871"/>
          <a:ext cx="455002" cy="666750"/>
        </a:xfrm>
        <a:prstGeom prst="line">
          <a:avLst/>
        </a:prstGeom>
        <a:ln w="762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848458</xdr:colOff>
      <xdr:row>25</xdr:row>
      <xdr:rowOff>52021</xdr:rowOff>
    </xdr:from>
    <xdr:to>
      <xdr:col>6</xdr:col>
      <xdr:colOff>455735</xdr:colOff>
      <xdr:row>28</xdr:row>
      <xdr:rowOff>147271</xdr:rowOff>
    </xdr:to>
    <xdr:cxnSp macro="">
      <xdr:nvCxnSpPr>
        <xdr:cNvPr id="3" name="Connecteur droit 2" hidden="1">
          <a:extLst>
            <a:ext uri="{FF2B5EF4-FFF2-40B4-BE49-F238E27FC236}">
              <a16:creationId xmlns:a16="http://schemas.microsoft.com/office/drawing/2014/main" id="{5B9F32C7-4642-4088-B095-872F8D144E1F}"/>
            </a:ext>
          </a:extLst>
        </xdr:cNvPr>
        <xdr:cNvCxnSpPr/>
      </xdr:nvCxnSpPr>
      <xdr:spPr>
        <a:xfrm>
          <a:off x="5972908" y="4947871"/>
          <a:ext cx="455002" cy="666750"/>
        </a:xfrm>
        <a:prstGeom prst="line">
          <a:avLst/>
        </a:prstGeom>
        <a:ln w="762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44</xdr:row>
      <xdr:rowOff>180975</xdr:rowOff>
    </xdr:from>
    <xdr:to>
      <xdr:col>6</xdr:col>
      <xdr:colOff>238125</xdr:colOff>
      <xdr:row>44</xdr:row>
      <xdr:rowOff>180975</xdr:rowOff>
    </xdr:to>
    <xdr:cxnSp macro="">
      <xdr:nvCxnSpPr>
        <xdr:cNvPr id="4" name="Connecteur droit avec flèche 3" hidden="1">
          <a:extLst>
            <a:ext uri="{FF2B5EF4-FFF2-40B4-BE49-F238E27FC236}">
              <a16:creationId xmlns:a16="http://schemas.microsoft.com/office/drawing/2014/main" id="{86B39E8B-6BC2-4252-8D97-92BE0E03F4FC}"/>
            </a:ext>
          </a:extLst>
        </xdr:cNvPr>
        <xdr:cNvCxnSpPr/>
      </xdr:nvCxnSpPr>
      <xdr:spPr>
        <a:xfrm>
          <a:off x="5238750" y="8696325"/>
          <a:ext cx="97155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47624</xdr:colOff>
      <xdr:row>5</xdr:row>
      <xdr:rowOff>171449</xdr:rowOff>
    </xdr:from>
    <xdr:to>
      <xdr:col>9</xdr:col>
      <xdr:colOff>52551</xdr:colOff>
      <xdr:row>16</xdr:row>
      <xdr:rowOff>78827</xdr:rowOff>
    </xdr:to>
    <xdr:cxnSp macro="">
      <xdr:nvCxnSpPr>
        <xdr:cNvPr id="6" name="Connecteur droit 5" hidden="1">
          <a:extLst>
            <a:ext uri="{FF2B5EF4-FFF2-40B4-BE49-F238E27FC236}">
              <a16:creationId xmlns:a16="http://schemas.microsoft.com/office/drawing/2014/main" id="{B9D888E9-B016-45F8-0128-FF4112646567}"/>
            </a:ext>
          </a:extLst>
        </xdr:cNvPr>
        <xdr:cNvCxnSpPr/>
      </xdr:nvCxnSpPr>
      <xdr:spPr>
        <a:xfrm>
          <a:off x="7936952" y="1169932"/>
          <a:ext cx="4927" cy="2048861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104775</xdr:colOff>
      <xdr:row>7</xdr:row>
      <xdr:rowOff>28575</xdr:rowOff>
    </xdr:from>
    <xdr:to>
      <xdr:col>21</xdr:col>
      <xdr:colOff>0</xdr:colOff>
      <xdr:row>7</xdr:row>
      <xdr:rowOff>38100</xdr:rowOff>
    </xdr:to>
    <xdr:cxnSp macro="">
      <xdr:nvCxnSpPr>
        <xdr:cNvPr id="11" name="Connecteur droit 10">
          <a:extLst>
            <a:ext uri="{FF2B5EF4-FFF2-40B4-BE49-F238E27FC236}">
              <a16:creationId xmlns:a16="http://schemas.microsoft.com/office/drawing/2014/main" id="{FC56AA7D-122D-4C8D-A5EB-60409EFD2ADD}"/>
            </a:ext>
          </a:extLst>
        </xdr:cNvPr>
        <xdr:cNvCxnSpPr/>
      </xdr:nvCxnSpPr>
      <xdr:spPr>
        <a:xfrm flipH="1" flipV="1">
          <a:off x="8329120" y="1408058"/>
          <a:ext cx="7528363" cy="9525"/>
        </a:xfrm>
        <a:prstGeom prst="line">
          <a:avLst/>
        </a:prstGeom>
        <a:ln w="7620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118898</xdr:colOff>
      <xdr:row>13</xdr:row>
      <xdr:rowOff>32844</xdr:rowOff>
    </xdr:from>
    <xdr:to>
      <xdr:col>11</xdr:col>
      <xdr:colOff>683172</xdr:colOff>
      <xdr:row>16</xdr:row>
      <xdr:rowOff>22334</xdr:rowOff>
    </xdr:to>
    <xdr:cxnSp macro="">
      <xdr:nvCxnSpPr>
        <xdr:cNvPr id="15" name="Connecteur droit 14" hidden="1">
          <a:extLst>
            <a:ext uri="{FF2B5EF4-FFF2-40B4-BE49-F238E27FC236}">
              <a16:creationId xmlns:a16="http://schemas.microsoft.com/office/drawing/2014/main" id="{8E63AAE8-CDE4-44B2-8F2D-88A32C95623D}"/>
            </a:ext>
          </a:extLst>
        </xdr:cNvPr>
        <xdr:cNvCxnSpPr/>
      </xdr:nvCxnSpPr>
      <xdr:spPr>
        <a:xfrm flipH="1">
          <a:off x="8376088" y="2601310"/>
          <a:ext cx="2088274" cy="560990"/>
        </a:xfrm>
        <a:prstGeom prst="line">
          <a:avLst/>
        </a:prstGeom>
        <a:ln w="7620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100504</xdr:colOff>
      <xdr:row>13</xdr:row>
      <xdr:rowOff>23648</xdr:rowOff>
    </xdr:from>
    <xdr:to>
      <xdr:col>20</xdr:col>
      <xdr:colOff>755431</xdr:colOff>
      <xdr:row>16</xdr:row>
      <xdr:rowOff>26275</xdr:rowOff>
    </xdr:to>
    <xdr:cxnSp macro="">
      <xdr:nvCxnSpPr>
        <xdr:cNvPr id="17" name="Connecteur droit 16" hidden="1">
          <a:extLst>
            <a:ext uri="{FF2B5EF4-FFF2-40B4-BE49-F238E27FC236}">
              <a16:creationId xmlns:a16="http://schemas.microsoft.com/office/drawing/2014/main" id="{DD1CBD2D-CC1F-42E0-8E44-BEB96E0385E7}"/>
            </a:ext>
          </a:extLst>
        </xdr:cNvPr>
        <xdr:cNvCxnSpPr/>
      </xdr:nvCxnSpPr>
      <xdr:spPr>
        <a:xfrm flipH="1" flipV="1">
          <a:off x="12167694" y="2592114"/>
          <a:ext cx="2178927" cy="574127"/>
        </a:xfrm>
        <a:prstGeom prst="line">
          <a:avLst/>
        </a:prstGeom>
        <a:ln w="7620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683173</xdr:colOff>
      <xdr:row>13</xdr:row>
      <xdr:rowOff>19706</xdr:rowOff>
    </xdr:from>
    <xdr:to>
      <xdr:col>18</xdr:col>
      <xdr:colOff>124810</xdr:colOff>
      <xdr:row>13</xdr:row>
      <xdr:rowOff>26275</xdr:rowOff>
    </xdr:to>
    <xdr:cxnSp macro="">
      <xdr:nvCxnSpPr>
        <xdr:cNvPr id="20" name="Connecteur droit 19" hidden="1">
          <a:extLst>
            <a:ext uri="{FF2B5EF4-FFF2-40B4-BE49-F238E27FC236}">
              <a16:creationId xmlns:a16="http://schemas.microsoft.com/office/drawing/2014/main" id="{52D94E97-C715-43DA-85BD-9C80F225D7E1}"/>
            </a:ext>
          </a:extLst>
        </xdr:cNvPr>
        <xdr:cNvCxnSpPr/>
      </xdr:nvCxnSpPr>
      <xdr:spPr>
        <a:xfrm flipH="1" flipV="1">
          <a:off x="9991397" y="2588172"/>
          <a:ext cx="3264775" cy="6569"/>
        </a:xfrm>
        <a:prstGeom prst="line">
          <a:avLst/>
        </a:prstGeom>
        <a:ln w="7620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55177</xdr:colOff>
      <xdr:row>6</xdr:row>
      <xdr:rowOff>8867</xdr:rowOff>
    </xdr:from>
    <xdr:to>
      <xdr:col>21</xdr:col>
      <xdr:colOff>59120</xdr:colOff>
      <xdr:row>14</xdr:row>
      <xdr:rowOff>105103</xdr:rowOff>
    </xdr:to>
    <xdr:cxnSp macro="">
      <xdr:nvCxnSpPr>
        <xdr:cNvPr id="23" name="Connecteur droit 22" hidden="1">
          <a:extLst>
            <a:ext uri="{FF2B5EF4-FFF2-40B4-BE49-F238E27FC236}">
              <a16:creationId xmlns:a16="http://schemas.microsoft.com/office/drawing/2014/main" id="{BC3EBC01-BABA-46C9-9677-8D385CD427C7}"/>
            </a:ext>
          </a:extLst>
        </xdr:cNvPr>
        <xdr:cNvCxnSpPr/>
      </xdr:nvCxnSpPr>
      <xdr:spPr>
        <a:xfrm>
          <a:off x="15879815" y="1197850"/>
          <a:ext cx="3943" cy="1666219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100506</xdr:colOff>
      <xdr:row>13</xdr:row>
      <xdr:rowOff>33173</xdr:rowOff>
    </xdr:from>
    <xdr:to>
      <xdr:col>21</xdr:col>
      <xdr:colOff>13138</xdr:colOff>
      <xdr:row>13</xdr:row>
      <xdr:rowOff>35800</xdr:rowOff>
    </xdr:to>
    <xdr:cxnSp macro="">
      <xdr:nvCxnSpPr>
        <xdr:cNvPr id="24" name="Connecteur droit 23" hidden="1">
          <a:extLst>
            <a:ext uri="{FF2B5EF4-FFF2-40B4-BE49-F238E27FC236}">
              <a16:creationId xmlns:a16="http://schemas.microsoft.com/office/drawing/2014/main" id="{02988985-99C6-484E-ACBA-C99B10632031}"/>
            </a:ext>
          </a:extLst>
        </xdr:cNvPr>
        <xdr:cNvCxnSpPr/>
      </xdr:nvCxnSpPr>
      <xdr:spPr>
        <a:xfrm flipH="1" flipV="1">
          <a:off x="13540281" y="2604923"/>
          <a:ext cx="2131957" cy="2627"/>
        </a:xfrm>
        <a:prstGeom prst="line">
          <a:avLst/>
        </a:prstGeom>
        <a:ln w="7620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49922</xdr:colOff>
      <xdr:row>6</xdr:row>
      <xdr:rowOff>187543</xdr:rowOff>
    </xdr:from>
    <xdr:to>
      <xdr:col>21</xdr:col>
      <xdr:colOff>52551</xdr:colOff>
      <xdr:row>13</xdr:row>
      <xdr:rowOff>59120</xdr:rowOff>
    </xdr:to>
    <xdr:cxnSp macro="">
      <xdr:nvCxnSpPr>
        <xdr:cNvPr id="27" name="Connecteur droit 26" hidden="1">
          <a:extLst>
            <a:ext uri="{FF2B5EF4-FFF2-40B4-BE49-F238E27FC236}">
              <a16:creationId xmlns:a16="http://schemas.microsoft.com/office/drawing/2014/main" id="{3DA2529C-1199-46B9-9300-F6682BBB9D01}"/>
            </a:ext>
          </a:extLst>
        </xdr:cNvPr>
        <xdr:cNvCxnSpPr/>
      </xdr:nvCxnSpPr>
      <xdr:spPr>
        <a:xfrm>
          <a:off x="15572388" y="1376526"/>
          <a:ext cx="2629" cy="1251060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51236</xdr:colOff>
      <xdr:row>6</xdr:row>
      <xdr:rowOff>175719</xdr:rowOff>
    </xdr:from>
    <xdr:to>
      <xdr:col>21</xdr:col>
      <xdr:colOff>52551</xdr:colOff>
      <xdr:row>14</xdr:row>
      <xdr:rowOff>78827</xdr:rowOff>
    </xdr:to>
    <xdr:cxnSp macro="">
      <xdr:nvCxnSpPr>
        <xdr:cNvPr id="29" name="Connecteur droit 28">
          <a:extLst>
            <a:ext uri="{FF2B5EF4-FFF2-40B4-BE49-F238E27FC236}">
              <a16:creationId xmlns:a16="http://schemas.microsoft.com/office/drawing/2014/main" id="{9917562E-9C37-4247-A115-29BF44CD893A}"/>
            </a:ext>
          </a:extLst>
        </xdr:cNvPr>
        <xdr:cNvCxnSpPr/>
      </xdr:nvCxnSpPr>
      <xdr:spPr>
        <a:xfrm>
          <a:off x="15573702" y="1364702"/>
          <a:ext cx="1315" cy="1473091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55178</xdr:colOff>
      <xdr:row>6</xdr:row>
      <xdr:rowOff>179660</xdr:rowOff>
    </xdr:from>
    <xdr:to>
      <xdr:col>9</xdr:col>
      <xdr:colOff>59120</xdr:colOff>
      <xdr:row>16</xdr:row>
      <xdr:rowOff>52551</xdr:rowOff>
    </xdr:to>
    <xdr:cxnSp macro="">
      <xdr:nvCxnSpPr>
        <xdr:cNvPr id="31" name="Connecteur droit 30" hidden="1">
          <a:extLst>
            <a:ext uri="{FF2B5EF4-FFF2-40B4-BE49-F238E27FC236}">
              <a16:creationId xmlns:a16="http://schemas.microsoft.com/office/drawing/2014/main" id="{6A9D6789-60AB-49CC-87CA-191DD7F2C481}"/>
            </a:ext>
          </a:extLst>
        </xdr:cNvPr>
        <xdr:cNvCxnSpPr/>
      </xdr:nvCxnSpPr>
      <xdr:spPr>
        <a:xfrm>
          <a:off x="7944506" y="1368643"/>
          <a:ext cx="3942" cy="1823874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3941</xdr:colOff>
      <xdr:row>14</xdr:row>
      <xdr:rowOff>141560</xdr:rowOff>
    </xdr:from>
    <xdr:to>
      <xdr:col>10</xdr:col>
      <xdr:colOff>6569</xdr:colOff>
      <xdr:row>16</xdr:row>
      <xdr:rowOff>6569</xdr:rowOff>
    </xdr:to>
    <xdr:cxnSp macro="">
      <xdr:nvCxnSpPr>
        <xdr:cNvPr id="34" name="Connecteur droit 33" hidden="1">
          <a:extLst>
            <a:ext uri="{FF2B5EF4-FFF2-40B4-BE49-F238E27FC236}">
              <a16:creationId xmlns:a16="http://schemas.microsoft.com/office/drawing/2014/main" id="{FBE8B92A-8C1E-4F90-9639-C0049923BD77}"/>
            </a:ext>
          </a:extLst>
        </xdr:cNvPr>
        <xdr:cNvCxnSpPr/>
      </xdr:nvCxnSpPr>
      <xdr:spPr>
        <a:xfrm>
          <a:off x="9023131" y="2710026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105104</xdr:colOff>
      <xdr:row>12</xdr:row>
      <xdr:rowOff>223344</xdr:rowOff>
    </xdr:from>
    <xdr:to>
      <xdr:col>11</xdr:col>
      <xdr:colOff>702880</xdr:colOff>
      <xdr:row>16</xdr:row>
      <xdr:rowOff>19706</xdr:rowOff>
    </xdr:to>
    <xdr:cxnSp macro="">
      <xdr:nvCxnSpPr>
        <xdr:cNvPr id="35" name="Connecteur droit 34" hidden="1">
          <a:extLst>
            <a:ext uri="{FF2B5EF4-FFF2-40B4-BE49-F238E27FC236}">
              <a16:creationId xmlns:a16="http://schemas.microsoft.com/office/drawing/2014/main" id="{93DC50D1-AAF6-415A-A767-C3FEC2CB3374}"/>
            </a:ext>
          </a:extLst>
        </xdr:cNvPr>
        <xdr:cNvCxnSpPr/>
      </xdr:nvCxnSpPr>
      <xdr:spPr>
        <a:xfrm flipH="1">
          <a:off x="7889328" y="2555327"/>
          <a:ext cx="2121776" cy="604345"/>
        </a:xfrm>
        <a:prstGeom prst="line">
          <a:avLst/>
        </a:prstGeom>
        <a:ln w="7620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45983</xdr:colOff>
      <xdr:row>5</xdr:row>
      <xdr:rowOff>173091</xdr:rowOff>
    </xdr:from>
    <xdr:to>
      <xdr:col>9</xdr:col>
      <xdr:colOff>48610</xdr:colOff>
      <xdr:row>14</xdr:row>
      <xdr:rowOff>105103</xdr:rowOff>
    </xdr:to>
    <xdr:cxnSp macro="">
      <xdr:nvCxnSpPr>
        <xdr:cNvPr id="37" name="Connecteur droit 36" hidden="1">
          <a:extLst>
            <a:ext uri="{FF2B5EF4-FFF2-40B4-BE49-F238E27FC236}">
              <a16:creationId xmlns:a16="http://schemas.microsoft.com/office/drawing/2014/main" id="{0A95AB48-3455-4384-8AA5-E33EC4BAACBB}"/>
            </a:ext>
          </a:extLst>
        </xdr:cNvPr>
        <xdr:cNvCxnSpPr/>
      </xdr:nvCxnSpPr>
      <xdr:spPr>
        <a:xfrm flipH="1">
          <a:off x="7935311" y="1171574"/>
          <a:ext cx="2627" cy="1692495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52551</xdr:colOff>
      <xdr:row>6</xdr:row>
      <xdr:rowOff>177362</xdr:rowOff>
    </xdr:from>
    <xdr:to>
      <xdr:col>9</xdr:col>
      <xdr:colOff>52551</xdr:colOff>
      <xdr:row>13</xdr:row>
      <xdr:rowOff>59120</xdr:rowOff>
    </xdr:to>
    <xdr:cxnSp macro="">
      <xdr:nvCxnSpPr>
        <xdr:cNvPr id="39" name="Connecteur droit 38" hidden="1">
          <a:extLst>
            <a:ext uri="{FF2B5EF4-FFF2-40B4-BE49-F238E27FC236}">
              <a16:creationId xmlns:a16="http://schemas.microsoft.com/office/drawing/2014/main" id="{826FBCD0-FF1F-482C-86DC-EBB941CA9C5A}"/>
            </a:ext>
          </a:extLst>
        </xdr:cNvPr>
        <xdr:cNvCxnSpPr/>
      </xdr:nvCxnSpPr>
      <xdr:spPr>
        <a:xfrm>
          <a:off x="8244051" y="1366345"/>
          <a:ext cx="0" cy="1261241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754117</xdr:colOff>
      <xdr:row>12</xdr:row>
      <xdr:rowOff>162581</xdr:rowOff>
    </xdr:from>
    <xdr:to>
      <xdr:col>10</xdr:col>
      <xdr:colOff>756745</xdr:colOff>
      <xdr:row>13</xdr:row>
      <xdr:rowOff>172107</xdr:rowOff>
    </xdr:to>
    <xdr:cxnSp macro="">
      <xdr:nvCxnSpPr>
        <xdr:cNvPr id="43" name="Connecteur droit 42" hidden="1">
          <a:extLst>
            <a:ext uri="{FF2B5EF4-FFF2-40B4-BE49-F238E27FC236}">
              <a16:creationId xmlns:a16="http://schemas.microsoft.com/office/drawing/2014/main" id="{79B1780E-A339-41CF-92C9-6E2E19E54046}"/>
            </a:ext>
          </a:extLst>
        </xdr:cNvPr>
        <xdr:cNvCxnSpPr/>
      </xdr:nvCxnSpPr>
      <xdr:spPr>
        <a:xfrm>
          <a:off x="9740462" y="2494564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6569</xdr:colOff>
      <xdr:row>11</xdr:row>
      <xdr:rowOff>190171</xdr:rowOff>
    </xdr:from>
    <xdr:to>
      <xdr:col>13</xdr:col>
      <xdr:colOff>9197</xdr:colOff>
      <xdr:row>13</xdr:row>
      <xdr:rowOff>9197</xdr:rowOff>
    </xdr:to>
    <xdr:cxnSp macro="">
      <xdr:nvCxnSpPr>
        <xdr:cNvPr id="44" name="Connecteur droit 43">
          <a:extLst>
            <a:ext uri="{FF2B5EF4-FFF2-40B4-BE49-F238E27FC236}">
              <a16:creationId xmlns:a16="http://schemas.microsoft.com/office/drawing/2014/main" id="{3444710F-BAFA-474D-B2F4-4553AFDF0ACB}"/>
            </a:ext>
          </a:extLst>
        </xdr:cNvPr>
        <xdr:cNvCxnSpPr/>
      </xdr:nvCxnSpPr>
      <xdr:spPr>
        <a:xfrm>
          <a:off x="10838793" y="2331654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1314</xdr:colOff>
      <xdr:row>11</xdr:row>
      <xdr:rowOff>184916</xdr:rowOff>
    </xdr:from>
    <xdr:to>
      <xdr:col>16</xdr:col>
      <xdr:colOff>3942</xdr:colOff>
      <xdr:row>13</xdr:row>
      <xdr:rowOff>3942</xdr:rowOff>
    </xdr:to>
    <xdr:cxnSp macro="">
      <xdr:nvCxnSpPr>
        <xdr:cNvPr id="45" name="Connecteur droit 44" hidden="1">
          <a:extLst>
            <a:ext uri="{FF2B5EF4-FFF2-40B4-BE49-F238E27FC236}">
              <a16:creationId xmlns:a16="http://schemas.microsoft.com/office/drawing/2014/main" id="{93320F0F-CABF-49CB-880A-5AACDB514D1E}"/>
            </a:ext>
          </a:extLst>
        </xdr:cNvPr>
        <xdr:cNvCxnSpPr/>
      </xdr:nvCxnSpPr>
      <xdr:spPr>
        <a:xfrm>
          <a:off x="11306504" y="2326399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751490</xdr:colOff>
      <xdr:row>12</xdr:row>
      <xdr:rowOff>2299</xdr:rowOff>
    </xdr:from>
    <xdr:to>
      <xdr:col>16</xdr:col>
      <xdr:colOff>754118</xdr:colOff>
      <xdr:row>13</xdr:row>
      <xdr:rowOff>11825</xdr:rowOff>
    </xdr:to>
    <xdr:cxnSp macro="">
      <xdr:nvCxnSpPr>
        <xdr:cNvPr id="46" name="Connecteur droit 45" hidden="1">
          <a:extLst>
            <a:ext uri="{FF2B5EF4-FFF2-40B4-BE49-F238E27FC236}">
              <a16:creationId xmlns:a16="http://schemas.microsoft.com/office/drawing/2014/main" id="{4B6415FB-9DD2-4314-BEDA-DAB3B2F592EC}"/>
            </a:ext>
          </a:extLst>
        </xdr:cNvPr>
        <xdr:cNvCxnSpPr/>
      </xdr:nvCxnSpPr>
      <xdr:spPr>
        <a:xfrm>
          <a:off x="12056680" y="2334282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3942</xdr:colOff>
      <xdr:row>12</xdr:row>
      <xdr:rowOff>154699</xdr:rowOff>
    </xdr:from>
    <xdr:to>
      <xdr:col>19</xdr:col>
      <xdr:colOff>6570</xdr:colOff>
      <xdr:row>13</xdr:row>
      <xdr:rowOff>164225</xdr:rowOff>
    </xdr:to>
    <xdr:cxnSp macro="">
      <xdr:nvCxnSpPr>
        <xdr:cNvPr id="47" name="Connecteur droit 46" hidden="1">
          <a:extLst>
            <a:ext uri="{FF2B5EF4-FFF2-40B4-BE49-F238E27FC236}">
              <a16:creationId xmlns:a16="http://schemas.microsoft.com/office/drawing/2014/main" id="{5AF5E4F4-4327-46A8-AAA2-0D6685D59ED0}"/>
            </a:ext>
          </a:extLst>
        </xdr:cNvPr>
        <xdr:cNvCxnSpPr/>
      </xdr:nvCxnSpPr>
      <xdr:spPr>
        <a:xfrm>
          <a:off x="12833132" y="2486682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760687</xdr:colOff>
      <xdr:row>13</xdr:row>
      <xdr:rowOff>129737</xdr:rowOff>
    </xdr:from>
    <xdr:to>
      <xdr:col>20</xdr:col>
      <xdr:colOff>1315</xdr:colOff>
      <xdr:row>14</xdr:row>
      <xdr:rowOff>185246</xdr:rowOff>
    </xdr:to>
    <xdr:cxnSp macro="">
      <xdr:nvCxnSpPr>
        <xdr:cNvPr id="48" name="Connecteur droit 47" hidden="1">
          <a:extLst>
            <a:ext uri="{FF2B5EF4-FFF2-40B4-BE49-F238E27FC236}">
              <a16:creationId xmlns:a16="http://schemas.microsoft.com/office/drawing/2014/main" id="{3E725932-F8DE-401D-ABD1-2052264E7DAA}"/>
            </a:ext>
          </a:extLst>
        </xdr:cNvPr>
        <xdr:cNvCxnSpPr/>
      </xdr:nvCxnSpPr>
      <xdr:spPr>
        <a:xfrm>
          <a:off x="13589877" y="2698203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1314</xdr:colOff>
      <xdr:row>11</xdr:row>
      <xdr:rowOff>184916</xdr:rowOff>
    </xdr:from>
    <xdr:to>
      <xdr:col>15</xdr:col>
      <xdr:colOff>3942</xdr:colOff>
      <xdr:row>13</xdr:row>
      <xdr:rowOff>3942</xdr:rowOff>
    </xdr:to>
    <xdr:cxnSp macro="">
      <xdr:nvCxnSpPr>
        <xdr:cNvPr id="49" name="Connecteur droit 48">
          <a:extLst>
            <a:ext uri="{FF2B5EF4-FFF2-40B4-BE49-F238E27FC236}">
              <a16:creationId xmlns:a16="http://schemas.microsoft.com/office/drawing/2014/main" id="{A48D1F4A-BF5D-4BCB-9B04-D6FF74A95A4B}"/>
            </a:ext>
          </a:extLst>
        </xdr:cNvPr>
        <xdr:cNvCxnSpPr/>
      </xdr:nvCxnSpPr>
      <xdr:spPr>
        <a:xfrm>
          <a:off x="11306504" y="2326399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42040</xdr:colOff>
      <xdr:row>6</xdr:row>
      <xdr:rowOff>186229</xdr:rowOff>
    </xdr:from>
    <xdr:to>
      <xdr:col>21</xdr:col>
      <xdr:colOff>45983</xdr:colOff>
      <xdr:row>13</xdr:row>
      <xdr:rowOff>65689</xdr:rowOff>
    </xdr:to>
    <xdr:cxnSp macro="">
      <xdr:nvCxnSpPr>
        <xdr:cNvPr id="50" name="Connecteur droit 49" hidden="1">
          <a:extLst>
            <a:ext uri="{FF2B5EF4-FFF2-40B4-BE49-F238E27FC236}">
              <a16:creationId xmlns:a16="http://schemas.microsoft.com/office/drawing/2014/main" id="{04CFC97A-92AE-41BB-91D3-3E58E4931917}"/>
            </a:ext>
          </a:extLst>
        </xdr:cNvPr>
        <xdr:cNvCxnSpPr/>
      </xdr:nvCxnSpPr>
      <xdr:spPr>
        <a:xfrm>
          <a:off x="15866678" y="1375212"/>
          <a:ext cx="3943" cy="1258943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91965</xdr:colOff>
      <xdr:row>6</xdr:row>
      <xdr:rowOff>19707</xdr:rowOff>
    </xdr:from>
    <xdr:to>
      <xdr:col>9</xdr:col>
      <xdr:colOff>466396</xdr:colOff>
      <xdr:row>7</xdr:row>
      <xdr:rowOff>0</xdr:rowOff>
    </xdr:to>
    <xdr:sp macro="" textlink="">
      <xdr:nvSpPr>
        <xdr:cNvPr id="52" name="Rectangle 51" hidden="1">
          <a:extLst>
            <a:ext uri="{FF2B5EF4-FFF2-40B4-BE49-F238E27FC236}">
              <a16:creationId xmlns:a16="http://schemas.microsoft.com/office/drawing/2014/main" id="{5F55E8AC-1195-642E-B483-894E509F11B4}"/>
            </a:ext>
          </a:extLst>
        </xdr:cNvPr>
        <xdr:cNvSpPr/>
      </xdr:nvSpPr>
      <xdr:spPr>
        <a:xfrm>
          <a:off x="8349155" y="1208690"/>
          <a:ext cx="374431" cy="170793"/>
        </a:xfrm>
        <a:prstGeom prst="rect">
          <a:avLst/>
        </a:prstGeom>
        <a:solidFill>
          <a:sysClr val="window" lastClr="FFFFFF"/>
        </a:solidFill>
        <a:ln w="25400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402020</xdr:colOff>
      <xdr:row>6</xdr:row>
      <xdr:rowOff>27589</xdr:rowOff>
    </xdr:from>
    <xdr:to>
      <xdr:col>21</xdr:col>
      <xdr:colOff>14451</xdr:colOff>
      <xdr:row>7</xdr:row>
      <xdr:rowOff>7882</xdr:rowOff>
    </xdr:to>
    <xdr:sp macro="" textlink="">
      <xdr:nvSpPr>
        <xdr:cNvPr id="53" name="Rectangle 52" hidden="1">
          <a:extLst>
            <a:ext uri="{FF2B5EF4-FFF2-40B4-BE49-F238E27FC236}">
              <a16:creationId xmlns:a16="http://schemas.microsoft.com/office/drawing/2014/main" id="{94CBE437-12CD-4177-AC2C-FFF74D2615D8}"/>
            </a:ext>
          </a:extLst>
        </xdr:cNvPr>
        <xdr:cNvSpPr/>
      </xdr:nvSpPr>
      <xdr:spPr>
        <a:xfrm>
          <a:off x="14755210" y="1216572"/>
          <a:ext cx="374431" cy="170793"/>
        </a:xfrm>
        <a:prstGeom prst="rect">
          <a:avLst/>
        </a:prstGeom>
        <a:solidFill>
          <a:sysClr val="window" lastClr="FFFFFF"/>
        </a:solidFill>
        <a:ln w="25400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402020</xdr:colOff>
      <xdr:row>6</xdr:row>
      <xdr:rowOff>21021</xdr:rowOff>
    </xdr:from>
    <xdr:to>
      <xdr:col>21</xdr:col>
      <xdr:colOff>14451</xdr:colOff>
      <xdr:row>7</xdr:row>
      <xdr:rowOff>1314</xdr:rowOff>
    </xdr:to>
    <xdr:sp macro="" textlink="">
      <xdr:nvSpPr>
        <xdr:cNvPr id="54" name="Rectangle 53" hidden="1">
          <a:extLst>
            <a:ext uri="{FF2B5EF4-FFF2-40B4-BE49-F238E27FC236}">
              <a16:creationId xmlns:a16="http://schemas.microsoft.com/office/drawing/2014/main" id="{942B8D08-2E10-4007-A85B-09D78A3C5CE2}"/>
            </a:ext>
          </a:extLst>
        </xdr:cNvPr>
        <xdr:cNvSpPr/>
      </xdr:nvSpPr>
      <xdr:spPr>
        <a:xfrm>
          <a:off x="15464658" y="1210004"/>
          <a:ext cx="374431" cy="170793"/>
        </a:xfrm>
        <a:prstGeom prst="rect">
          <a:avLst/>
        </a:prstGeom>
        <a:solidFill>
          <a:sysClr val="window" lastClr="FFFFFF"/>
        </a:solidFill>
        <a:ln w="25400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403335</xdr:colOff>
      <xdr:row>13</xdr:row>
      <xdr:rowOff>61749</xdr:rowOff>
    </xdr:from>
    <xdr:to>
      <xdr:col>21</xdr:col>
      <xdr:colOff>15766</xdr:colOff>
      <xdr:row>14</xdr:row>
      <xdr:rowOff>42042</xdr:rowOff>
    </xdr:to>
    <xdr:sp macro="" textlink="">
      <xdr:nvSpPr>
        <xdr:cNvPr id="55" name="Rectangle 54">
          <a:extLst>
            <a:ext uri="{FF2B5EF4-FFF2-40B4-BE49-F238E27FC236}">
              <a16:creationId xmlns:a16="http://schemas.microsoft.com/office/drawing/2014/main" id="{2A9BF4E5-7B7F-41B5-8DB7-CF40676D78FC}"/>
            </a:ext>
          </a:extLst>
        </xdr:cNvPr>
        <xdr:cNvSpPr/>
      </xdr:nvSpPr>
      <xdr:spPr>
        <a:xfrm>
          <a:off x="14756525" y="2630215"/>
          <a:ext cx="374431" cy="170793"/>
        </a:xfrm>
        <a:prstGeom prst="rect">
          <a:avLst/>
        </a:prstGeom>
        <a:solidFill>
          <a:sysClr val="window" lastClr="FFFFFF"/>
        </a:solidFill>
        <a:ln w="25400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755431</xdr:colOff>
      <xdr:row>1</xdr:row>
      <xdr:rowOff>6569</xdr:rowOff>
    </xdr:from>
    <xdr:to>
      <xdr:col>21</xdr:col>
      <xdr:colOff>85396</xdr:colOff>
      <xdr:row>1</xdr:row>
      <xdr:rowOff>13138</xdr:rowOff>
    </xdr:to>
    <xdr:cxnSp macro="">
      <xdr:nvCxnSpPr>
        <xdr:cNvPr id="57" name="Connecteur droit avec flèche 56">
          <a:extLst>
            <a:ext uri="{FF2B5EF4-FFF2-40B4-BE49-F238E27FC236}">
              <a16:creationId xmlns:a16="http://schemas.microsoft.com/office/drawing/2014/main" id="{8FDAB58B-8731-D3CD-0B7B-0AB512DBB698}"/>
            </a:ext>
          </a:extLst>
        </xdr:cNvPr>
        <xdr:cNvCxnSpPr/>
      </xdr:nvCxnSpPr>
      <xdr:spPr>
        <a:xfrm>
          <a:off x="8250621" y="243052"/>
          <a:ext cx="7725103" cy="6569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262758</xdr:colOff>
      <xdr:row>7</xdr:row>
      <xdr:rowOff>65689</xdr:rowOff>
    </xdr:from>
    <xdr:to>
      <xdr:col>13</xdr:col>
      <xdr:colOff>269327</xdr:colOff>
      <xdr:row>12</xdr:row>
      <xdr:rowOff>223345</xdr:rowOff>
    </xdr:to>
    <xdr:cxnSp macro="">
      <xdr:nvCxnSpPr>
        <xdr:cNvPr id="58" name="Connecteur droit avec flèche 57">
          <a:extLst>
            <a:ext uri="{FF2B5EF4-FFF2-40B4-BE49-F238E27FC236}">
              <a16:creationId xmlns:a16="http://schemas.microsoft.com/office/drawing/2014/main" id="{4E84B8D1-19D1-4C00-837F-FBE003129E37}"/>
            </a:ext>
          </a:extLst>
        </xdr:cNvPr>
        <xdr:cNvCxnSpPr/>
      </xdr:nvCxnSpPr>
      <xdr:spPr>
        <a:xfrm flipH="1" flipV="1">
          <a:off x="11062137" y="1445172"/>
          <a:ext cx="6569" cy="111015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170793</xdr:colOff>
      <xdr:row>7</xdr:row>
      <xdr:rowOff>40727</xdr:rowOff>
    </xdr:from>
    <xdr:to>
      <xdr:col>9</xdr:col>
      <xdr:colOff>178676</xdr:colOff>
      <xdr:row>15</xdr:row>
      <xdr:rowOff>157655</xdr:rowOff>
    </xdr:to>
    <xdr:cxnSp macro="">
      <xdr:nvCxnSpPr>
        <xdr:cNvPr id="61" name="Connecteur droit avec flèche 60" hidden="1">
          <a:extLst>
            <a:ext uri="{FF2B5EF4-FFF2-40B4-BE49-F238E27FC236}">
              <a16:creationId xmlns:a16="http://schemas.microsoft.com/office/drawing/2014/main" id="{9C821D86-AE05-4BC9-AF98-9F96022AF864}"/>
            </a:ext>
          </a:extLst>
        </xdr:cNvPr>
        <xdr:cNvCxnSpPr/>
      </xdr:nvCxnSpPr>
      <xdr:spPr>
        <a:xfrm flipV="1">
          <a:off x="8427983" y="1420210"/>
          <a:ext cx="7883" cy="168691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73572</xdr:colOff>
      <xdr:row>5</xdr:row>
      <xdr:rowOff>124810</xdr:rowOff>
    </xdr:from>
    <xdr:to>
      <xdr:col>9</xdr:col>
      <xdr:colOff>459827</xdr:colOff>
      <xdr:row>5</xdr:row>
      <xdr:rowOff>126124</xdr:rowOff>
    </xdr:to>
    <xdr:cxnSp macro="">
      <xdr:nvCxnSpPr>
        <xdr:cNvPr id="64" name="Connecteur droit avec flèche 63">
          <a:extLst>
            <a:ext uri="{FF2B5EF4-FFF2-40B4-BE49-F238E27FC236}">
              <a16:creationId xmlns:a16="http://schemas.microsoft.com/office/drawing/2014/main" id="{A7ACAD97-C579-4D24-BD0E-85B7190CED6E}"/>
            </a:ext>
          </a:extLst>
        </xdr:cNvPr>
        <xdr:cNvCxnSpPr/>
      </xdr:nvCxnSpPr>
      <xdr:spPr>
        <a:xfrm flipV="1">
          <a:off x="8330762" y="1123293"/>
          <a:ext cx="386255" cy="1314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578069</xdr:colOff>
      <xdr:row>5</xdr:row>
      <xdr:rowOff>177362</xdr:rowOff>
    </xdr:from>
    <xdr:to>
      <xdr:col>9</xdr:col>
      <xdr:colOff>580697</xdr:colOff>
      <xdr:row>6</xdr:row>
      <xdr:rowOff>186559</xdr:rowOff>
    </xdr:to>
    <xdr:cxnSp macro="">
      <xdr:nvCxnSpPr>
        <xdr:cNvPr id="66" name="Connecteur droit avec flèche 65">
          <a:extLst>
            <a:ext uri="{FF2B5EF4-FFF2-40B4-BE49-F238E27FC236}">
              <a16:creationId xmlns:a16="http://schemas.microsoft.com/office/drawing/2014/main" id="{047F8336-3F7F-4000-839A-E7958C063F88}"/>
            </a:ext>
          </a:extLst>
        </xdr:cNvPr>
        <xdr:cNvCxnSpPr/>
      </xdr:nvCxnSpPr>
      <xdr:spPr>
        <a:xfrm flipH="1" flipV="1">
          <a:off x="8835259" y="1175845"/>
          <a:ext cx="2628" cy="199697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98534</xdr:colOff>
      <xdr:row>7</xdr:row>
      <xdr:rowOff>45981</xdr:rowOff>
    </xdr:from>
    <xdr:to>
      <xdr:col>15</xdr:col>
      <xdr:colOff>98534</xdr:colOff>
      <xdr:row>12</xdr:row>
      <xdr:rowOff>203638</xdr:rowOff>
    </xdr:to>
    <xdr:cxnSp macro="">
      <xdr:nvCxnSpPr>
        <xdr:cNvPr id="70" name="Connecteur droit 69">
          <a:extLst>
            <a:ext uri="{FF2B5EF4-FFF2-40B4-BE49-F238E27FC236}">
              <a16:creationId xmlns:a16="http://schemas.microsoft.com/office/drawing/2014/main" id="{B6AAC017-690D-E2E2-CBC3-ECAC51B3FB5F}"/>
            </a:ext>
          </a:extLst>
        </xdr:cNvPr>
        <xdr:cNvCxnSpPr/>
      </xdr:nvCxnSpPr>
      <xdr:spPr>
        <a:xfrm>
          <a:off x="11771586" y="1425464"/>
          <a:ext cx="0" cy="1110157"/>
        </a:xfrm>
        <a:prstGeom prst="line">
          <a:avLst/>
        </a:prstGeom>
        <a:ln w="38100">
          <a:solidFill>
            <a:schemeClr val="accent2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730469</xdr:colOff>
      <xdr:row>7</xdr:row>
      <xdr:rowOff>53864</xdr:rowOff>
    </xdr:from>
    <xdr:to>
      <xdr:col>11</xdr:col>
      <xdr:colOff>730469</xdr:colOff>
      <xdr:row>12</xdr:row>
      <xdr:rowOff>211521</xdr:rowOff>
    </xdr:to>
    <xdr:cxnSp macro="">
      <xdr:nvCxnSpPr>
        <xdr:cNvPr id="73" name="Connecteur droit 72" hidden="1">
          <a:extLst>
            <a:ext uri="{FF2B5EF4-FFF2-40B4-BE49-F238E27FC236}">
              <a16:creationId xmlns:a16="http://schemas.microsoft.com/office/drawing/2014/main" id="{E21D18C1-4EAA-4A4A-9A14-B4204B4C09CB}"/>
            </a:ext>
          </a:extLst>
        </xdr:cNvPr>
        <xdr:cNvCxnSpPr/>
      </xdr:nvCxnSpPr>
      <xdr:spPr>
        <a:xfrm>
          <a:off x="10321159" y="1433347"/>
          <a:ext cx="0" cy="1110157"/>
        </a:xfrm>
        <a:prstGeom prst="line">
          <a:avLst/>
        </a:prstGeom>
        <a:ln w="38100">
          <a:solidFill>
            <a:schemeClr val="accent2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316624</xdr:colOff>
      <xdr:row>7</xdr:row>
      <xdr:rowOff>60433</xdr:rowOff>
    </xdr:from>
    <xdr:to>
      <xdr:col>16</xdr:col>
      <xdr:colOff>316624</xdr:colOff>
      <xdr:row>12</xdr:row>
      <xdr:rowOff>218090</xdr:rowOff>
    </xdr:to>
    <xdr:cxnSp macro="">
      <xdr:nvCxnSpPr>
        <xdr:cNvPr id="74" name="Connecteur droit 73" hidden="1">
          <a:extLst>
            <a:ext uri="{FF2B5EF4-FFF2-40B4-BE49-F238E27FC236}">
              <a16:creationId xmlns:a16="http://schemas.microsoft.com/office/drawing/2014/main" id="{25D9D7A4-95B9-45CB-9808-52C06258BAB1}"/>
            </a:ext>
          </a:extLst>
        </xdr:cNvPr>
        <xdr:cNvCxnSpPr/>
      </xdr:nvCxnSpPr>
      <xdr:spPr>
        <a:xfrm>
          <a:off x="12383814" y="1439916"/>
          <a:ext cx="0" cy="1110157"/>
        </a:xfrm>
        <a:prstGeom prst="line">
          <a:avLst/>
        </a:prstGeom>
        <a:ln w="38100">
          <a:solidFill>
            <a:schemeClr val="accent2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42040</xdr:colOff>
      <xdr:row>7</xdr:row>
      <xdr:rowOff>74885</xdr:rowOff>
    </xdr:from>
    <xdr:to>
      <xdr:col>18</xdr:col>
      <xdr:colOff>42040</xdr:colOff>
      <xdr:row>12</xdr:row>
      <xdr:rowOff>232542</xdr:rowOff>
    </xdr:to>
    <xdr:cxnSp macro="">
      <xdr:nvCxnSpPr>
        <xdr:cNvPr id="75" name="Connecteur droit 74" hidden="1">
          <a:extLst>
            <a:ext uri="{FF2B5EF4-FFF2-40B4-BE49-F238E27FC236}">
              <a16:creationId xmlns:a16="http://schemas.microsoft.com/office/drawing/2014/main" id="{A53ADD26-9B58-4ACA-B4E1-0E4332BA9D8D}"/>
            </a:ext>
          </a:extLst>
        </xdr:cNvPr>
        <xdr:cNvCxnSpPr/>
      </xdr:nvCxnSpPr>
      <xdr:spPr>
        <a:xfrm>
          <a:off x="13455868" y="1454368"/>
          <a:ext cx="0" cy="1110157"/>
        </a:xfrm>
        <a:prstGeom prst="line">
          <a:avLst/>
        </a:prstGeom>
        <a:ln w="38100">
          <a:solidFill>
            <a:schemeClr val="accent2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311371</xdr:colOff>
      <xdr:row>6</xdr:row>
      <xdr:rowOff>42041</xdr:rowOff>
    </xdr:from>
    <xdr:to>
      <xdr:col>13</xdr:col>
      <xdr:colOff>698939</xdr:colOff>
      <xdr:row>8</xdr:row>
      <xdr:rowOff>22335</xdr:rowOff>
    </xdr:to>
    <xdr:sp macro="" textlink="">
      <xdr:nvSpPr>
        <xdr:cNvPr id="78" name="Signe de multiplication 77">
          <a:extLst>
            <a:ext uri="{FF2B5EF4-FFF2-40B4-BE49-F238E27FC236}">
              <a16:creationId xmlns:a16="http://schemas.microsoft.com/office/drawing/2014/main" id="{12C7E77D-5562-4A20-86BA-C7AFE5969B49}"/>
            </a:ext>
          </a:extLst>
        </xdr:cNvPr>
        <xdr:cNvSpPr/>
      </xdr:nvSpPr>
      <xdr:spPr>
        <a:xfrm>
          <a:off x="10854561" y="1231024"/>
          <a:ext cx="387568" cy="361294"/>
        </a:xfrm>
        <a:prstGeom prst="mathMultiply">
          <a:avLst>
            <a:gd name="adj1" fmla="val 1187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582012</xdr:colOff>
      <xdr:row>6</xdr:row>
      <xdr:rowOff>30217</xdr:rowOff>
    </xdr:from>
    <xdr:to>
      <xdr:col>16</xdr:col>
      <xdr:colOff>207580</xdr:colOff>
      <xdr:row>8</xdr:row>
      <xdr:rowOff>10511</xdr:rowOff>
    </xdr:to>
    <xdr:sp macro="" textlink="">
      <xdr:nvSpPr>
        <xdr:cNvPr id="79" name="Signe de multiplication 78" hidden="1">
          <a:extLst>
            <a:ext uri="{FF2B5EF4-FFF2-40B4-BE49-F238E27FC236}">
              <a16:creationId xmlns:a16="http://schemas.microsoft.com/office/drawing/2014/main" id="{E2BD8AC7-5006-491F-9CD2-CF8D6FE6904B}"/>
            </a:ext>
          </a:extLst>
        </xdr:cNvPr>
        <xdr:cNvSpPr/>
      </xdr:nvSpPr>
      <xdr:spPr>
        <a:xfrm>
          <a:off x="11887202" y="1219200"/>
          <a:ext cx="387568" cy="361294"/>
        </a:xfrm>
        <a:prstGeom prst="mathMultiply">
          <a:avLst>
            <a:gd name="adj1" fmla="val 1187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346843</xdr:colOff>
      <xdr:row>12</xdr:row>
      <xdr:rowOff>84082</xdr:rowOff>
    </xdr:from>
    <xdr:to>
      <xdr:col>13</xdr:col>
      <xdr:colOff>734411</xdr:colOff>
      <xdr:row>14</xdr:row>
      <xdr:rowOff>18393</xdr:rowOff>
    </xdr:to>
    <xdr:sp macro="" textlink="">
      <xdr:nvSpPr>
        <xdr:cNvPr id="80" name="Signe de multiplication 79">
          <a:extLst>
            <a:ext uri="{FF2B5EF4-FFF2-40B4-BE49-F238E27FC236}">
              <a16:creationId xmlns:a16="http://schemas.microsoft.com/office/drawing/2014/main" id="{C515E70D-9593-4DFF-942F-9C74F70BA34A}"/>
            </a:ext>
          </a:extLst>
        </xdr:cNvPr>
        <xdr:cNvSpPr/>
      </xdr:nvSpPr>
      <xdr:spPr>
        <a:xfrm>
          <a:off x="10890033" y="2416065"/>
          <a:ext cx="387568" cy="361294"/>
        </a:xfrm>
        <a:prstGeom prst="mathMultiply">
          <a:avLst>
            <a:gd name="adj1" fmla="val 1187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289036</xdr:colOff>
      <xdr:row>12</xdr:row>
      <xdr:rowOff>72258</xdr:rowOff>
    </xdr:from>
    <xdr:to>
      <xdr:col>15</xdr:col>
      <xdr:colOff>676604</xdr:colOff>
      <xdr:row>14</xdr:row>
      <xdr:rowOff>6569</xdr:rowOff>
    </xdr:to>
    <xdr:sp macro="" textlink="">
      <xdr:nvSpPr>
        <xdr:cNvPr id="81" name="Signe de multiplication 80" hidden="1">
          <a:extLst>
            <a:ext uri="{FF2B5EF4-FFF2-40B4-BE49-F238E27FC236}">
              <a16:creationId xmlns:a16="http://schemas.microsoft.com/office/drawing/2014/main" id="{E2BC0C57-8EC2-4DF7-BEE4-9B69AE129EE4}"/>
            </a:ext>
          </a:extLst>
        </xdr:cNvPr>
        <xdr:cNvSpPr/>
      </xdr:nvSpPr>
      <xdr:spPr>
        <a:xfrm>
          <a:off x="11594226" y="2404241"/>
          <a:ext cx="387568" cy="361294"/>
        </a:xfrm>
        <a:prstGeom prst="mathMultiply">
          <a:avLst>
            <a:gd name="adj1" fmla="val 1187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471653</xdr:colOff>
      <xdr:row>12</xdr:row>
      <xdr:rowOff>77513</xdr:rowOff>
    </xdr:from>
    <xdr:to>
      <xdr:col>12</xdr:col>
      <xdr:colOff>97221</xdr:colOff>
      <xdr:row>14</xdr:row>
      <xdr:rowOff>11824</xdr:rowOff>
    </xdr:to>
    <xdr:sp macro="" textlink="">
      <xdr:nvSpPr>
        <xdr:cNvPr id="83" name="Signe de multiplication 82" hidden="1">
          <a:extLst>
            <a:ext uri="{FF2B5EF4-FFF2-40B4-BE49-F238E27FC236}">
              <a16:creationId xmlns:a16="http://schemas.microsoft.com/office/drawing/2014/main" id="{19F529EA-533D-4BDB-9639-9946469FACFE}"/>
            </a:ext>
          </a:extLst>
        </xdr:cNvPr>
        <xdr:cNvSpPr/>
      </xdr:nvSpPr>
      <xdr:spPr>
        <a:xfrm>
          <a:off x="9779877" y="2409496"/>
          <a:ext cx="387568" cy="361294"/>
        </a:xfrm>
        <a:prstGeom prst="mathMultiply">
          <a:avLst>
            <a:gd name="adj1" fmla="val 1187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848458</xdr:colOff>
      <xdr:row>3</xdr:row>
      <xdr:rowOff>52021</xdr:rowOff>
    </xdr:from>
    <xdr:to>
      <xdr:col>16</xdr:col>
      <xdr:colOff>455735</xdr:colOff>
      <xdr:row>6</xdr:row>
      <xdr:rowOff>147271</xdr:rowOff>
    </xdr:to>
    <xdr:cxnSp macro="">
      <xdr:nvCxnSpPr>
        <xdr:cNvPr id="85" name="Connecteur droit 84" hidden="1">
          <a:extLst>
            <a:ext uri="{FF2B5EF4-FFF2-40B4-BE49-F238E27FC236}">
              <a16:creationId xmlns:a16="http://schemas.microsoft.com/office/drawing/2014/main" id="{6BD907EE-08E6-4EBB-B656-BDEC1377754B}"/>
            </a:ext>
          </a:extLst>
        </xdr:cNvPr>
        <xdr:cNvCxnSpPr/>
      </xdr:nvCxnSpPr>
      <xdr:spPr>
        <a:xfrm>
          <a:off x="10543923" y="669504"/>
          <a:ext cx="744036" cy="666750"/>
        </a:xfrm>
        <a:prstGeom prst="line">
          <a:avLst/>
        </a:prstGeom>
        <a:ln w="762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848458</xdr:colOff>
      <xdr:row>13</xdr:row>
      <xdr:rowOff>52021</xdr:rowOff>
    </xdr:from>
    <xdr:to>
      <xdr:col>13</xdr:col>
      <xdr:colOff>455735</xdr:colOff>
      <xdr:row>16</xdr:row>
      <xdr:rowOff>147271</xdr:rowOff>
    </xdr:to>
    <xdr:cxnSp macro="">
      <xdr:nvCxnSpPr>
        <xdr:cNvPr id="86" name="Connecteur droit 85" hidden="1">
          <a:extLst>
            <a:ext uri="{FF2B5EF4-FFF2-40B4-BE49-F238E27FC236}">
              <a16:creationId xmlns:a16="http://schemas.microsoft.com/office/drawing/2014/main" id="{CDB51C63-E831-4C39-8410-8D34BF915A51}"/>
            </a:ext>
          </a:extLst>
        </xdr:cNvPr>
        <xdr:cNvCxnSpPr/>
      </xdr:nvCxnSpPr>
      <xdr:spPr>
        <a:xfrm>
          <a:off x="10543923" y="669504"/>
          <a:ext cx="744036" cy="666750"/>
        </a:xfrm>
        <a:prstGeom prst="line">
          <a:avLst/>
        </a:prstGeom>
        <a:ln w="762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848458</xdr:colOff>
      <xdr:row>15</xdr:row>
      <xdr:rowOff>52021</xdr:rowOff>
    </xdr:from>
    <xdr:to>
      <xdr:col>15</xdr:col>
      <xdr:colOff>455735</xdr:colOff>
      <xdr:row>18</xdr:row>
      <xdr:rowOff>147271</xdr:rowOff>
    </xdr:to>
    <xdr:cxnSp macro="">
      <xdr:nvCxnSpPr>
        <xdr:cNvPr id="87" name="Connecteur droit 86" hidden="1">
          <a:extLst>
            <a:ext uri="{FF2B5EF4-FFF2-40B4-BE49-F238E27FC236}">
              <a16:creationId xmlns:a16="http://schemas.microsoft.com/office/drawing/2014/main" id="{89DE452B-CB49-4582-BC05-465005BDDC4E}"/>
            </a:ext>
          </a:extLst>
        </xdr:cNvPr>
        <xdr:cNvCxnSpPr/>
      </xdr:nvCxnSpPr>
      <xdr:spPr>
        <a:xfrm>
          <a:off x="10543923" y="2620487"/>
          <a:ext cx="744036" cy="666750"/>
        </a:xfrm>
        <a:prstGeom prst="line">
          <a:avLst/>
        </a:prstGeom>
        <a:ln w="762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848458</xdr:colOff>
      <xdr:row>14</xdr:row>
      <xdr:rowOff>52021</xdr:rowOff>
    </xdr:from>
    <xdr:to>
      <xdr:col>18</xdr:col>
      <xdr:colOff>455735</xdr:colOff>
      <xdr:row>17</xdr:row>
      <xdr:rowOff>147271</xdr:rowOff>
    </xdr:to>
    <xdr:cxnSp macro="">
      <xdr:nvCxnSpPr>
        <xdr:cNvPr id="88" name="Connecteur droit 87" hidden="1">
          <a:extLst>
            <a:ext uri="{FF2B5EF4-FFF2-40B4-BE49-F238E27FC236}">
              <a16:creationId xmlns:a16="http://schemas.microsoft.com/office/drawing/2014/main" id="{D88DDF78-5FD1-470B-B8A0-025E9D3E2189}"/>
            </a:ext>
          </a:extLst>
        </xdr:cNvPr>
        <xdr:cNvCxnSpPr/>
      </xdr:nvCxnSpPr>
      <xdr:spPr>
        <a:xfrm>
          <a:off x="11594957" y="3001487"/>
          <a:ext cx="724330" cy="666750"/>
        </a:xfrm>
        <a:prstGeom prst="line">
          <a:avLst/>
        </a:prstGeom>
        <a:ln w="762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848458</xdr:colOff>
      <xdr:row>14</xdr:row>
      <xdr:rowOff>52021</xdr:rowOff>
    </xdr:from>
    <xdr:to>
      <xdr:col>11</xdr:col>
      <xdr:colOff>455735</xdr:colOff>
      <xdr:row>17</xdr:row>
      <xdr:rowOff>147271</xdr:rowOff>
    </xdr:to>
    <xdr:cxnSp macro="">
      <xdr:nvCxnSpPr>
        <xdr:cNvPr id="89" name="Connecteur droit 88" hidden="1">
          <a:extLst>
            <a:ext uri="{FF2B5EF4-FFF2-40B4-BE49-F238E27FC236}">
              <a16:creationId xmlns:a16="http://schemas.microsoft.com/office/drawing/2014/main" id="{DDE28FAF-2E40-4F21-8D60-2DCC4367F0C3}"/>
            </a:ext>
          </a:extLst>
        </xdr:cNvPr>
        <xdr:cNvCxnSpPr/>
      </xdr:nvCxnSpPr>
      <xdr:spPr>
        <a:xfrm>
          <a:off x="10543923" y="2620487"/>
          <a:ext cx="744036" cy="666750"/>
        </a:xfrm>
        <a:prstGeom prst="line">
          <a:avLst/>
        </a:prstGeom>
        <a:ln w="762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99192</xdr:colOff>
      <xdr:row>13</xdr:row>
      <xdr:rowOff>32844</xdr:rowOff>
    </xdr:from>
    <xdr:to>
      <xdr:col>21</xdr:col>
      <xdr:colOff>19707</xdr:colOff>
      <xdr:row>16</xdr:row>
      <xdr:rowOff>28903</xdr:rowOff>
    </xdr:to>
    <xdr:cxnSp macro="">
      <xdr:nvCxnSpPr>
        <xdr:cNvPr id="90" name="Connecteur droit 89" hidden="1">
          <a:extLst>
            <a:ext uri="{FF2B5EF4-FFF2-40B4-BE49-F238E27FC236}">
              <a16:creationId xmlns:a16="http://schemas.microsoft.com/office/drawing/2014/main" id="{9D3E8B5C-F767-4125-B81F-4106E03CE821}"/>
            </a:ext>
          </a:extLst>
        </xdr:cNvPr>
        <xdr:cNvCxnSpPr/>
      </xdr:nvCxnSpPr>
      <xdr:spPr>
        <a:xfrm flipH="1">
          <a:off x="8323537" y="2601310"/>
          <a:ext cx="7553653" cy="567559"/>
        </a:xfrm>
        <a:prstGeom prst="line">
          <a:avLst/>
        </a:prstGeom>
        <a:ln w="7620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99191</xdr:colOff>
      <xdr:row>13</xdr:row>
      <xdr:rowOff>23648</xdr:rowOff>
    </xdr:from>
    <xdr:to>
      <xdr:col>20</xdr:col>
      <xdr:colOff>756416</xdr:colOff>
      <xdr:row>13</xdr:row>
      <xdr:rowOff>33173</xdr:rowOff>
    </xdr:to>
    <xdr:cxnSp macro="">
      <xdr:nvCxnSpPr>
        <xdr:cNvPr id="98" name="Connecteur droit 97">
          <a:extLst>
            <a:ext uri="{FF2B5EF4-FFF2-40B4-BE49-F238E27FC236}">
              <a16:creationId xmlns:a16="http://schemas.microsoft.com/office/drawing/2014/main" id="{C2F6129B-0DA9-4984-AA81-AF46B774973B}"/>
            </a:ext>
          </a:extLst>
        </xdr:cNvPr>
        <xdr:cNvCxnSpPr/>
      </xdr:nvCxnSpPr>
      <xdr:spPr>
        <a:xfrm flipH="1" flipV="1">
          <a:off x="7883415" y="2592114"/>
          <a:ext cx="7528363" cy="9525"/>
        </a:xfrm>
        <a:prstGeom prst="line">
          <a:avLst/>
        </a:prstGeom>
        <a:ln w="7620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140578</xdr:colOff>
      <xdr:row>12</xdr:row>
      <xdr:rowOff>120868</xdr:rowOff>
    </xdr:from>
    <xdr:to>
      <xdr:col>18</xdr:col>
      <xdr:colOff>311370</xdr:colOff>
      <xdr:row>14</xdr:row>
      <xdr:rowOff>55179</xdr:rowOff>
    </xdr:to>
    <xdr:sp macro="" textlink="">
      <xdr:nvSpPr>
        <xdr:cNvPr id="105" name="Signe de multiplication 104" hidden="1">
          <a:extLst>
            <a:ext uri="{FF2B5EF4-FFF2-40B4-BE49-F238E27FC236}">
              <a16:creationId xmlns:a16="http://schemas.microsoft.com/office/drawing/2014/main" id="{F4F5BC00-CFC6-42D3-B799-D37A9F0E690A}"/>
            </a:ext>
          </a:extLst>
        </xdr:cNvPr>
        <xdr:cNvSpPr/>
      </xdr:nvSpPr>
      <xdr:spPr>
        <a:xfrm>
          <a:off x="13055164" y="2452851"/>
          <a:ext cx="387568" cy="361294"/>
        </a:xfrm>
        <a:prstGeom prst="mathMultiply">
          <a:avLst>
            <a:gd name="adj1" fmla="val 1187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86710</xdr:colOff>
      <xdr:row>6</xdr:row>
      <xdr:rowOff>9591</xdr:rowOff>
    </xdr:from>
    <xdr:to>
      <xdr:col>9</xdr:col>
      <xdr:colOff>461141</xdr:colOff>
      <xdr:row>6</xdr:row>
      <xdr:rowOff>182880</xdr:rowOff>
    </xdr:to>
    <xdr:sp macro="" textlink="">
      <xdr:nvSpPr>
        <xdr:cNvPr id="107" name="Rectangle 106" hidden="1">
          <a:extLst>
            <a:ext uri="{FF2B5EF4-FFF2-40B4-BE49-F238E27FC236}">
              <a16:creationId xmlns:a16="http://schemas.microsoft.com/office/drawing/2014/main" id="{6826A823-3C87-4085-8E46-9E4CFCF458B1}"/>
            </a:ext>
          </a:extLst>
        </xdr:cNvPr>
        <xdr:cNvSpPr/>
      </xdr:nvSpPr>
      <xdr:spPr>
        <a:xfrm>
          <a:off x="8224870" y="1202121"/>
          <a:ext cx="374431" cy="173289"/>
        </a:xfrm>
        <a:prstGeom prst="rect">
          <a:avLst/>
        </a:prstGeom>
        <a:solidFill>
          <a:sysClr val="window" lastClr="FFFFFF"/>
        </a:solidFill>
        <a:ln w="25400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52552</xdr:colOff>
      <xdr:row>5</xdr:row>
      <xdr:rowOff>164224</xdr:rowOff>
    </xdr:from>
    <xdr:to>
      <xdr:col>21</xdr:col>
      <xdr:colOff>59121</xdr:colOff>
      <xdr:row>13</xdr:row>
      <xdr:rowOff>65689</xdr:rowOff>
    </xdr:to>
    <xdr:cxnSp macro="">
      <xdr:nvCxnSpPr>
        <xdr:cNvPr id="109" name="Connecteur droit 108" hidden="1">
          <a:extLst>
            <a:ext uri="{FF2B5EF4-FFF2-40B4-BE49-F238E27FC236}">
              <a16:creationId xmlns:a16="http://schemas.microsoft.com/office/drawing/2014/main" id="{6AF6CADD-4BAB-475D-AFB7-66CFF7E1C279}"/>
            </a:ext>
          </a:extLst>
        </xdr:cNvPr>
        <xdr:cNvCxnSpPr/>
      </xdr:nvCxnSpPr>
      <xdr:spPr>
        <a:xfrm>
          <a:off x="15877190" y="1162707"/>
          <a:ext cx="6569" cy="1471448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38099</xdr:colOff>
      <xdr:row>6</xdr:row>
      <xdr:rowOff>175718</xdr:rowOff>
    </xdr:from>
    <xdr:to>
      <xdr:col>21</xdr:col>
      <xdr:colOff>39414</xdr:colOff>
      <xdr:row>14</xdr:row>
      <xdr:rowOff>78826</xdr:rowOff>
    </xdr:to>
    <xdr:cxnSp macro="">
      <xdr:nvCxnSpPr>
        <xdr:cNvPr id="114" name="Connecteur droit 113" hidden="1">
          <a:extLst>
            <a:ext uri="{FF2B5EF4-FFF2-40B4-BE49-F238E27FC236}">
              <a16:creationId xmlns:a16="http://schemas.microsoft.com/office/drawing/2014/main" id="{21FC5F59-EF64-4C56-AF6E-97F95704E94F}"/>
            </a:ext>
          </a:extLst>
        </xdr:cNvPr>
        <xdr:cNvCxnSpPr/>
      </xdr:nvCxnSpPr>
      <xdr:spPr>
        <a:xfrm>
          <a:off x="15862737" y="1364701"/>
          <a:ext cx="1315" cy="1473091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396767</xdr:colOff>
      <xdr:row>13</xdr:row>
      <xdr:rowOff>61748</xdr:rowOff>
    </xdr:from>
    <xdr:to>
      <xdr:col>21</xdr:col>
      <xdr:colOff>9198</xdr:colOff>
      <xdr:row>14</xdr:row>
      <xdr:rowOff>42041</xdr:rowOff>
    </xdr:to>
    <xdr:sp macro="" textlink="">
      <xdr:nvSpPr>
        <xdr:cNvPr id="115" name="Rectangle 114" hidden="1">
          <a:extLst>
            <a:ext uri="{FF2B5EF4-FFF2-40B4-BE49-F238E27FC236}">
              <a16:creationId xmlns:a16="http://schemas.microsoft.com/office/drawing/2014/main" id="{81D29C02-B2A4-47ED-B5F6-B6C29B8F1CC2}"/>
            </a:ext>
          </a:extLst>
        </xdr:cNvPr>
        <xdr:cNvSpPr/>
      </xdr:nvSpPr>
      <xdr:spPr>
        <a:xfrm>
          <a:off x="15459405" y="2630214"/>
          <a:ext cx="374431" cy="170793"/>
        </a:xfrm>
        <a:prstGeom prst="rect">
          <a:avLst/>
        </a:prstGeom>
        <a:solidFill>
          <a:sysClr val="window" lastClr="FFFFFF"/>
        </a:solidFill>
        <a:ln w="25400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32845</xdr:colOff>
      <xdr:row>6</xdr:row>
      <xdr:rowOff>2298</xdr:rowOff>
    </xdr:from>
    <xdr:to>
      <xdr:col>21</xdr:col>
      <xdr:colOff>35471</xdr:colOff>
      <xdr:row>13</xdr:row>
      <xdr:rowOff>78827</xdr:rowOff>
    </xdr:to>
    <xdr:cxnSp macro="">
      <xdr:nvCxnSpPr>
        <xdr:cNvPr id="118" name="Connecteur droit 117" hidden="1">
          <a:extLst>
            <a:ext uri="{FF2B5EF4-FFF2-40B4-BE49-F238E27FC236}">
              <a16:creationId xmlns:a16="http://schemas.microsoft.com/office/drawing/2014/main" id="{E0FC1650-9914-4407-93F9-023E51C2B3C5}"/>
            </a:ext>
          </a:extLst>
        </xdr:cNvPr>
        <xdr:cNvCxnSpPr/>
      </xdr:nvCxnSpPr>
      <xdr:spPr>
        <a:xfrm flipH="1">
          <a:off x="15857483" y="1191281"/>
          <a:ext cx="2626" cy="1456012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388883</xdr:colOff>
      <xdr:row>6</xdr:row>
      <xdr:rowOff>21020</xdr:rowOff>
    </xdr:from>
    <xdr:to>
      <xdr:col>21</xdr:col>
      <xdr:colOff>1314</xdr:colOff>
      <xdr:row>7</xdr:row>
      <xdr:rowOff>1313</xdr:rowOff>
    </xdr:to>
    <xdr:sp macro="" textlink="">
      <xdr:nvSpPr>
        <xdr:cNvPr id="119" name="Rectangle 118" hidden="1">
          <a:extLst>
            <a:ext uri="{FF2B5EF4-FFF2-40B4-BE49-F238E27FC236}">
              <a16:creationId xmlns:a16="http://schemas.microsoft.com/office/drawing/2014/main" id="{C4698CF9-2009-4ED4-BB18-662FCE86475C}"/>
            </a:ext>
          </a:extLst>
        </xdr:cNvPr>
        <xdr:cNvSpPr/>
      </xdr:nvSpPr>
      <xdr:spPr>
        <a:xfrm>
          <a:off x="15451521" y="1210003"/>
          <a:ext cx="374431" cy="170793"/>
        </a:xfrm>
        <a:prstGeom prst="rect">
          <a:avLst/>
        </a:prstGeom>
        <a:solidFill>
          <a:sysClr val="window" lastClr="FFFFFF"/>
        </a:solidFill>
        <a:ln w="25400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43354</xdr:colOff>
      <xdr:row>6</xdr:row>
      <xdr:rowOff>187543</xdr:rowOff>
    </xdr:from>
    <xdr:to>
      <xdr:col>21</xdr:col>
      <xdr:colOff>45983</xdr:colOff>
      <xdr:row>13</xdr:row>
      <xdr:rowOff>59120</xdr:rowOff>
    </xdr:to>
    <xdr:cxnSp macro="">
      <xdr:nvCxnSpPr>
        <xdr:cNvPr id="120" name="Connecteur droit 119" hidden="1">
          <a:extLst>
            <a:ext uri="{FF2B5EF4-FFF2-40B4-BE49-F238E27FC236}">
              <a16:creationId xmlns:a16="http://schemas.microsoft.com/office/drawing/2014/main" id="{D64E157D-CDF7-485D-9F1F-ECF1FD9CFABA}"/>
            </a:ext>
          </a:extLst>
        </xdr:cNvPr>
        <xdr:cNvCxnSpPr/>
      </xdr:nvCxnSpPr>
      <xdr:spPr>
        <a:xfrm>
          <a:off x="15867992" y="1376526"/>
          <a:ext cx="2629" cy="1251060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36785</xdr:colOff>
      <xdr:row>5</xdr:row>
      <xdr:rowOff>167835</xdr:rowOff>
    </xdr:from>
    <xdr:to>
      <xdr:col>21</xdr:col>
      <xdr:colOff>40728</xdr:colOff>
      <xdr:row>14</xdr:row>
      <xdr:rowOff>73571</xdr:rowOff>
    </xdr:to>
    <xdr:cxnSp macro="">
      <xdr:nvCxnSpPr>
        <xdr:cNvPr id="121" name="Connecteur droit 120" hidden="1">
          <a:extLst>
            <a:ext uri="{FF2B5EF4-FFF2-40B4-BE49-F238E27FC236}">
              <a16:creationId xmlns:a16="http://schemas.microsoft.com/office/drawing/2014/main" id="{83B5740E-4048-4B46-843C-DFFC0B1B7FA6}"/>
            </a:ext>
          </a:extLst>
        </xdr:cNvPr>
        <xdr:cNvCxnSpPr/>
      </xdr:nvCxnSpPr>
      <xdr:spPr>
        <a:xfrm>
          <a:off x="15861423" y="1166318"/>
          <a:ext cx="3943" cy="1666219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52552</xdr:colOff>
      <xdr:row>5</xdr:row>
      <xdr:rowOff>170793</xdr:rowOff>
    </xdr:from>
    <xdr:to>
      <xdr:col>21</xdr:col>
      <xdr:colOff>65690</xdr:colOff>
      <xdr:row>16</xdr:row>
      <xdr:rowOff>78827</xdr:rowOff>
    </xdr:to>
    <xdr:cxnSp macro="">
      <xdr:nvCxnSpPr>
        <xdr:cNvPr id="125" name="Connecteur droit 124" hidden="1">
          <a:extLst>
            <a:ext uri="{FF2B5EF4-FFF2-40B4-BE49-F238E27FC236}">
              <a16:creationId xmlns:a16="http://schemas.microsoft.com/office/drawing/2014/main" id="{E0949FE8-F5C0-4DD0-B92F-1AB6C27F486B}"/>
            </a:ext>
          </a:extLst>
        </xdr:cNvPr>
        <xdr:cNvCxnSpPr/>
      </xdr:nvCxnSpPr>
      <xdr:spPr>
        <a:xfrm>
          <a:off x="15877190" y="1169276"/>
          <a:ext cx="13138" cy="2049517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54194</xdr:colOff>
      <xdr:row>5</xdr:row>
      <xdr:rowOff>171449</xdr:rowOff>
    </xdr:from>
    <xdr:to>
      <xdr:col>9</xdr:col>
      <xdr:colOff>59121</xdr:colOff>
      <xdr:row>16</xdr:row>
      <xdr:rowOff>78827</xdr:rowOff>
    </xdr:to>
    <xdr:cxnSp macro="">
      <xdr:nvCxnSpPr>
        <xdr:cNvPr id="126" name="Connecteur droit 125" hidden="1">
          <a:extLst>
            <a:ext uri="{FF2B5EF4-FFF2-40B4-BE49-F238E27FC236}">
              <a16:creationId xmlns:a16="http://schemas.microsoft.com/office/drawing/2014/main" id="{ED128C6A-750B-4698-9174-E26CD23CB406}"/>
            </a:ext>
          </a:extLst>
        </xdr:cNvPr>
        <xdr:cNvCxnSpPr/>
      </xdr:nvCxnSpPr>
      <xdr:spPr>
        <a:xfrm>
          <a:off x="8245694" y="1169932"/>
          <a:ext cx="4927" cy="2048861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93280</xdr:colOff>
      <xdr:row>6</xdr:row>
      <xdr:rowOff>21021</xdr:rowOff>
    </xdr:from>
    <xdr:to>
      <xdr:col>9</xdr:col>
      <xdr:colOff>467711</xdr:colOff>
      <xdr:row>7</xdr:row>
      <xdr:rowOff>1314</xdr:rowOff>
    </xdr:to>
    <xdr:sp macro="" textlink="">
      <xdr:nvSpPr>
        <xdr:cNvPr id="127" name="Rectangle 126" hidden="1">
          <a:extLst>
            <a:ext uri="{FF2B5EF4-FFF2-40B4-BE49-F238E27FC236}">
              <a16:creationId xmlns:a16="http://schemas.microsoft.com/office/drawing/2014/main" id="{7B57FB44-30AA-4170-BD33-9712B7EF4687}"/>
            </a:ext>
          </a:extLst>
        </xdr:cNvPr>
        <xdr:cNvSpPr/>
      </xdr:nvSpPr>
      <xdr:spPr>
        <a:xfrm>
          <a:off x="8284780" y="1210004"/>
          <a:ext cx="374431" cy="170793"/>
        </a:xfrm>
        <a:prstGeom prst="rect">
          <a:avLst/>
        </a:prstGeom>
        <a:solidFill>
          <a:sysClr val="window" lastClr="FFFFFF"/>
        </a:solidFill>
        <a:ln w="25400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55179</xdr:colOff>
      <xdr:row>6</xdr:row>
      <xdr:rowOff>179661</xdr:rowOff>
    </xdr:from>
    <xdr:to>
      <xdr:col>9</xdr:col>
      <xdr:colOff>59121</xdr:colOff>
      <xdr:row>16</xdr:row>
      <xdr:rowOff>52552</xdr:rowOff>
    </xdr:to>
    <xdr:cxnSp macro="">
      <xdr:nvCxnSpPr>
        <xdr:cNvPr id="128" name="Connecteur droit 127" hidden="1">
          <a:extLst>
            <a:ext uri="{FF2B5EF4-FFF2-40B4-BE49-F238E27FC236}">
              <a16:creationId xmlns:a16="http://schemas.microsoft.com/office/drawing/2014/main" id="{C6865BBA-819E-4856-AB67-33CBBAE0B376}"/>
            </a:ext>
          </a:extLst>
        </xdr:cNvPr>
        <xdr:cNvCxnSpPr/>
      </xdr:nvCxnSpPr>
      <xdr:spPr>
        <a:xfrm>
          <a:off x="8246679" y="1368644"/>
          <a:ext cx="3942" cy="1823874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49924</xdr:colOff>
      <xdr:row>6</xdr:row>
      <xdr:rowOff>180975</xdr:rowOff>
    </xdr:from>
    <xdr:to>
      <xdr:col>21</xdr:col>
      <xdr:colOff>53866</xdr:colOff>
      <xdr:row>16</xdr:row>
      <xdr:rowOff>53866</xdr:rowOff>
    </xdr:to>
    <xdr:cxnSp macro="">
      <xdr:nvCxnSpPr>
        <xdr:cNvPr id="129" name="Connecteur droit 128" hidden="1">
          <a:extLst>
            <a:ext uri="{FF2B5EF4-FFF2-40B4-BE49-F238E27FC236}">
              <a16:creationId xmlns:a16="http://schemas.microsoft.com/office/drawing/2014/main" id="{37E247EB-AB06-42B2-9897-414C1AC571B6}"/>
            </a:ext>
          </a:extLst>
        </xdr:cNvPr>
        <xdr:cNvCxnSpPr/>
      </xdr:nvCxnSpPr>
      <xdr:spPr>
        <a:xfrm>
          <a:off x="15874562" y="1369958"/>
          <a:ext cx="3942" cy="1823874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75871</xdr:colOff>
      <xdr:row>5</xdr:row>
      <xdr:rowOff>176377</xdr:rowOff>
    </xdr:from>
    <xdr:to>
      <xdr:col>9</xdr:col>
      <xdr:colOff>450302</xdr:colOff>
      <xdr:row>6</xdr:row>
      <xdr:rowOff>156670</xdr:rowOff>
    </xdr:to>
    <xdr:sp macro="" textlink="">
      <xdr:nvSpPr>
        <xdr:cNvPr id="134" name="Rectangle 133">
          <a:extLst>
            <a:ext uri="{FF2B5EF4-FFF2-40B4-BE49-F238E27FC236}">
              <a16:creationId xmlns:a16="http://schemas.microsoft.com/office/drawing/2014/main" id="{5D40ECF8-11DC-44EB-B8AB-E37598C4C803}"/>
            </a:ext>
          </a:extLst>
        </xdr:cNvPr>
        <xdr:cNvSpPr/>
      </xdr:nvSpPr>
      <xdr:spPr>
        <a:xfrm>
          <a:off x="8210221" y="1176502"/>
          <a:ext cx="374431" cy="170793"/>
        </a:xfrm>
        <a:prstGeom prst="rect">
          <a:avLst/>
        </a:prstGeom>
        <a:solidFill>
          <a:sysClr val="window" lastClr="FFFFFF"/>
        </a:solidFill>
        <a:ln w="25400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43355</xdr:colOff>
      <xdr:row>5</xdr:row>
      <xdr:rowOff>124810</xdr:rowOff>
    </xdr:from>
    <xdr:to>
      <xdr:col>21</xdr:col>
      <xdr:colOff>44669</xdr:colOff>
      <xdr:row>13</xdr:row>
      <xdr:rowOff>80141</xdr:rowOff>
    </xdr:to>
    <xdr:cxnSp macro="">
      <xdr:nvCxnSpPr>
        <xdr:cNvPr id="139" name="Connecteur droit 138" hidden="1">
          <a:extLst>
            <a:ext uri="{FF2B5EF4-FFF2-40B4-BE49-F238E27FC236}">
              <a16:creationId xmlns:a16="http://schemas.microsoft.com/office/drawing/2014/main" id="{F928499A-D783-459A-9471-0EEFF797CAE2}"/>
            </a:ext>
          </a:extLst>
        </xdr:cNvPr>
        <xdr:cNvCxnSpPr/>
      </xdr:nvCxnSpPr>
      <xdr:spPr>
        <a:xfrm>
          <a:off x="15867993" y="1123293"/>
          <a:ext cx="1314" cy="1525314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394137</xdr:colOff>
      <xdr:row>6</xdr:row>
      <xdr:rowOff>6570</xdr:rowOff>
    </xdr:from>
    <xdr:to>
      <xdr:col>21</xdr:col>
      <xdr:colOff>6568</xdr:colOff>
      <xdr:row>7</xdr:row>
      <xdr:rowOff>9198</xdr:rowOff>
    </xdr:to>
    <xdr:sp macro="" textlink="">
      <xdr:nvSpPr>
        <xdr:cNvPr id="140" name="Rectangle 139" hidden="1">
          <a:extLst>
            <a:ext uri="{FF2B5EF4-FFF2-40B4-BE49-F238E27FC236}">
              <a16:creationId xmlns:a16="http://schemas.microsoft.com/office/drawing/2014/main" id="{B81B49A5-B0DF-4587-BC58-CCDDC5FFEC7F}"/>
            </a:ext>
          </a:extLst>
        </xdr:cNvPr>
        <xdr:cNvSpPr/>
      </xdr:nvSpPr>
      <xdr:spPr>
        <a:xfrm>
          <a:off x="15456775" y="1195553"/>
          <a:ext cx="374431" cy="193128"/>
        </a:xfrm>
        <a:prstGeom prst="rect">
          <a:avLst/>
        </a:prstGeom>
        <a:solidFill>
          <a:sysClr val="window" lastClr="FFFFFF"/>
        </a:solidFill>
        <a:ln w="25400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52552</xdr:colOff>
      <xdr:row>6</xdr:row>
      <xdr:rowOff>180974</xdr:rowOff>
    </xdr:from>
    <xdr:to>
      <xdr:col>9</xdr:col>
      <xdr:colOff>56492</xdr:colOff>
      <xdr:row>16</xdr:row>
      <xdr:rowOff>72258</xdr:rowOff>
    </xdr:to>
    <xdr:cxnSp macro="">
      <xdr:nvCxnSpPr>
        <xdr:cNvPr id="141" name="Connecteur droit 140" hidden="1">
          <a:extLst>
            <a:ext uri="{FF2B5EF4-FFF2-40B4-BE49-F238E27FC236}">
              <a16:creationId xmlns:a16="http://schemas.microsoft.com/office/drawing/2014/main" id="{96908E58-1882-4187-9CBE-96A18A1797D7}"/>
            </a:ext>
          </a:extLst>
        </xdr:cNvPr>
        <xdr:cNvCxnSpPr/>
      </xdr:nvCxnSpPr>
      <xdr:spPr>
        <a:xfrm flipH="1">
          <a:off x="8244052" y="1369957"/>
          <a:ext cx="3940" cy="1842267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32845</xdr:colOff>
      <xdr:row>5</xdr:row>
      <xdr:rowOff>137948</xdr:rowOff>
    </xdr:from>
    <xdr:to>
      <xdr:col>9</xdr:col>
      <xdr:colOff>44669</xdr:colOff>
      <xdr:row>16</xdr:row>
      <xdr:rowOff>119555</xdr:rowOff>
    </xdr:to>
    <xdr:cxnSp macro="">
      <xdr:nvCxnSpPr>
        <xdr:cNvPr id="147" name="Connecteur droit 146" hidden="1">
          <a:extLst>
            <a:ext uri="{FF2B5EF4-FFF2-40B4-BE49-F238E27FC236}">
              <a16:creationId xmlns:a16="http://schemas.microsoft.com/office/drawing/2014/main" id="{EAAA29BE-795B-40FD-A078-D9C07A492C9A}"/>
            </a:ext>
          </a:extLst>
        </xdr:cNvPr>
        <xdr:cNvCxnSpPr/>
      </xdr:nvCxnSpPr>
      <xdr:spPr>
        <a:xfrm flipH="1">
          <a:off x="8224345" y="1136431"/>
          <a:ext cx="11824" cy="2123090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91965</xdr:colOff>
      <xdr:row>5</xdr:row>
      <xdr:rowOff>185246</xdr:rowOff>
    </xdr:from>
    <xdr:to>
      <xdr:col>9</xdr:col>
      <xdr:colOff>466396</xdr:colOff>
      <xdr:row>6</xdr:row>
      <xdr:rowOff>187874</xdr:rowOff>
    </xdr:to>
    <xdr:sp macro="" textlink="">
      <xdr:nvSpPr>
        <xdr:cNvPr id="148" name="Rectangle 147" hidden="1">
          <a:extLst>
            <a:ext uri="{FF2B5EF4-FFF2-40B4-BE49-F238E27FC236}">
              <a16:creationId xmlns:a16="http://schemas.microsoft.com/office/drawing/2014/main" id="{DC20FF2A-D0DA-48B2-AB44-4A61881350B7}"/>
            </a:ext>
          </a:extLst>
        </xdr:cNvPr>
        <xdr:cNvSpPr/>
      </xdr:nvSpPr>
      <xdr:spPr>
        <a:xfrm>
          <a:off x="8283465" y="1183729"/>
          <a:ext cx="374431" cy="193128"/>
        </a:xfrm>
        <a:prstGeom prst="rect">
          <a:avLst/>
        </a:prstGeom>
        <a:solidFill>
          <a:sysClr val="window" lastClr="FFFFFF"/>
        </a:solidFill>
        <a:ln w="25400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45983</xdr:colOff>
      <xdr:row>6</xdr:row>
      <xdr:rowOff>174405</xdr:rowOff>
    </xdr:from>
    <xdr:to>
      <xdr:col>21</xdr:col>
      <xdr:colOff>49923</xdr:colOff>
      <xdr:row>14</xdr:row>
      <xdr:rowOff>157655</xdr:rowOff>
    </xdr:to>
    <xdr:cxnSp macro="">
      <xdr:nvCxnSpPr>
        <xdr:cNvPr id="149" name="Connecteur droit 148" hidden="1">
          <a:extLst>
            <a:ext uri="{FF2B5EF4-FFF2-40B4-BE49-F238E27FC236}">
              <a16:creationId xmlns:a16="http://schemas.microsoft.com/office/drawing/2014/main" id="{A49BBF49-25A9-4B9F-931E-8BD138932A19}"/>
            </a:ext>
          </a:extLst>
        </xdr:cNvPr>
        <xdr:cNvCxnSpPr/>
      </xdr:nvCxnSpPr>
      <xdr:spPr>
        <a:xfrm flipH="1">
          <a:off x="15870621" y="1363388"/>
          <a:ext cx="3940" cy="1553233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347752</xdr:colOff>
      <xdr:row>13</xdr:row>
      <xdr:rowOff>77926</xdr:rowOff>
    </xdr:from>
    <xdr:to>
      <xdr:col>20</xdr:col>
      <xdr:colOff>751537</xdr:colOff>
      <xdr:row>14</xdr:row>
      <xdr:rowOff>102552</xdr:rowOff>
    </xdr:to>
    <xdr:sp macro="" textlink="">
      <xdr:nvSpPr>
        <xdr:cNvPr id="156" name="Rectangle : avec coin rogné 155" hidden="1">
          <a:extLst>
            <a:ext uri="{FF2B5EF4-FFF2-40B4-BE49-F238E27FC236}">
              <a16:creationId xmlns:a16="http://schemas.microsoft.com/office/drawing/2014/main" id="{C745D714-5374-D8AD-676D-1FE689E4ED73}"/>
            </a:ext>
          </a:extLst>
        </xdr:cNvPr>
        <xdr:cNvSpPr/>
      </xdr:nvSpPr>
      <xdr:spPr>
        <a:xfrm rot="10408261">
          <a:off x="15410390" y="2646392"/>
          <a:ext cx="403785" cy="215126"/>
        </a:xfrm>
        <a:prstGeom prst="snip1Rect">
          <a:avLst>
            <a:gd name="adj" fmla="val 50000"/>
          </a:avLst>
        </a:prstGeom>
        <a:solidFill>
          <a:sysClr val="window" lastClr="FFFFFF"/>
        </a:solidFill>
        <a:ln w="28575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39414</xdr:colOff>
      <xdr:row>5</xdr:row>
      <xdr:rowOff>162581</xdr:rowOff>
    </xdr:from>
    <xdr:to>
      <xdr:col>21</xdr:col>
      <xdr:colOff>44668</xdr:colOff>
      <xdr:row>14</xdr:row>
      <xdr:rowOff>124810</xdr:rowOff>
    </xdr:to>
    <xdr:cxnSp macro="">
      <xdr:nvCxnSpPr>
        <xdr:cNvPr id="157" name="Connecteur droit 156" hidden="1">
          <a:extLst>
            <a:ext uri="{FF2B5EF4-FFF2-40B4-BE49-F238E27FC236}">
              <a16:creationId xmlns:a16="http://schemas.microsoft.com/office/drawing/2014/main" id="{9A0D56BB-6F96-4AA2-8A25-8169F120586A}"/>
            </a:ext>
          </a:extLst>
        </xdr:cNvPr>
        <xdr:cNvCxnSpPr/>
      </xdr:nvCxnSpPr>
      <xdr:spPr>
        <a:xfrm flipH="1">
          <a:off x="15864052" y="1161064"/>
          <a:ext cx="5254" cy="1722712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743607</xdr:colOff>
      <xdr:row>7</xdr:row>
      <xdr:rowOff>67002</xdr:rowOff>
    </xdr:from>
    <xdr:to>
      <xdr:col>11</xdr:col>
      <xdr:colOff>743607</xdr:colOff>
      <xdr:row>12</xdr:row>
      <xdr:rowOff>224659</xdr:rowOff>
    </xdr:to>
    <xdr:cxnSp macro="">
      <xdr:nvCxnSpPr>
        <xdr:cNvPr id="159" name="Connecteur droit 158" hidden="1">
          <a:extLst>
            <a:ext uri="{FF2B5EF4-FFF2-40B4-BE49-F238E27FC236}">
              <a16:creationId xmlns:a16="http://schemas.microsoft.com/office/drawing/2014/main" id="{886690A7-372F-4254-8F35-13B64FD5D44D}"/>
            </a:ext>
          </a:extLst>
        </xdr:cNvPr>
        <xdr:cNvCxnSpPr/>
      </xdr:nvCxnSpPr>
      <xdr:spPr>
        <a:xfrm>
          <a:off x="10334297" y="1446485"/>
          <a:ext cx="0" cy="1110157"/>
        </a:xfrm>
        <a:prstGeom prst="line">
          <a:avLst/>
        </a:prstGeom>
        <a:ln w="38100">
          <a:solidFill>
            <a:schemeClr val="accent2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105104</xdr:colOff>
      <xdr:row>12</xdr:row>
      <xdr:rowOff>0</xdr:rowOff>
    </xdr:from>
    <xdr:to>
      <xdr:col>11</xdr:col>
      <xdr:colOff>676603</xdr:colOff>
      <xdr:row>12</xdr:row>
      <xdr:rowOff>6569</xdr:rowOff>
    </xdr:to>
    <xdr:cxnSp macro="">
      <xdr:nvCxnSpPr>
        <xdr:cNvPr id="161" name="Connecteur droit avec flèche 160" hidden="1">
          <a:extLst>
            <a:ext uri="{FF2B5EF4-FFF2-40B4-BE49-F238E27FC236}">
              <a16:creationId xmlns:a16="http://schemas.microsoft.com/office/drawing/2014/main" id="{A261B76E-43D5-4CD9-9EF6-38BF858857D2}"/>
            </a:ext>
          </a:extLst>
        </xdr:cNvPr>
        <xdr:cNvCxnSpPr/>
      </xdr:nvCxnSpPr>
      <xdr:spPr>
        <a:xfrm flipV="1">
          <a:off x="8329449" y="2331983"/>
          <a:ext cx="2095499" cy="6569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571500</xdr:colOff>
      <xdr:row>7</xdr:row>
      <xdr:rowOff>73571</xdr:rowOff>
    </xdr:from>
    <xdr:to>
      <xdr:col>20</xdr:col>
      <xdr:colOff>572814</xdr:colOff>
      <xdr:row>13</xdr:row>
      <xdr:rowOff>0</xdr:rowOff>
    </xdr:to>
    <xdr:cxnSp macro="">
      <xdr:nvCxnSpPr>
        <xdr:cNvPr id="82" name="Connecteur droit avec flèche 81" hidden="1">
          <a:extLst>
            <a:ext uri="{FF2B5EF4-FFF2-40B4-BE49-F238E27FC236}">
              <a16:creationId xmlns:a16="http://schemas.microsoft.com/office/drawing/2014/main" id="{3E62906A-7AA5-439B-8407-7E81DF36F5A3}"/>
            </a:ext>
          </a:extLst>
        </xdr:cNvPr>
        <xdr:cNvCxnSpPr/>
      </xdr:nvCxnSpPr>
      <xdr:spPr>
        <a:xfrm flipV="1">
          <a:off x="15666983" y="1453054"/>
          <a:ext cx="1314" cy="11154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74888</xdr:colOff>
      <xdr:row>14</xdr:row>
      <xdr:rowOff>42040</xdr:rowOff>
    </xdr:from>
    <xdr:to>
      <xdr:col>13</xdr:col>
      <xdr:colOff>173422</xdr:colOff>
      <xdr:row>16</xdr:row>
      <xdr:rowOff>22334</xdr:rowOff>
    </xdr:to>
    <xdr:sp macro="" textlink="">
      <xdr:nvSpPr>
        <xdr:cNvPr id="84" name="Signe de multiplication 83" hidden="1">
          <a:extLst>
            <a:ext uri="{FF2B5EF4-FFF2-40B4-BE49-F238E27FC236}">
              <a16:creationId xmlns:a16="http://schemas.microsoft.com/office/drawing/2014/main" id="{FDEF58F4-AD1E-4A9A-8926-86AE7719F239}"/>
            </a:ext>
          </a:extLst>
        </xdr:cNvPr>
        <xdr:cNvSpPr/>
      </xdr:nvSpPr>
      <xdr:spPr>
        <a:xfrm>
          <a:off x="10585233" y="2801006"/>
          <a:ext cx="387568" cy="361294"/>
        </a:xfrm>
        <a:prstGeom prst="mathMultiply">
          <a:avLst>
            <a:gd name="adj1" fmla="val 1187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102477</xdr:colOff>
      <xdr:row>12</xdr:row>
      <xdr:rowOff>161597</xdr:rowOff>
    </xdr:from>
    <xdr:to>
      <xdr:col>19</xdr:col>
      <xdr:colOff>490045</xdr:colOff>
      <xdr:row>14</xdr:row>
      <xdr:rowOff>95908</xdr:rowOff>
    </xdr:to>
    <xdr:sp macro="" textlink="">
      <xdr:nvSpPr>
        <xdr:cNvPr id="91" name="Signe de multiplication 90" hidden="1">
          <a:extLst>
            <a:ext uri="{FF2B5EF4-FFF2-40B4-BE49-F238E27FC236}">
              <a16:creationId xmlns:a16="http://schemas.microsoft.com/office/drawing/2014/main" id="{046AE575-928B-4E7B-AA5D-B24CE402E738}"/>
            </a:ext>
          </a:extLst>
        </xdr:cNvPr>
        <xdr:cNvSpPr/>
      </xdr:nvSpPr>
      <xdr:spPr>
        <a:xfrm>
          <a:off x="14435960" y="2493580"/>
          <a:ext cx="387568" cy="361294"/>
        </a:xfrm>
        <a:prstGeom prst="mathMultiply">
          <a:avLst>
            <a:gd name="adj1" fmla="val 1187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118241</xdr:colOff>
      <xdr:row>7</xdr:row>
      <xdr:rowOff>65688</xdr:rowOff>
    </xdr:from>
    <xdr:to>
      <xdr:col>15</xdr:col>
      <xdr:colOff>124810</xdr:colOff>
      <xdr:row>14</xdr:row>
      <xdr:rowOff>85396</xdr:rowOff>
    </xdr:to>
    <xdr:cxnSp macro="">
      <xdr:nvCxnSpPr>
        <xdr:cNvPr id="92" name="Connecteur droit 91" hidden="1">
          <a:extLst>
            <a:ext uri="{FF2B5EF4-FFF2-40B4-BE49-F238E27FC236}">
              <a16:creationId xmlns:a16="http://schemas.microsoft.com/office/drawing/2014/main" id="{7F39FFF7-3386-484C-87CA-BDD31C7E39E7}"/>
            </a:ext>
          </a:extLst>
        </xdr:cNvPr>
        <xdr:cNvCxnSpPr/>
      </xdr:nvCxnSpPr>
      <xdr:spPr>
        <a:xfrm flipH="1">
          <a:off x="11948948" y="1445171"/>
          <a:ext cx="6569" cy="1399191"/>
        </a:xfrm>
        <a:prstGeom prst="line">
          <a:avLst/>
        </a:prstGeom>
        <a:ln w="38100">
          <a:solidFill>
            <a:schemeClr val="accent2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243052</xdr:colOff>
      <xdr:row>7</xdr:row>
      <xdr:rowOff>53864</xdr:rowOff>
    </xdr:from>
    <xdr:to>
      <xdr:col>16</xdr:col>
      <xdr:colOff>250935</xdr:colOff>
      <xdr:row>14</xdr:row>
      <xdr:rowOff>59120</xdr:rowOff>
    </xdr:to>
    <xdr:cxnSp macro="">
      <xdr:nvCxnSpPr>
        <xdr:cNvPr id="93" name="Connecteur droit 92" hidden="1">
          <a:extLst>
            <a:ext uri="{FF2B5EF4-FFF2-40B4-BE49-F238E27FC236}">
              <a16:creationId xmlns:a16="http://schemas.microsoft.com/office/drawing/2014/main" id="{D667509C-A0B9-4A2B-AFF6-1D92863F7500}"/>
            </a:ext>
          </a:extLst>
        </xdr:cNvPr>
        <xdr:cNvCxnSpPr/>
      </xdr:nvCxnSpPr>
      <xdr:spPr>
        <a:xfrm flipH="1">
          <a:off x="12835759" y="1433347"/>
          <a:ext cx="7883" cy="1384739"/>
        </a:xfrm>
        <a:prstGeom prst="line">
          <a:avLst/>
        </a:prstGeom>
        <a:ln w="38100">
          <a:solidFill>
            <a:schemeClr val="accent2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144517</xdr:colOff>
      <xdr:row>4</xdr:row>
      <xdr:rowOff>52551</xdr:rowOff>
    </xdr:from>
    <xdr:to>
      <xdr:col>18</xdr:col>
      <xdr:colOff>302172</xdr:colOff>
      <xdr:row>6</xdr:row>
      <xdr:rowOff>183931</xdr:rowOff>
    </xdr:to>
    <xdr:cxnSp macro="">
      <xdr:nvCxnSpPr>
        <xdr:cNvPr id="7" name="Connecteur droit avec flèche 6" hidden="1">
          <a:extLst>
            <a:ext uri="{FF2B5EF4-FFF2-40B4-BE49-F238E27FC236}">
              <a16:creationId xmlns:a16="http://schemas.microsoft.com/office/drawing/2014/main" id="{50888BB1-E394-FF75-E053-62003658474A}"/>
            </a:ext>
          </a:extLst>
        </xdr:cNvPr>
        <xdr:cNvCxnSpPr/>
      </xdr:nvCxnSpPr>
      <xdr:spPr>
        <a:xfrm flipH="1">
          <a:off x="13716000" y="860534"/>
          <a:ext cx="157655" cy="5123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15</xdr:col>
      <xdr:colOff>756744</xdr:colOff>
      <xdr:row>5</xdr:row>
      <xdr:rowOff>170793</xdr:rowOff>
    </xdr:from>
    <xdr:to>
      <xdr:col>16</xdr:col>
      <xdr:colOff>98534</xdr:colOff>
      <xdr:row>6</xdr:row>
      <xdr:rowOff>139262</xdr:rowOff>
    </xdr:to>
    <xdr:cxnSp macro="">
      <xdr:nvCxnSpPr>
        <xdr:cNvPr id="94" name="Connecteur droit avec flèche 93" hidden="1">
          <a:extLst>
            <a:ext uri="{FF2B5EF4-FFF2-40B4-BE49-F238E27FC236}">
              <a16:creationId xmlns:a16="http://schemas.microsoft.com/office/drawing/2014/main" id="{32EE00DD-24E9-4FDE-9A8D-B9B18054E1BF}"/>
            </a:ext>
          </a:extLst>
        </xdr:cNvPr>
        <xdr:cNvCxnSpPr/>
      </xdr:nvCxnSpPr>
      <xdr:spPr>
        <a:xfrm flipH="1">
          <a:off x="12587451" y="1169276"/>
          <a:ext cx="103790" cy="158969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105103</xdr:colOff>
      <xdr:row>4</xdr:row>
      <xdr:rowOff>21020</xdr:rowOff>
    </xdr:from>
    <xdr:to>
      <xdr:col>15</xdr:col>
      <xdr:colOff>290348</xdr:colOff>
      <xdr:row>6</xdr:row>
      <xdr:rowOff>170793</xdr:rowOff>
    </xdr:to>
    <xdr:cxnSp macro="">
      <xdr:nvCxnSpPr>
        <xdr:cNvPr id="95" name="Connecteur droit avec flèche 94">
          <a:extLst>
            <a:ext uri="{FF2B5EF4-FFF2-40B4-BE49-F238E27FC236}">
              <a16:creationId xmlns:a16="http://schemas.microsoft.com/office/drawing/2014/main" id="{4B6441AB-53FC-4E58-9E1D-DADE47FB970B}"/>
            </a:ext>
          </a:extLst>
        </xdr:cNvPr>
        <xdr:cNvCxnSpPr/>
      </xdr:nvCxnSpPr>
      <xdr:spPr>
        <a:xfrm flipH="1">
          <a:off x="11935810" y="829003"/>
          <a:ext cx="185245" cy="530773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278524</xdr:colOff>
      <xdr:row>5</xdr:row>
      <xdr:rowOff>186557</xdr:rowOff>
    </xdr:from>
    <xdr:to>
      <xdr:col>13</xdr:col>
      <xdr:colOff>404455</xdr:colOff>
      <xdr:row>6</xdr:row>
      <xdr:rowOff>128815</xdr:rowOff>
    </xdr:to>
    <xdr:cxnSp macro="">
      <xdr:nvCxnSpPr>
        <xdr:cNvPr id="96" name="Connecteur droit avec flèche 95">
          <a:extLst>
            <a:ext uri="{FF2B5EF4-FFF2-40B4-BE49-F238E27FC236}">
              <a16:creationId xmlns:a16="http://schemas.microsoft.com/office/drawing/2014/main" id="{71B66F90-6A69-476D-B91B-C8FD658E8BAE}"/>
            </a:ext>
          </a:extLst>
        </xdr:cNvPr>
        <xdr:cNvCxnSpPr>
          <a:endCxn id="78" idx="0"/>
        </xdr:cNvCxnSpPr>
      </xdr:nvCxnSpPr>
      <xdr:spPr>
        <a:xfrm>
          <a:off x="11077903" y="1185040"/>
          <a:ext cx="125931" cy="132758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584638</xdr:colOff>
      <xdr:row>13</xdr:row>
      <xdr:rowOff>39413</xdr:rowOff>
    </xdr:from>
    <xdr:to>
      <xdr:col>11</xdr:col>
      <xdr:colOff>663465</xdr:colOff>
      <xdr:row>15</xdr:row>
      <xdr:rowOff>32844</xdr:rowOff>
    </xdr:to>
    <xdr:cxnSp macro="">
      <xdr:nvCxnSpPr>
        <xdr:cNvPr id="99" name="Connecteur droit avec flèche 98" hidden="1">
          <a:extLst>
            <a:ext uri="{FF2B5EF4-FFF2-40B4-BE49-F238E27FC236}">
              <a16:creationId xmlns:a16="http://schemas.microsoft.com/office/drawing/2014/main" id="{C965B3CB-6E32-432D-AF6B-DAE7F70200EA}"/>
            </a:ext>
          </a:extLst>
        </xdr:cNvPr>
        <xdr:cNvCxnSpPr/>
      </xdr:nvCxnSpPr>
      <xdr:spPr>
        <a:xfrm flipV="1">
          <a:off x="10332983" y="2607879"/>
          <a:ext cx="78827" cy="374431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512380</xdr:colOff>
      <xdr:row>13</xdr:row>
      <xdr:rowOff>73571</xdr:rowOff>
    </xdr:from>
    <xdr:to>
      <xdr:col>13</xdr:col>
      <xdr:colOff>539969</xdr:colOff>
      <xdr:row>14</xdr:row>
      <xdr:rowOff>52551</xdr:rowOff>
    </xdr:to>
    <xdr:cxnSp macro="">
      <xdr:nvCxnSpPr>
        <xdr:cNvPr id="100" name="Connecteur droit avec flèche 99">
          <a:extLst>
            <a:ext uri="{FF2B5EF4-FFF2-40B4-BE49-F238E27FC236}">
              <a16:creationId xmlns:a16="http://schemas.microsoft.com/office/drawing/2014/main" id="{BF39D373-857C-4A3F-89A2-817D1F0060FD}"/>
            </a:ext>
          </a:extLst>
        </xdr:cNvPr>
        <xdr:cNvCxnSpPr/>
      </xdr:nvCxnSpPr>
      <xdr:spPr>
        <a:xfrm flipV="1">
          <a:off x="11311759" y="2642037"/>
          <a:ext cx="27589" cy="1694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218091</xdr:colOff>
      <xdr:row>13</xdr:row>
      <xdr:rowOff>45982</xdr:rowOff>
    </xdr:from>
    <xdr:to>
      <xdr:col>16</xdr:col>
      <xdr:colOff>275897</xdr:colOff>
      <xdr:row>15</xdr:row>
      <xdr:rowOff>34158</xdr:rowOff>
    </xdr:to>
    <xdr:cxnSp macro="">
      <xdr:nvCxnSpPr>
        <xdr:cNvPr id="102" name="Connecteur droit avec flèche 101" hidden="1">
          <a:extLst>
            <a:ext uri="{FF2B5EF4-FFF2-40B4-BE49-F238E27FC236}">
              <a16:creationId xmlns:a16="http://schemas.microsoft.com/office/drawing/2014/main" id="{06040C83-4A05-47FB-8644-051F5C67D8FC}"/>
            </a:ext>
          </a:extLst>
        </xdr:cNvPr>
        <xdr:cNvCxnSpPr/>
      </xdr:nvCxnSpPr>
      <xdr:spPr>
        <a:xfrm flipV="1">
          <a:off x="12810798" y="2614448"/>
          <a:ext cx="57806" cy="369176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112985</xdr:colOff>
      <xdr:row>13</xdr:row>
      <xdr:rowOff>119554</xdr:rowOff>
    </xdr:from>
    <xdr:to>
      <xdr:col>18</xdr:col>
      <xdr:colOff>223345</xdr:colOff>
      <xdr:row>15</xdr:row>
      <xdr:rowOff>45982</xdr:rowOff>
    </xdr:to>
    <xdr:cxnSp macro="">
      <xdr:nvCxnSpPr>
        <xdr:cNvPr id="103" name="Connecteur droit avec flèche 102" hidden="1">
          <a:extLst>
            <a:ext uri="{FF2B5EF4-FFF2-40B4-BE49-F238E27FC236}">
              <a16:creationId xmlns:a16="http://schemas.microsoft.com/office/drawing/2014/main" id="{85DEE945-3F5E-4CFD-9E07-1E42E7A97453}"/>
            </a:ext>
          </a:extLst>
        </xdr:cNvPr>
        <xdr:cNvCxnSpPr/>
      </xdr:nvCxnSpPr>
      <xdr:spPr>
        <a:xfrm flipH="1" flipV="1">
          <a:off x="13684468" y="2688020"/>
          <a:ext cx="110360" cy="307428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383628</xdr:colOff>
      <xdr:row>13</xdr:row>
      <xdr:rowOff>111672</xdr:rowOff>
    </xdr:from>
    <xdr:to>
      <xdr:col>15</xdr:col>
      <xdr:colOff>479534</xdr:colOff>
      <xdr:row>16</xdr:row>
      <xdr:rowOff>22334</xdr:rowOff>
    </xdr:to>
    <xdr:cxnSp macro="">
      <xdr:nvCxnSpPr>
        <xdr:cNvPr id="104" name="Connecteur droit avec flèche 103" hidden="1">
          <a:extLst>
            <a:ext uri="{FF2B5EF4-FFF2-40B4-BE49-F238E27FC236}">
              <a16:creationId xmlns:a16="http://schemas.microsoft.com/office/drawing/2014/main" id="{EF462C82-9F43-411F-A2A4-4B0741E15B1F}"/>
            </a:ext>
          </a:extLst>
        </xdr:cNvPr>
        <xdr:cNvCxnSpPr/>
      </xdr:nvCxnSpPr>
      <xdr:spPr>
        <a:xfrm flipV="1">
          <a:off x="12214335" y="2680138"/>
          <a:ext cx="95906" cy="482162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20</xdr:col>
      <xdr:colOff>388882</xdr:colOff>
      <xdr:row>5</xdr:row>
      <xdr:rowOff>111672</xdr:rowOff>
    </xdr:from>
    <xdr:to>
      <xdr:col>21</xdr:col>
      <xdr:colOff>13137</xdr:colOff>
      <xdr:row>5</xdr:row>
      <xdr:rowOff>112986</xdr:rowOff>
    </xdr:to>
    <xdr:cxnSp macro="">
      <xdr:nvCxnSpPr>
        <xdr:cNvPr id="106" name="Connecteur droit avec flèche 105" hidden="1">
          <a:extLst>
            <a:ext uri="{FF2B5EF4-FFF2-40B4-BE49-F238E27FC236}">
              <a16:creationId xmlns:a16="http://schemas.microsoft.com/office/drawing/2014/main" id="{6EE57E45-4AD7-4E27-8E2A-808E05D53893}"/>
            </a:ext>
          </a:extLst>
        </xdr:cNvPr>
        <xdr:cNvCxnSpPr/>
      </xdr:nvCxnSpPr>
      <xdr:spPr>
        <a:xfrm flipV="1">
          <a:off x="15484365" y="1110155"/>
          <a:ext cx="386255" cy="1314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275896</xdr:colOff>
      <xdr:row>5</xdr:row>
      <xdr:rowOff>170793</xdr:rowOff>
    </xdr:from>
    <xdr:to>
      <xdr:col>20</xdr:col>
      <xdr:colOff>278524</xdr:colOff>
      <xdr:row>6</xdr:row>
      <xdr:rowOff>179990</xdr:rowOff>
    </xdr:to>
    <xdr:cxnSp macro="">
      <xdr:nvCxnSpPr>
        <xdr:cNvPr id="108" name="Connecteur droit avec flèche 107" hidden="1">
          <a:extLst>
            <a:ext uri="{FF2B5EF4-FFF2-40B4-BE49-F238E27FC236}">
              <a16:creationId xmlns:a16="http://schemas.microsoft.com/office/drawing/2014/main" id="{7C9094BC-0B2D-46F5-A7D1-EB34E6EDEFC2}"/>
            </a:ext>
          </a:extLst>
        </xdr:cNvPr>
        <xdr:cNvCxnSpPr/>
      </xdr:nvCxnSpPr>
      <xdr:spPr>
        <a:xfrm flipH="1" flipV="1">
          <a:off x="15371379" y="1169276"/>
          <a:ext cx="2628" cy="199697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91965</xdr:colOff>
      <xdr:row>5</xdr:row>
      <xdr:rowOff>185246</xdr:rowOff>
    </xdr:from>
    <xdr:to>
      <xdr:col>20</xdr:col>
      <xdr:colOff>466396</xdr:colOff>
      <xdr:row>6</xdr:row>
      <xdr:rowOff>187874</xdr:rowOff>
    </xdr:to>
    <xdr:sp macro="" textlink="">
      <xdr:nvSpPr>
        <xdr:cNvPr id="110" name="Rectangle 109" hidden="1">
          <a:extLst>
            <a:ext uri="{FF2B5EF4-FFF2-40B4-BE49-F238E27FC236}">
              <a16:creationId xmlns:a16="http://schemas.microsoft.com/office/drawing/2014/main" id="{F3C6D5CB-417A-4547-AA1D-236A73BAE134}"/>
            </a:ext>
          </a:extLst>
        </xdr:cNvPr>
        <xdr:cNvSpPr/>
      </xdr:nvSpPr>
      <xdr:spPr>
        <a:xfrm>
          <a:off x="8316310" y="1183729"/>
          <a:ext cx="374431" cy="193128"/>
        </a:xfrm>
        <a:prstGeom prst="rect">
          <a:avLst/>
        </a:prstGeom>
        <a:solidFill>
          <a:sysClr val="window" lastClr="FFFFFF"/>
        </a:solidFill>
        <a:ln w="25400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137948</xdr:colOff>
      <xdr:row>12</xdr:row>
      <xdr:rowOff>6240</xdr:rowOff>
    </xdr:from>
    <xdr:to>
      <xdr:col>11</xdr:col>
      <xdr:colOff>140576</xdr:colOff>
      <xdr:row>13</xdr:row>
      <xdr:rowOff>15766</xdr:rowOff>
    </xdr:to>
    <xdr:cxnSp macro="">
      <xdr:nvCxnSpPr>
        <xdr:cNvPr id="111" name="Connecteur droit 110" hidden="1">
          <a:extLst>
            <a:ext uri="{FF2B5EF4-FFF2-40B4-BE49-F238E27FC236}">
              <a16:creationId xmlns:a16="http://schemas.microsoft.com/office/drawing/2014/main" id="{65A1283C-3C7D-4F7F-9DE2-5B3936FCFD63}"/>
            </a:ext>
          </a:extLst>
        </xdr:cNvPr>
        <xdr:cNvCxnSpPr/>
      </xdr:nvCxnSpPr>
      <xdr:spPr>
        <a:xfrm>
          <a:off x="9886293" y="2338223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21021</xdr:colOff>
      <xdr:row>12</xdr:row>
      <xdr:rowOff>985</xdr:rowOff>
    </xdr:from>
    <xdr:to>
      <xdr:col>10</xdr:col>
      <xdr:colOff>23649</xdr:colOff>
      <xdr:row>13</xdr:row>
      <xdr:rowOff>10511</xdr:rowOff>
    </xdr:to>
    <xdr:cxnSp macro="">
      <xdr:nvCxnSpPr>
        <xdr:cNvPr id="112" name="Connecteur droit 111" hidden="1">
          <a:extLst>
            <a:ext uri="{FF2B5EF4-FFF2-40B4-BE49-F238E27FC236}">
              <a16:creationId xmlns:a16="http://schemas.microsoft.com/office/drawing/2014/main" id="{BF2B5046-370B-4D6A-9353-C4C9CEAC14E3}"/>
            </a:ext>
          </a:extLst>
        </xdr:cNvPr>
        <xdr:cNvCxnSpPr/>
      </xdr:nvCxnSpPr>
      <xdr:spPr>
        <a:xfrm>
          <a:off x="9007366" y="2332968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758059</xdr:colOff>
      <xdr:row>11</xdr:row>
      <xdr:rowOff>179661</xdr:rowOff>
    </xdr:from>
    <xdr:to>
      <xdr:col>18</xdr:col>
      <xdr:colOff>760687</xdr:colOff>
      <xdr:row>12</xdr:row>
      <xdr:rowOff>235170</xdr:rowOff>
    </xdr:to>
    <xdr:cxnSp macro="">
      <xdr:nvCxnSpPr>
        <xdr:cNvPr id="113" name="Connecteur droit 112" hidden="1">
          <a:extLst>
            <a:ext uri="{FF2B5EF4-FFF2-40B4-BE49-F238E27FC236}">
              <a16:creationId xmlns:a16="http://schemas.microsoft.com/office/drawing/2014/main" id="{C28FDF07-14FC-4AB7-9041-1CF52DF0D365}"/>
            </a:ext>
          </a:extLst>
        </xdr:cNvPr>
        <xdr:cNvCxnSpPr/>
      </xdr:nvCxnSpPr>
      <xdr:spPr>
        <a:xfrm>
          <a:off x="14329542" y="2321144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3942</xdr:colOff>
      <xdr:row>11</xdr:row>
      <xdr:rowOff>180974</xdr:rowOff>
    </xdr:from>
    <xdr:to>
      <xdr:col>20</xdr:col>
      <xdr:colOff>6570</xdr:colOff>
      <xdr:row>13</xdr:row>
      <xdr:rowOff>0</xdr:rowOff>
    </xdr:to>
    <xdr:cxnSp macro="">
      <xdr:nvCxnSpPr>
        <xdr:cNvPr id="116" name="Connecteur droit 115" hidden="1">
          <a:extLst>
            <a:ext uri="{FF2B5EF4-FFF2-40B4-BE49-F238E27FC236}">
              <a16:creationId xmlns:a16="http://schemas.microsoft.com/office/drawing/2014/main" id="{76DE66A7-F036-4BB7-ABDF-0953135335CE}"/>
            </a:ext>
          </a:extLst>
        </xdr:cNvPr>
        <xdr:cNvCxnSpPr/>
      </xdr:nvCxnSpPr>
      <xdr:spPr>
        <a:xfrm>
          <a:off x="15099425" y="2322457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755431</xdr:colOff>
      <xdr:row>13</xdr:row>
      <xdr:rowOff>78498</xdr:rowOff>
    </xdr:from>
    <xdr:to>
      <xdr:col>13</xdr:col>
      <xdr:colOff>758059</xdr:colOff>
      <xdr:row>14</xdr:row>
      <xdr:rowOff>134007</xdr:rowOff>
    </xdr:to>
    <xdr:cxnSp macro="">
      <xdr:nvCxnSpPr>
        <xdr:cNvPr id="117" name="Connecteur droit 116" hidden="1">
          <a:extLst>
            <a:ext uri="{FF2B5EF4-FFF2-40B4-BE49-F238E27FC236}">
              <a16:creationId xmlns:a16="http://schemas.microsoft.com/office/drawing/2014/main" id="{C15E5F8F-12A4-40BA-BA0F-2E7A9A783AEA}"/>
            </a:ext>
          </a:extLst>
        </xdr:cNvPr>
        <xdr:cNvCxnSpPr/>
      </xdr:nvCxnSpPr>
      <xdr:spPr>
        <a:xfrm>
          <a:off x="11554810" y="2646964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750175</xdr:colOff>
      <xdr:row>13</xdr:row>
      <xdr:rowOff>152070</xdr:rowOff>
    </xdr:from>
    <xdr:to>
      <xdr:col>11</xdr:col>
      <xdr:colOff>752803</xdr:colOff>
      <xdr:row>15</xdr:row>
      <xdr:rowOff>17079</xdr:rowOff>
    </xdr:to>
    <xdr:cxnSp macro="">
      <xdr:nvCxnSpPr>
        <xdr:cNvPr id="122" name="Connecteur droit 121" hidden="1">
          <a:extLst>
            <a:ext uri="{FF2B5EF4-FFF2-40B4-BE49-F238E27FC236}">
              <a16:creationId xmlns:a16="http://schemas.microsoft.com/office/drawing/2014/main" id="{897E57AA-DB4D-41CD-9C79-C0746D5A6583}"/>
            </a:ext>
          </a:extLst>
        </xdr:cNvPr>
        <xdr:cNvCxnSpPr/>
      </xdr:nvCxnSpPr>
      <xdr:spPr>
        <a:xfrm>
          <a:off x="10498520" y="2720536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600403</xdr:colOff>
      <xdr:row>13</xdr:row>
      <xdr:rowOff>8867</xdr:rowOff>
    </xdr:from>
    <xdr:to>
      <xdr:col>15</xdr:col>
      <xdr:colOff>603031</xdr:colOff>
      <xdr:row>14</xdr:row>
      <xdr:rowOff>64376</xdr:rowOff>
    </xdr:to>
    <xdr:cxnSp macro="">
      <xdr:nvCxnSpPr>
        <xdr:cNvPr id="123" name="Connecteur droit 122" hidden="1">
          <a:extLst>
            <a:ext uri="{FF2B5EF4-FFF2-40B4-BE49-F238E27FC236}">
              <a16:creationId xmlns:a16="http://schemas.microsoft.com/office/drawing/2014/main" id="{E76C29B1-8BE4-4808-80B6-4A35B19EB0C7}"/>
            </a:ext>
          </a:extLst>
        </xdr:cNvPr>
        <xdr:cNvCxnSpPr/>
      </xdr:nvCxnSpPr>
      <xdr:spPr>
        <a:xfrm>
          <a:off x="12431110" y="2577333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214148</xdr:colOff>
      <xdr:row>12</xdr:row>
      <xdr:rowOff>154698</xdr:rowOff>
    </xdr:from>
    <xdr:to>
      <xdr:col>18</xdr:col>
      <xdr:colOff>0</xdr:colOff>
      <xdr:row>13</xdr:row>
      <xdr:rowOff>164224</xdr:rowOff>
    </xdr:to>
    <xdr:cxnSp macro="">
      <xdr:nvCxnSpPr>
        <xdr:cNvPr id="124" name="Connecteur droit 123" hidden="1">
          <a:extLst>
            <a:ext uri="{FF2B5EF4-FFF2-40B4-BE49-F238E27FC236}">
              <a16:creationId xmlns:a16="http://schemas.microsoft.com/office/drawing/2014/main" id="{37932FE8-2E85-4DB0-8464-6011B43C32FA}"/>
            </a:ext>
          </a:extLst>
        </xdr:cNvPr>
        <xdr:cNvCxnSpPr/>
      </xdr:nvCxnSpPr>
      <xdr:spPr>
        <a:xfrm>
          <a:off x="13568855" y="2486681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11824</xdr:colOff>
      <xdr:row>14</xdr:row>
      <xdr:rowOff>31201</xdr:rowOff>
    </xdr:from>
    <xdr:to>
      <xdr:col>11</xdr:col>
      <xdr:colOff>14452</xdr:colOff>
      <xdr:row>15</xdr:row>
      <xdr:rowOff>86710</xdr:rowOff>
    </xdr:to>
    <xdr:cxnSp macro="">
      <xdr:nvCxnSpPr>
        <xdr:cNvPr id="130" name="Connecteur droit 129" hidden="1">
          <a:extLst>
            <a:ext uri="{FF2B5EF4-FFF2-40B4-BE49-F238E27FC236}">
              <a16:creationId xmlns:a16="http://schemas.microsoft.com/office/drawing/2014/main" id="{42A25DB5-64C1-4B9F-ABF6-5E3D8521782F}"/>
            </a:ext>
          </a:extLst>
        </xdr:cNvPr>
        <xdr:cNvCxnSpPr/>
      </xdr:nvCxnSpPr>
      <xdr:spPr>
        <a:xfrm>
          <a:off x="9760169" y="2790167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12</xdr:row>
      <xdr:rowOff>98205</xdr:rowOff>
    </xdr:from>
    <xdr:to>
      <xdr:col>19</xdr:col>
      <xdr:colOff>2628</xdr:colOff>
      <xdr:row>13</xdr:row>
      <xdr:rowOff>107731</xdr:rowOff>
    </xdr:to>
    <xdr:cxnSp macro="">
      <xdr:nvCxnSpPr>
        <xdr:cNvPr id="131" name="Connecteur droit 130" hidden="1">
          <a:extLst>
            <a:ext uri="{FF2B5EF4-FFF2-40B4-BE49-F238E27FC236}">
              <a16:creationId xmlns:a16="http://schemas.microsoft.com/office/drawing/2014/main" id="{696CAB93-6510-4DEA-B8F6-AC9D70E160EA}"/>
            </a:ext>
          </a:extLst>
        </xdr:cNvPr>
        <xdr:cNvCxnSpPr/>
      </xdr:nvCxnSpPr>
      <xdr:spPr>
        <a:xfrm>
          <a:off x="14333483" y="2430188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15</xdr:row>
      <xdr:rowOff>78498</xdr:rowOff>
    </xdr:from>
    <xdr:to>
      <xdr:col>10</xdr:col>
      <xdr:colOff>2628</xdr:colOff>
      <xdr:row>16</xdr:row>
      <xdr:rowOff>134007</xdr:rowOff>
    </xdr:to>
    <xdr:cxnSp macro="">
      <xdr:nvCxnSpPr>
        <xdr:cNvPr id="132" name="Connecteur droit 131" hidden="1">
          <a:extLst>
            <a:ext uri="{FF2B5EF4-FFF2-40B4-BE49-F238E27FC236}">
              <a16:creationId xmlns:a16="http://schemas.microsoft.com/office/drawing/2014/main" id="{915DC3A2-B428-44D8-928D-B9C054B0011E}"/>
            </a:ext>
          </a:extLst>
        </xdr:cNvPr>
        <xdr:cNvCxnSpPr/>
      </xdr:nvCxnSpPr>
      <xdr:spPr>
        <a:xfrm>
          <a:off x="8986345" y="2837464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756745</xdr:colOff>
      <xdr:row>12</xdr:row>
      <xdr:rowOff>66674</xdr:rowOff>
    </xdr:from>
    <xdr:to>
      <xdr:col>19</xdr:col>
      <xdr:colOff>759373</xdr:colOff>
      <xdr:row>13</xdr:row>
      <xdr:rowOff>76200</xdr:rowOff>
    </xdr:to>
    <xdr:cxnSp macro="">
      <xdr:nvCxnSpPr>
        <xdr:cNvPr id="133" name="Connecteur droit 132" hidden="1">
          <a:extLst>
            <a:ext uri="{FF2B5EF4-FFF2-40B4-BE49-F238E27FC236}">
              <a16:creationId xmlns:a16="http://schemas.microsoft.com/office/drawing/2014/main" id="{DCEED33A-1585-473D-94C6-7A15E8BF0121}"/>
            </a:ext>
          </a:extLst>
        </xdr:cNvPr>
        <xdr:cNvCxnSpPr/>
      </xdr:nvCxnSpPr>
      <xdr:spPr>
        <a:xfrm>
          <a:off x="15090228" y="2398657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362607</xdr:colOff>
      <xdr:row>4</xdr:row>
      <xdr:rowOff>164224</xdr:rowOff>
    </xdr:from>
    <xdr:to>
      <xdr:col>10</xdr:col>
      <xdr:colOff>183931</xdr:colOff>
      <xdr:row>6</xdr:row>
      <xdr:rowOff>112987</xdr:rowOff>
    </xdr:to>
    <xdr:cxnSp macro="">
      <xdr:nvCxnSpPr>
        <xdr:cNvPr id="135" name="Connecteur droit avec flèche 134">
          <a:extLst>
            <a:ext uri="{FF2B5EF4-FFF2-40B4-BE49-F238E27FC236}">
              <a16:creationId xmlns:a16="http://schemas.microsoft.com/office/drawing/2014/main" id="{41D886BD-D4C9-4AF4-8CF4-E3A98F3FA81A}"/>
            </a:ext>
          </a:extLst>
        </xdr:cNvPr>
        <xdr:cNvCxnSpPr/>
      </xdr:nvCxnSpPr>
      <xdr:spPr>
        <a:xfrm flipH="1">
          <a:off x="8586952" y="972207"/>
          <a:ext cx="583324" cy="329763"/>
        </a:xfrm>
        <a:prstGeom prst="straightConnector1">
          <a:avLst/>
        </a:prstGeom>
        <a:ln>
          <a:tailEnd type="triangle"/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13138</xdr:colOff>
      <xdr:row>5</xdr:row>
      <xdr:rowOff>118241</xdr:rowOff>
    </xdr:from>
    <xdr:to>
      <xdr:col>20</xdr:col>
      <xdr:colOff>541939</xdr:colOff>
      <xdr:row>6</xdr:row>
      <xdr:rowOff>101163</xdr:rowOff>
    </xdr:to>
    <xdr:cxnSp macro="">
      <xdr:nvCxnSpPr>
        <xdr:cNvPr id="136" name="Connecteur droit avec flèche 135" hidden="1">
          <a:extLst>
            <a:ext uri="{FF2B5EF4-FFF2-40B4-BE49-F238E27FC236}">
              <a16:creationId xmlns:a16="http://schemas.microsoft.com/office/drawing/2014/main" id="{CF392733-C8E1-4986-AC4D-F57FF785C501}"/>
            </a:ext>
          </a:extLst>
        </xdr:cNvPr>
        <xdr:cNvCxnSpPr/>
      </xdr:nvCxnSpPr>
      <xdr:spPr>
        <a:xfrm>
          <a:off x="15108621" y="1116724"/>
          <a:ext cx="528801" cy="173422"/>
        </a:xfrm>
        <a:prstGeom prst="straightConnector1">
          <a:avLst/>
        </a:prstGeom>
        <a:ln>
          <a:tailEnd type="triangle"/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20</xdr:col>
      <xdr:colOff>341586</xdr:colOff>
      <xdr:row>14</xdr:row>
      <xdr:rowOff>131379</xdr:rowOff>
    </xdr:from>
    <xdr:to>
      <xdr:col>21</xdr:col>
      <xdr:colOff>13138</xdr:colOff>
      <xdr:row>14</xdr:row>
      <xdr:rowOff>170793</xdr:rowOff>
    </xdr:to>
    <xdr:cxnSp macro="">
      <xdr:nvCxnSpPr>
        <xdr:cNvPr id="137" name="Connecteur droit avec flèche 136" hidden="1">
          <a:extLst>
            <a:ext uri="{FF2B5EF4-FFF2-40B4-BE49-F238E27FC236}">
              <a16:creationId xmlns:a16="http://schemas.microsoft.com/office/drawing/2014/main" id="{4CBF821E-7588-4D0D-9C4A-4F1C5F248109}"/>
            </a:ext>
          </a:extLst>
        </xdr:cNvPr>
        <xdr:cNvCxnSpPr/>
      </xdr:nvCxnSpPr>
      <xdr:spPr>
        <a:xfrm flipV="1">
          <a:off x="15437069" y="2890345"/>
          <a:ext cx="433552" cy="39414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145830</xdr:colOff>
      <xdr:row>13</xdr:row>
      <xdr:rowOff>34158</xdr:rowOff>
    </xdr:from>
    <xdr:to>
      <xdr:col>21</xdr:col>
      <xdr:colOff>151086</xdr:colOff>
      <xdr:row>14</xdr:row>
      <xdr:rowOff>91965</xdr:rowOff>
    </xdr:to>
    <xdr:cxnSp macro="">
      <xdr:nvCxnSpPr>
        <xdr:cNvPr id="138" name="Connecteur droit avec flèche 137" hidden="1">
          <a:extLst>
            <a:ext uri="{FF2B5EF4-FFF2-40B4-BE49-F238E27FC236}">
              <a16:creationId xmlns:a16="http://schemas.microsoft.com/office/drawing/2014/main" id="{8A195883-134B-4A1E-A4EE-C4D988577098}"/>
            </a:ext>
          </a:extLst>
        </xdr:cNvPr>
        <xdr:cNvCxnSpPr/>
      </xdr:nvCxnSpPr>
      <xdr:spPr>
        <a:xfrm flipH="1" flipV="1">
          <a:off x="16003313" y="2602624"/>
          <a:ext cx="5256" cy="248307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403335</xdr:colOff>
      <xdr:row>15</xdr:row>
      <xdr:rowOff>61749</xdr:rowOff>
    </xdr:from>
    <xdr:to>
      <xdr:col>20</xdr:col>
      <xdr:colOff>15766</xdr:colOff>
      <xdr:row>16</xdr:row>
      <xdr:rowOff>42042</xdr:rowOff>
    </xdr:to>
    <xdr:sp macro="" textlink="">
      <xdr:nvSpPr>
        <xdr:cNvPr id="142" name="Rectangle 141" hidden="1">
          <a:extLst>
            <a:ext uri="{FF2B5EF4-FFF2-40B4-BE49-F238E27FC236}">
              <a16:creationId xmlns:a16="http://schemas.microsoft.com/office/drawing/2014/main" id="{9E75B0C0-62A7-4D46-B3CE-E4B42A04566A}"/>
            </a:ext>
          </a:extLst>
        </xdr:cNvPr>
        <xdr:cNvSpPr/>
      </xdr:nvSpPr>
      <xdr:spPr>
        <a:xfrm>
          <a:off x="15498818" y="2630215"/>
          <a:ext cx="374431" cy="170793"/>
        </a:xfrm>
        <a:prstGeom prst="rect">
          <a:avLst/>
        </a:prstGeom>
        <a:solidFill>
          <a:sysClr val="window" lastClr="FFFFFF"/>
        </a:solidFill>
        <a:ln w="25400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396767</xdr:colOff>
      <xdr:row>15</xdr:row>
      <xdr:rowOff>61748</xdr:rowOff>
    </xdr:from>
    <xdr:to>
      <xdr:col>20</xdr:col>
      <xdr:colOff>9198</xdr:colOff>
      <xdr:row>16</xdr:row>
      <xdr:rowOff>42041</xdr:rowOff>
    </xdr:to>
    <xdr:sp macro="" textlink="">
      <xdr:nvSpPr>
        <xdr:cNvPr id="143" name="Rectangle 142" hidden="1">
          <a:extLst>
            <a:ext uri="{FF2B5EF4-FFF2-40B4-BE49-F238E27FC236}">
              <a16:creationId xmlns:a16="http://schemas.microsoft.com/office/drawing/2014/main" id="{C3791CA0-2C99-4580-9013-74F02503F7D4}"/>
            </a:ext>
          </a:extLst>
        </xdr:cNvPr>
        <xdr:cNvSpPr/>
      </xdr:nvSpPr>
      <xdr:spPr>
        <a:xfrm>
          <a:off x="15492250" y="2630214"/>
          <a:ext cx="374431" cy="170793"/>
        </a:xfrm>
        <a:prstGeom prst="rect">
          <a:avLst/>
        </a:prstGeom>
        <a:solidFill>
          <a:sysClr val="window" lastClr="FFFFFF"/>
        </a:solidFill>
        <a:ln w="25400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383627</xdr:colOff>
      <xdr:row>14</xdr:row>
      <xdr:rowOff>158969</xdr:rowOff>
    </xdr:from>
    <xdr:to>
      <xdr:col>21</xdr:col>
      <xdr:colOff>7882</xdr:colOff>
      <xdr:row>14</xdr:row>
      <xdr:rowOff>160283</xdr:rowOff>
    </xdr:to>
    <xdr:cxnSp macro="">
      <xdr:nvCxnSpPr>
        <xdr:cNvPr id="146" name="Connecteur droit avec flèche 145">
          <a:extLst>
            <a:ext uri="{FF2B5EF4-FFF2-40B4-BE49-F238E27FC236}">
              <a16:creationId xmlns:a16="http://schemas.microsoft.com/office/drawing/2014/main" id="{904A647B-1253-425A-92BA-37F520E1B8F2}"/>
            </a:ext>
          </a:extLst>
        </xdr:cNvPr>
        <xdr:cNvCxnSpPr/>
      </xdr:nvCxnSpPr>
      <xdr:spPr>
        <a:xfrm flipV="1">
          <a:off x="15479110" y="2917935"/>
          <a:ext cx="386255" cy="1314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290348</xdr:colOff>
      <xdr:row>13</xdr:row>
      <xdr:rowOff>53866</xdr:rowOff>
    </xdr:from>
    <xdr:to>
      <xdr:col>20</xdr:col>
      <xdr:colOff>292976</xdr:colOff>
      <xdr:row>14</xdr:row>
      <xdr:rowOff>63063</xdr:rowOff>
    </xdr:to>
    <xdr:cxnSp macro="">
      <xdr:nvCxnSpPr>
        <xdr:cNvPr id="150" name="Connecteur droit avec flèche 149">
          <a:extLst>
            <a:ext uri="{FF2B5EF4-FFF2-40B4-BE49-F238E27FC236}">
              <a16:creationId xmlns:a16="http://schemas.microsoft.com/office/drawing/2014/main" id="{617743CE-D691-4A40-ABB0-08C168069401}"/>
            </a:ext>
          </a:extLst>
        </xdr:cNvPr>
        <xdr:cNvCxnSpPr/>
      </xdr:nvCxnSpPr>
      <xdr:spPr>
        <a:xfrm flipH="1" flipV="1">
          <a:off x="15385831" y="2622332"/>
          <a:ext cx="2628" cy="199697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529030</xdr:colOff>
      <xdr:row>13</xdr:row>
      <xdr:rowOff>187251</xdr:rowOff>
    </xdr:from>
    <xdr:to>
      <xdr:col>21</xdr:col>
      <xdr:colOff>243051</xdr:colOff>
      <xdr:row>15</xdr:row>
      <xdr:rowOff>32844</xdr:rowOff>
    </xdr:to>
    <xdr:cxnSp macro="">
      <xdr:nvCxnSpPr>
        <xdr:cNvPr id="151" name="Connecteur droit avec flèche 150" hidden="1">
          <a:extLst>
            <a:ext uri="{FF2B5EF4-FFF2-40B4-BE49-F238E27FC236}">
              <a16:creationId xmlns:a16="http://schemas.microsoft.com/office/drawing/2014/main" id="{F1E784A1-C88F-4D7F-BCFF-4E3695B7B62D}"/>
            </a:ext>
          </a:extLst>
        </xdr:cNvPr>
        <xdr:cNvCxnSpPr/>
      </xdr:nvCxnSpPr>
      <xdr:spPr>
        <a:xfrm flipH="1" flipV="1">
          <a:off x="15624513" y="2755717"/>
          <a:ext cx="476021" cy="226593"/>
        </a:xfrm>
        <a:prstGeom prst="straightConnector1">
          <a:avLst/>
        </a:prstGeom>
        <a:ln>
          <a:tailEnd type="triangle"/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20</xdr:col>
      <xdr:colOff>589464</xdr:colOff>
      <xdr:row>13</xdr:row>
      <xdr:rowOff>149151</xdr:rowOff>
    </xdr:from>
    <xdr:to>
      <xdr:col>21</xdr:col>
      <xdr:colOff>223345</xdr:colOff>
      <xdr:row>15</xdr:row>
      <xdr:rowOff>39413</xdr:rowOff>
    </xdr:to>
    <xdr:cxnSp macro="">
      <xdr:nvCxnSpPr>
        <xdr:cNvPr id="152" name="Connecteur droit avec flèche 151">
          <a:extLst>
            <a:ext uri="{FF2B5EF4-FFF2-40B4-BE49-F238E27FC236}">
              <a16:creationId xmlns:a16="http://schemas.microsoft.com/office/drawing/2014/main" id="{AD2C8C7D-7245-4210-B9DF-463C3DC61251}"/>
            </a:ext>
          </a:extLst>
        </xdr:cNvPr>
        <xdr:cNvCxnSpPr/>
      </xdr:nvCxnSpPr>
      <xdr:spPr>
        <a:xfrm flipH="1" flipV="1">
          <a:off x="15684947" y="2717617"/>
          <a:ext cx="395881" cy="271262"/>
        </a:xfrm>
        <a:prstGeom prst="straightConnector1">
          <a:avLst/>
        </a:prstGeom>
        <a:ln>
          <a:tailEnd type="triangle"/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289036</xdr:colOff>
      <xdr:row>5</xdr:row>
      <xdr:rowOff>72258</xdr:rowOff>
    </xdr:from>
    <xdr:to>
      <xdr:col>11</xdr:col>
      <xdr:colOff>676604</xdr:colOff>
      <xdr:row>7</xdr:row>
      <xdr:rowOff>6569</xdr:rowOff>
    </xdr:to>
    <xdr:sp macro="" textlink="">
      <xdr:nvSpPr>
        <xdr:cNvPr id="153" name="Signe de multiplication 152" hidden="1">
          <a:extLst>
            <a:ext uri="{FF2B5EF4-FFF2-40B4-BE49-F238E27FC236}">
              <a16:creationId xmlns:a16="http://schemas.microsoft.com/office/drawing/2014/main" id="{E72CF8BF-BCAC-46B0-B822-A3723F800B00}"/>
            </a:ext>
          </a:extLst>
        </xdr:cNvPr>
        <xdr:cNvSpPr/>
      </xdr:nvSpPr>
      <xdr:spPr>
        <a:xfrm>
          <a:off x="12119743" y="2404241"/>
          <a:ext cx="387568" cy="361294"/>
        </a:xfrm>
        <a:prstGeom prst="mathMultiply">
          <a:avLst>
            <a:gd name="adj1" fmla="val 1187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600403</xdr:colOff>
      <xdr:row>6</xdr:row>
      <xdr:rowOff>8867</xdr:rowOff>
    </xdr:from>
    <xdr:to>
      <xdr:col>11</xdr:col>
      <xdr:colOff>603031</xdr:colOff>
      <xdr:row>7</xdr:row>
      <xdr:rowOff>64376</xdr:rowOff>
    </xdr:to>
    <xdr:cxnSp macro="">
      <xdr:nvCxnSpPr>
        <xdr:cNvPr id="154" name="Connecteur droit 153" hidden="1">
          <a:extLst>
            <a:ext uri="{FF2B5EF4-FFF2-40B4-BE49-F238E27FC236}">
              <a16:creationId xmlns:a16="http://schemas.microsoft.com/office/drawing/2014/main" id="{39C0EA82-E4FB-4B8F-A74E-6AC048A4987D}"/>
            </a:ext>
          </a:extLst>
        </xdr:cNvPr>
        <xdr:cNvCxnSpPr/>
      </xdr:nvCxnSpPr>
      <xdr:spPr>
        <a:xfrm>
          <a:off x="12431110" y="2577333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407276</xdr:colOff>
      <xdr:row>8</xdr:row>
      <xdr:rowOff>0</xdr:rowOff>
    </xdr:from>
    <xdr:to>
      <xdr:col>9</xdr:col>
      <xdr:colOff>17736</xdr:colOff>
      <xdr:row>8</xdr:row>
      <xdr:rowOff>141890</xdr:rowOff>
    </xdr:to>
    <xdr:cxnSp macro="">
      <xdr:nvCxnSpPr>
        <xdr:cNvPr id="155" name="Connecteur droit avec flèche 154">
          <a:extLst>
            <a:ext uri="{FF2B5EF4-FFF2-40B4-BE49-F238E27FC236}">
              <a16:creationId xmlns:a16="http://schemas.microsoft.com/office/drawing/2014/main" id="{487135C9-0446-4D3E-9C52-1F7D614EB1F8}"/>
            </a:ext>
          </a:extLst>
        </xdr:cNvPr>
        <xdr:cNvCxnSpPr/>
      </xdr:nvCxnSpPr>
      <xdr:spPr>
        <a:xfrm>
          <a:off x="7876190" y="1569983"/>
          <a:ext cx="247649" cy="141890"/>
        </a:xfrm>
        <a:prstGeom prst="straightConnector1">
          <a:avLst/>
        </a:prstGeom>
        <a:ln>
          <a:tailEnd type="triangle"/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21</xdr:col>
      <xdr:colOff>52551</xdr:colOff>
      <xdr:row>8</xdr:row>
      <xdr:rowOff>7882</xdr:rowOff>
    </xdr:from>
    <xdr:to>
      <xdr:col>21</xdr:col>
      <xdr:colOff>218090</xdr:colOff>
      <xdr:row>8</xdr:row>
      <xdr:rowOff>177362</xdr:rowOff>
    </xdr:to>
    <xdr:cxnSp macro="">
      <xdr:nvCxnSpPr>
        <xdr:cNvPr id="158" name="Connecteur droit avec flèche 157">
          <a:extLst>
            <a:ext uri="{FF2B5EF4-FFF2-40B4-BE49-F238E27FC236}">
              <a16:creationId xmlns:a16="http://schemas.microsoft.com/office/drawing/2014/main" id="{2F74207D-967E-4ACB-8436-BE9F8CB8F8EA}"/>
            </a:ext>
          </a:extLst>
        </xdr:cNvPr>
        <xdr:cNvCxnSpPr/>
      </xdr:nvCxnSpPr>
      <xdr:spPr>
        <a:xfrm flipH="1">
          <a:off x="15910034" y="1577865"/>
          <a:ext cx="165539" cy="1694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289036</xdr:colOff>
      <xdr:row>8</xdr:row>
      <xdr:rowOff>72258</xdr:rowOff>
    </xdr:from>
    <xdr:to>
      <xdr:col>10</xdr:col>
      <xdr:colOff>676604</xdr:colOff>
      <xdr:row>10</xdr:row>
      <xdr:rowOff>6569</xdr:rowOff>
    </xdr:to>
    <xdr:sp macro="" textlink="">
      <xdr:nvSpPr>
        <xdr:cNvPr id="160" name="Signe de multiplication 159" hidden="1">
          <a:extLst>
            <a:ext uri="{FF2B5EF4-FFF2-40B4-BE49-F238E27FC236}">
              <a16:creationId xmlns:a16="http://schemas.microsoft.com/office/drawing/2014/main" id="{387A6F10-923E-4897-9CC4-C8F1620DA266}"/>
            </a:ext>
          </a:extLst>
        </xdr:cNvPr>
        <xdr:cNvSpPr/>
      </xdr:nvSpPr>
      <xdr:spPr>
        <a:xfrm>
          <a:off x="10037381" y="1070741"/>
          <a:ext cx="387568" cy="315311"/>
        </a:xfrm>
        <a:prstGeom prst="mathMultiply">
          <a:avLst>
            <a:gd name="adj1" fmla="val 1187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600403</xdr:colOff>
      <xdr:row>9</xdr:row>
      <xdr:rowOff>8867</xdr:rowOff>
    </xdr:from>
    <xdr:to>
      <xdr:col>10</xdr:col>
      <xdr:colOff>603031</xdr:colOff>
      <xdr:row>10</xdr:row>
      <xdr:rowOff>64376</xdr:rowOff>
    </xdr:to>
    <xdr:cxnSp macro="">
      <xdr:nvCxnSpPr>
        <xdr:cNvPr id="162" name="Connecteur droit 161" hidden="1">
          <a:extLst>
            <a:ext uri="{FF2B5EF4-FFF2-40B4-BE49-F238E27FC236}">
              <a16:creationId xmlns:a16="http://schemas.microsoft.com/office/drawing/2014/main" id="{ED985D6C-02FF-48E0-88F3-7F7936ED5B91}"/>
            </a:ext>
          </a:extLst>
        </xdr:cNvPr>
        <xdr:cNvCxnSpPr/>
      </xdr:nvCxnSpPr>
      <xdr:spPr>
        <a:xfrm>
          <a:off x="10348748" y="1197850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289036</xdr:colOff>
      <xdr:row>8</xdr:row>
      <xdr:rowOff>72258</xdr:rowOff>
    </xdr:from>
    <xdr:to>
      <xdr:col>19</xdr:col>
      <xdr:colOff>676604</xdr:colOff>
      <xdr:row>10</xdr:row>
      <xdr:rowOff>6569</xdr:rowOff>
    </xdr:to>
    <xdr:sp macro="" textlink="">
      <xdr:nvSpPr>
        <xdr:cNvPr id="163" name="Signe de multiplication 162" hidden="1">
          <a:extLst>
            <a:ext uri="{FF2B5EF4-FFF2-40B4-BE49-F238E27FC236}">
              <a16:creationId xmlns:a16="http://schemas.microsoft.com/office/drawing/2014/main" id="{F3B945B1-2FDA-4A9B-B8BA-2872FFC9AC2A}"/>
            </a:ext>
          </a:extLst>
        </xdr:cNvPr>
        <xdr:cNvSpPr/>
      </xdr:nvSpPr>
      <xdr:spPr>
        <a:xfrm>
          <a:off x="9275381" y="1642241"/>
          <a:ext cx="387568" cy="315311"/>
        </a:xfrm>
        <a:prstGeom prst="mathMultiply">
          <a:avLst>
            <a:gd name="adj1" fmla="val 1187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600403</xdr:colOff>
      <xdr:row>9</xdr:row>
      <xdr:rowOff>8867</xdr:rowOff>
    </xdr:from>
    <xdr:to>
      <xdr:col>19</xdr:col>
      <xdr:colOff>603031</xdr:colOff>
      <xdr:row>10</xdr:row>
      <xdr:rowOff>64376</xdr:rowOff>
    </xdr:to>
    <xdr:cxnSp macro="">
      <xdr:nvCxnSpPr>
        <xdr:cNvPr id="164" name="Connecteur droit 163" hidden="1">
          <a:extLst>
            <a:ext uri="{FF2B5EF4-FFF2-40B4-BE49-F238E27FC236}">
              <a16:creationId xmlns:a16="http://schemas.microsoft.com/office/drawing/2014/main" id="{1D1EBDEE-730E-4E7C-B62A-007472C73A7C}"/>
            </a:ext>
          </a:extLst>
        </xdr:cNvPr>
        <xdr:cNvCxnSpPr/>
      </xdr:nvCxnSpPr>
      <xdr:spPr>
        <a:xfrm>
          <a:off x="9586748" y="1769350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670034</xdr:colOff>
      <xdr:row>10</xdr:row>
      <xdr:rowOff>85397</xdr:rowOff>
    </xdr:from>
    <xdr:to>
      <xdr:col>11</xdr:col>
      <xdr:colOff>677917</xdr:colOff>
      <xdr:row>12</xdr:row>
      <xdr:rowOff>204953</xdr:rowOff>
    </xdr:to>
    <xdr:cxnSp macro="">
      <xdr:nvCxnSpPr>
        <xdr:cNvPr id="144" name="Connecteur droit 143" hidden="1">
          <a:extLst>
            <a:ext uri="{FF2B5EF4-FFF2-40B4-BE49-F238E27FC236}">
              <a16:creationId xmlns:a16="http://schemas.microsoft.com/office/drawing/2014/main" id="{9E6982EB-3F76-405C-9AF7-5D3C52D5B114}"/>
            </a:ext>
          </a:extLst>
        </xdr:cNvPr>
        <xdr:cNvCxnSpPr/>
      </xdr:nvCxnSpPr>
      <xdr:spPr>
        <a:xfrm>
          <a:off x="10260724" y="2036380"/>
          <a:ext cx="7883" cy="500556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106417</xdr:colOff>
      <xdr:row>10</xdr:row>
      <xdr:rowOff>126124</xdr:rowOff>
    </xdr:from>
    <xdr:to>
      <xdr:col>18</xdr:col>
      <xdr:colOff>114300</xdr:colOff>
      <xdr:row>13</xdr:row>
      <xdr:rowOff>9197</xdr:rowOff>
    </xdr:to>
    <xdr:cxnSp macro="">
      <xdr:nvCxnSpPr>
        <xdr:cNvPr id="145" name="Connecteur droit 144" hidden="1">
          <a:extLst>
            <a:ext uri="{FF2B5EF4-FFF2-40B4-BE49-F238E27FC236}">
              <a16:creationId xmlns:a16="http://schemas.microsoft.com/office/drawing/2014/main" id="{B0E39263-BD9E-4108-94C5-8E65A9F50AFF}"/>
            </a:ext>
          </a:extLst>
        </xdr:cNvPr>
        <xdr:cNvCxnSpPr/>
      </xdr:nvCxnSpPr>
      <xdr:spPr>
        <a:xfrm>
          <a:off x="13520245" y="2077107"/>
          <a:ext cx="7883" cy="500556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151086</xdr:colOff>
      <xdr:row>11</xdr:row>
      <xdr:rowOff>131379</xdr:rowOff>
    </xdr:from>
    <xdr:to>
      <xdr:col>19</xdr:col>
      <xdr:colOff>302172</xdr:colOff>
      <xdr:row>16</xdr:row>
      <xdr:rowOff>183931</xdr:rowOff>
    </xdr:to>
    <xdr:cxnSp macro="">
      <xdr:nvCxnSpPr>
        <xdr:cNvPr id="165" name="Connecteur droit avec flèche 164" hidden="1">
          <a:extLst>
            <a:ext uri="{FF2B5EF4-FFF2-40B4-BE49-F238E27FC236}">
              <a16:creationId xmlns:a16="http://schemas.microsoft.com/office/drawing/2014/main" id="{CCCE9F35-FC75-4F74-B136-E9FD7F24CD79}"/>
            </a:ext>
          </a:extLst>
        </xdr:cNvPr>
        <xdr:cNvCxnSpPr/>
      </xdr:nvCxnSpPr>
      <xdr:spPr>
        <a:xfrm flipH="1" flipV="1">
          <a:off x="13564914" y="2272862"/>
          <a:ext cx="913086" cy="1051035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17</xdr:col>
      <xdr:colOff>848458</xdr:colOff>
      <xdr:row>16</xdr:row>
      <xdr:rowOff>52021</xdr:rowOff>
    </xdr:from>
    <xdr:to>
      <xdr:col>19</xdr:col>
      <xdr:colOff>455735</xdr:colOff>
      <xdr:row>19</xdr:row>
      <xdr:rowOff>147271</xdr:rowOff>
    </xdr:to>
    <xdr:cxnSp macro="">
      <xdr:nvCxnSpPr>
        <xdr:cNvPr id="166" name="Connecteur droit 165" hidden="1">
          <a:extLst>
            <a:ext uri="{FF2B5EF4-FFF2-40B4-BE49-F238E27FC236}">
              <a16:creationId xmlns:a16="http://schemas.microsoft.com/office/drawing/2014/main" id="{A19FA46B-1B89-4CC8-9970-A46497CEB7D7}"/>
            </a:ext>
          </a:extLst>
        </xdr:cNvPr>
        <xdr:cNvCxnSpPr/>
      </xdr:nvCxnSpPr>
      <xdr:spPr>
        <a:xfrm>
          <a:off x="13197785" y="2810987"/>
          <a:ext cx="671778" cy="666750"/>
        </a:xfrm>
        <a:prstGeom prst="line">
          <a:avLst/>
        </a:prstGeom>
        <a:ln w="762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45981</xdr:colOff>
      <xdr:row>10</xdr:row>
      <xdr:rowOff>85396</xdr:rowOff>
    </xdr:from>
    <xdr:to>
      <xdr:col>12</xdr:col>
      <xdr:colOff>45982</xdr:colOff>
      <xdr:row>12</xdr:row>
      <xdr:rowOff>210207</xdr:rowOff>
    </xdr:to>
    <xdr:cxnSp macro="">
      <xdr:nvCxnSpPr>
        <xdr:cNvPr id="167" name="Connecteur droit avec flèche 166" hidden="1">
          <a:extLst>
            <a:ext uri="{FF2B5EF4-FFF2-40B4-BE49-F238E27FC236}">
              <a16:creationId xmlns:a16="http://schemas.microsoft.com/office/drawing/2014/main" id="{7FC47423-6070-47B5-B532-21764797C219}"/>
            </a:ext>
          </a:extLst>
        </xdr:cNvPr>
        <xdr:cNvCxnSpPr/>
      </xdr:nvCxnSpPr>
      <xdr:spPr>
        <a:xfrm flipV="1">
          <a:off x="10398671" y="2036379"/>
          <a:ext cx="1" cy="50581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257501</xdr:colOff>
      <xdr:row>10</xdr:row>
      <xdr:rowOff>112986</xdr:rowOff>
    </xdr:from>
    <xdr:to>
      <xdr:col>18</xdr:col>
      <xdr:colOff>257502</xdr:colOff>
      <xdr:row>13</xdr:row>
      <xdr:rowOff>1314</xdr:rowOff>
    </xdr:to>
    <xdr:cxnSp macro="">
      <xdr:nvCxnSpPr>
        <xdr:cNvPr id="168" name="Connecteur droit avec flèche 167" hidden="1">
          <a:extLst>
            <a:ext uri="{FF2B5EF4-FFF2-40B4-BE49-F238E27FC236}">
              <a16:creationId xmlns:a16="http://schemas.microsoft.com/office/drawing/2014/main" id="{DF1B839B-4F63-4A99-AF91-9FE9C96971C6}"/>
            </a:ext>
          </a:extLst>
        </xdr:cNvPr>
        <xdr:cNvCxnSpPr/>
      </xdr:nvCxnSpPr>
      <xdr:spPr>
        <a:xfrm flipV="1">
          <a:off x="13671329" y="2063969"/>
          <a:ext cx="1" cy="50581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420413</xdr:colOff>
      <xdr:row>11</xdr:row>
      <xdr:rowOff>85396</xdr:rowOff>
    </xdr:from>
    <xdr:to>
      <xdr:col>11</xdr:col>
      <xdr:colOff>656896</xdr:colOff>
      <xdr:row>16</xdr:row>
      <xdr:rowOff>0</xdr:rowOff>
    </xdr:to>
    <xdr:cxnSp macro="">
      <xdr:nvCxnSpPr>
        <xdr:cNvPr id="170" name="Connecteur droit avec flèche 169" hidden="1">
          <a:extLst>
            <a:ext uri="{FF2B5EF4-FFF2-40B4-BE49-F238E27FC236}">
              <a16:creationId xmlns:a16="http://schemas.microsoft.com/office/drawing/2014/main" id="{B7C8E787-2E0C-48F4-A5F2-ECE6331B34CB}"/>
            </a:ext>
          </a:extLst>
        </xdr:cNvPr>
        <xdr:cNvCxnSpPr/>
      </xdr:nvCxnSpPr>
      <xdr:spPr>
        <a:xfrm flipV="1">
          <a:off x="9249103" y="2226879"/>
          <a:ext cx="998483" cy="913087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19707</xdr:colOff>
      <xdr:row>7</xdr:row>
      <xdr:rowOff>53865</xdr:rowOff>
    </xdr:from>
    <xdr:to>
      <xdr:col>15</xdr:col>
      <xdr:colOff>21021</xdr:colOff>
      <xdr:row>14</xdr:row>
      <xdr:rowOff>98534</xdr:rowOff>
    </xdr:to>
    <xdr:cxnSp macro="">
      <xdr:nvCxnSpPr>
        <xdr:cNvPr id="169" name="Connecteur droit avec flèche 168" hidden="1">
          <a:extLst>
            <a:ext uri="{FF2B5EF4-FFF2-40B4-BE49-F238E27FC236}">
              <a16:creationId xmlns:a16="http://schemas.microsoft.com/office/drawing/2014/main" id="{5331AE6D-0FD0-4E10-9773-9323EC2024A3}"/>
            </a:ext>
          </a:extLst>
        </xdr:cNvPr>
        <xdr:cNvCxnSpPr/>
      </xdr:nvCxnSpPr>
      <xdr:spPr>
        <a:xfrm flipV="1">
          <a:off x="11692759" y="1433348"/>
          <a:ext cx="1314" cy="142415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317938</xdr:colOff>
      <xdr:row>7</xdr:row>
      <xdr:rowOff>55178</xdr:rowOff>
    </xdr:from>
    <xdr:to>
      <xdr:col>16</xdr:col>
      <xdr:colOff>321879</xdr:colOff>
      <xdr:row>14</xdr:row>
      <xdr:rowOff>39413</xdr:rowOff>
    </xdr:to>
    <xdr:cxnSp macro="">
      <xdr:nvCxnSpPr>
        <xdr:cNvPr id="171" name="Connecteur droit avec flèche 170" hidden="1">
          <a:extLst>
            <a:ext uri="{FF2B5EF4-FFF2-40B4-BE49-F238E27FC236}">
              <a16:creationId xmlns:a16="http://schemas.microsoft.com/office/drawing/2014/main" id="{50E24C3F-68C2-4BC7-997B-B56EC1BEAE5E}"/>
            </a:ext>
          </a:extLst>
        </xdr:cNvPr>
        <xdr:cNvCxnSpPr/>
      </xdr:nvCxnSpPr>
      <xdr:spPr>
        <a:xfrm flipH="1" flipV="1">
          <a:off x="12752990" y="1434661"/>
          <a:ext cx="3941" cy="1363718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29562</xdr:colOff>
      <xdr:row>5</xdr:row>
      <xdr:rowOff>173091</xdr:rowOff>
    </xdr:from>
    <xdr:to>
      <xdr:col>9</xdr:col>
      <xdr:colOff>33502</xdr:colOff>
      <xdr:row>13</xdr:row>
      <xdr:rowOff>105103</xdr:rowOff>
    </xdr:to>
    <xdr:cxnSp macro="">
      <xdr:nvCxnSpPr>
        <xdr:cNvPr id="172" name="Connecteur droit 171">
          <a:extLst>
            <a:ext uri="{FF2B5EF4-FFF2-40B4-BE49-F238E27FC236}">
              <a16:creationId xmlns:a16="http://schemas.microsoft.com/office/drawing/2014/main" id="{5ED3AF99-252F-4DFB-928C-7D5E1DCA0488}"/>
            </a:ext>
          </a:extLst>
        </xdr:cNvPr>
        <xdr:cNvCxnSpPr/>
      </xdr:nvCxnSpPr>
      <xdr:spPr>
        <a:xfrm>
          <a:off x="8163912" y="1173216"/>
          <a:ext cx="3940" cy="1503637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377715</xdr:colOff>
      <xdr:row>13</xdr:row>
      <xdr:rowOff>144516</xdr:rowOff>
    </xdr:from>
    <xdr:to>
      <xdr:col>10</xdr:col>
      <xdr:colOff>118241</xdr:colOff>
      <xdr:row>15</xdr:row>
      <xdr:rowOff>65688</xdr:rowOff>
    </xdr:to>
    <xdr:cxnSp macro="">
      <xdr:nvCxnSpPr>
        <xdr:cNvPr id="173" name="Connecteur droit avec flèche 172" hidden="1">
          <a:extLst>
            <a:ext uri="{FF2B5EF4-FFF2-40B4-BE49-F238E27FC236}">
              <a16:creationId xmlns:a16="http://schemas.microsoft.com/office/drawing/2014/main" id="{4C2E24F4-BD7E-4BF9-9BEF-036A8CED7FA5}"/>
            </a:ext>
          </a:extLst>
        </xdr:cNvPr>
        <xdr:cNvCxnSpPr/>
      </xdr:nvCxnSpPr>
      <xdr:spPr>
        <a:xfrm flipH="1" flipV="1">
          <a:off x="8483818" y="2712982"/>
          <a:ext cx="463113" cy="302172"/>
        </a:xfrm>
        <a:prstGeom prst="straightConnector1">
          <a:avLst/>
        </a:prstGeom>
        <a:ln>
          <a:tailEnd type="triangle"/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9</xdr:col>
      <xdr:colOff>591207</xdr:colOff>
      <xdr:row>13</xdr:row>
      <xdr:rowOff>45983</xdr:rowOff>
    </xdr:from>
    <xdr:to>
      <xdr:col>9</xdr:col>
      <xdr:colOff>593835</xdr:colOff>
      <xdr:row>14</xdr:row>
      <xdr:rowOff>55180</xdr:rowOff>
    </xdr:to>
    <xdr:cxnSp macro="">
      <xdr:nvCxnSpPr>
        <xdr:cNvPr id="174" name="Connecteur droit avec flèche 173" hidden="1">
          <a:extLst>
            <a:ext uri="{FF2B5EF4-FFF2-40B4-BE49-F238E27FC236}">
              <a16:creationId xmlns:a16="http://schemas.microsoft.com/office/drawing/2014/main" id="{D63AE51E-3F7D-49F1-AC70-4AC6B2AD9A91}"/>
            </a:ext>
          </a:extLst>
        </xdr:cNvPr>
        <xdr:cNvCxnSpPr/>
      </xdr:nvCxnSpPr>
      <xdr:spPr>
        <a:xfrm flipH="1" flipV="1">
          <a:off x="8697310" y="2614449"/>
          <a:ext cx="2628" cy="199697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93280</xdr:colOff>
      <xdr:row>14</xdr:row>
      <xdr:rowOff>105103</xdr:rowOff>
    </xdr:from>
    <xdr:to>
      <xdr:col>9</xdr:col>
      <xdr:colOff>479535</xdr:colOff>
      <xdr:row>14</xdr:row>
      <xdr:rowOff>106417</xdr:rowOff>
    </xdr:to>
    <xdr:cxnSp macro="">
      <xdr:nvCxnSpPr>
        <xdr:cNvPr id="175" name="Connecteur droit avec flèche 174" hidden="1">
          <a:extLst>
            <a:ext uri="{FF2B5EF4-FFF2-40B4-BE49-F238E27FC236}">
              <a16:creationId xmlns:a16="http://schemas.microsoft.com/office/drawing/2014/main" id="{06D2C653-7D7E-483E-9FB1-163983706D6E}"/>
            </a:ext>
          </a:extLst>
        </xdr:cNvPr>
        <xdr:cNvCxnSpPr/>
      </xdr:nvCxnSpPr>
      <xdr:spPr>
        <a:xfrm flipV="1">
          <a:off x="8199383" y="2864069"/>
          <a:ext cx="386255" cy="1314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662609</xdr:colOff>
      <xdr:row>18</xdr:row>
      <xdr:rowOff>8283</xdr:rowOff>
    </xdr:from>
    <xdr:to>
      <xdr:col>21</xdr:col>
      <xdr:colOff>16565</xdr:colOff>
      <xdr:row>18</xdr:row>
      <xdr:rowOff>8283</xdr:rowOff>
    </xdr:to>
    <xdr:cxnSp macro="">
      <xdr:nvCxnSpPr>
        <xdr:cNvPr id="176" name="Connecteur droit avec flèche 175" hidden="1">
          <a:extLst>
            <a:ext uri="{FF2B5EF4-FFF2-40B4-BE49-F238E27FC236}">
              <a16:creationId xmlns:a16="http://schemas.microsoft.com/office/drawing/2014/main" id="{2D08E235-3A04-40EC-9E33-FF7645966E5B}"/>
            </a:ext>
          </a:extLst>
        </xdr:cNvPr>
        <xdr:cNvCxnSpPr/>
      </xdr:nvCxnSpPr>
      <xdr:spPr>
        <a:xfrm>
          <a:off x="10287000" y="3536674"/>
          <a:ext cx="5391978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254190</xdr:colOff>
      <xdr:row>14</xdr:row>
      <xdr:rowOff>57978</xdr:rowOff>
    </xdr:from>
    <xdr:to>
      <xdr:col>20</xdr:col>
      <xdr:colOff>347870</xdr:colOff>
      <xdr:row>17</xdr:row>
      <xdr:rowOff>161938</xdr:rowOff>
    </xdr:to>
    <xdr:cxnSp macro="">
      <xdr:nvCxnSpPr>
        <xdr:cNvPr id="177" name="Connecteur droit avec flèche 176">
          <a:extLst>
            <a:ext uri="{FF2B5EF4-FFF2-40B4-BE49-F238E27FC236}">
              <a16:creationId xmlns:a16="http://schemas.microsoft.com/office/drawing/2014/main" id="{739533F1-B982-43AA-8997-9848FBF90FF5}"/>
            </a:ext>
          </a:extLst>
        </xdr:cNvPr>
        <xdr:cNvCxnSpPr/>
      </xdr:nvCxnSpPr>
      <xdr:spPr>
        <a:xfrm flipV="1">
          <a:off x="15154603" y="2824369"/>
          <a:ext cx="93680" cy="675460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697230</xdr:colOff>
      <xdr:row>6</xdr:row>
      <xdr:rowOff>166589</xdr:rowOff>
    </xdr:from>
    <xdr:to>
      <xdr:col>11</xdr:col>
      <xdr:colOff>697230</xdr:colOff>
      <xdr:row>7</xdr:row>
      <xdr:rowOff>67529</xdr:rowOff>
    </xdr:to>
    <xdr:cxnSp macro="">
      <xdr:nvCxnSpPr>
        <xdr:cNvPr id="178" name="Connecteur droit 177" hidden="1">
          <a:extLst>
            <a:ext uri="{FF2B5EF4-FFF2-40B4-BE49-F238E27FC236}">
              <a16:creationId xmlns:a16="http://schemas.microsoft.com/office/drawing/2014/main" id="{20308550-4A82-4F22-A1A0-F07D0D99BDCA}"/>
            </a:ext>
          </a:extLst>
        </xdr:cNvPr>
        <xdr:cNvCxnSpPr/>
      </xdr:nvCxnSpPr>
      <xdr:spPr>
        <a:xfrm>
          <a:off x="10314196" y="1355572"/>
          <a:ext cx="0" cy="91440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65230</xdr:colOff>
      <xdr:row>7</xdr:row>
      <xdr:rowOff>19050</xdr:rowOff>
    </xdr:from>
    <xdr:to>
      <xdr:col>11</xdr:col>
      <xdr:colOff>678180</xdr:colOff>
      <xdr:row>7</xdr:row>
      <xdr:rowOff>25028</xdr:rowOff>
    </xdr:to>
    <xdr:cxnSp macro="">
      <xdr:nvCxnSpPr>
        <xdr:cNvPr id="179" name="Connecteur droit 178" hidden="1">
          <a:extLst>
            <a:ext uri="{FF2B5EF4-FFF2-40B4-BE49-F238E27FC236}">
              <a16:creationId xmlns:a16="http://schemas.microsoft.com/office/drawing/2014/main" id="{3475B81E-9C9D-4467-B35E-710409D824C3}"/>
            </a:ext>
          </a:extLst>
        </xdr:cNvPr>
        <xdr:cNvCxnSpPr/>
      </xdr:nvCxnSpPr>
      <xdr:spPr>
        <a:xfrm flipH="1">
          <a:off x="8203390" y="1402080"/>
          <a:ext cx="2098850" cy="5978"/>
        </a:xfrm>
        <a:prstGeom prst="line">
          <a:avLst/>
        </a:prstGeom>
        <a:ln w="10160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701500</xdr:colOff>
      <xdr:row>7</xdr:row>
      <xdr:rowOff>32648</xdr:rowOff>
    </xdr:from>
    <xdr:to>
      <xdr:col>20</xdr:col>
      <xdr:colOff>750570</xdr:colOff>
      <xdr:row>7</xdr:row>
      <xdr:rowOff>38100</xdr:rowOff>
    </xdr:to>
    <xdr:cxnSp macro="">
      <xdr:nvCxnSpPr>
        <xdr:cNvPr id="180" name="Connecteur droit 179" hidden="1">
          <a:extLst>
            <a:ext uri="{FF2B5EF4-FFF2-40B4-BE49-F238E27FC236}">
              <a16:creationId xmlns:a16="http://schemas.microsoft.com/office/drawing/2014/main" id="{F7E79919-C807-4645-B637-F41DCBD0CCB1}"/>
            </a:ext>
          </a:extLst>
        </xdr:cNvPr>
        <xdr:cNvCxnSpPr/>
      </xdr:nvCxnSpPr>
      <xdr:spPr>
        <a:xfrm flipH="1" flipV="1">
          <a:off x="10325560" y="1415678"/>
          <a:ext cx="5329730" cy="5452"/>
        </a:xfrm>
        <a:prstGeom prst="line">
          <a:avLst/>
        </a:prstGeom>
        <a:ln w="7620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506601</xdr:colOff>
      <xdr:row>6</xdr:row>
      <xdr:rowOff>80404</xdr:rowOff>
    </xdr:from>
    <xdr:to>
      <xdr:col>12</xdr:col>
      <xdr:colOff>132169</xdr:colOff>
      <xdr:row>8</xdr:row>
      <xdr:rowOff>60698</xdr:rowOff>
    </xdr:to>
    <xdr:sp macro="" textlink="">
      <xdr:nvSpPr>
        <xdr:cNvPr id="181" name="Signe de multiplication 180" hidden="1">
          <a:extLst>
            <a:ext uri="{FF2B5EF4-FFF2-40B4-BE49-F238E27FC236}">
              <a16:creationId xmlns:a16="http://schemas.microsoft.com/office/drawing/2014/main" id="{86D31710-8373-4A65-B73E-905D6EF67FA9}"/>
            </a:ext>
          </a:extLst>
        </xdr:cNvPr>
        <xdr:cNvSpPr/>
      </xdr:nvSpPr>
      <xdr:spPr>
        <a:xfrm>
          <a:off x="10130661" y="1272934"/>
          <a:ext cx="387568" cy="361294"/>
        </a:xfrm>
        <a:prstGeom prst="mathMultiply">
          <a:avLst>
            <a:gd name="adj1" fmla="val 1187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736118</xdr:colOff>
      <xdr:row>3</xdr:row>
      <xdr:rowOff>3810</xdr:rowOff>
    </xdr:from>
    <xdr:to>
      <xdr:col>12</xdr:col>
      <xdr:colOff>281940</xdr:colOff>
      <xdr:row>6</xdr:row>
      <xdr:rowOff>172764</xdr:rowOff>
    </xdr:to>
    <xdr:cxnSp macro="">
      <xdr:nvCxnSpPr>
        <xdr:cNvPr id="182" name="Connecteur droit avec flèche 181" hidden="1">
          <a:extLst>
            <a:ext uri="{FF2B5EF4-FFF2-40B4-BE49-F238E27FC236}">
              <a16:creationId xmlns:a16="http://schemas.microsoft.com/office/drawing/2014/main" id="{ED8B2FC0-FB9A-4539-9B5D-A4E1E83DA053}"/>
            </a:ext>
          </a:extLst>
        </xdr:cNvPr>
        <xdr:cNvCxnSpPr/>
      </xdr:nvCxnSpPr>
      <xdr:spPr>
        <a:xfrm flipH="1">
          <a:off x="10360178" y="624840"/>
          <a:ext cx="307822" cy="740454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676603</xdr:colOff>
      <xdr:row>4</xdr:row>
      <xdr:rowOff>19707</xdr:rowOff>
    </xdr:from>
    <xdr:to>
      <xdr:col>11</xdr:col>
      <xdr:colOff>735724</xdr:colOff>
      <xdr:row>6</xdr:row>
      <xdr:rowOff>183931</xdr:rowOff>
    </xdr:to>
    <xdr:cxnSp macro="">
      <xdr:nvCxnSpPr>
        <xdr:cNvPr id="97" name="Connecteur droit avec flèche 96" hidden="1">
          <a:extLst>
            <a:ext uri="{FF2B5EF4-FFF2-40B4-BE49-F238E27FC236}">
              <a16:creationId xmlns:a16="http://schemas.microsoft.com/office/drawing/2014/main" id="{1D0C090E-D017-4C4D-81D4-DAED488918BB}"/>
            </a:ext>
          </a:extLst>
        </xdr:cNvPr>
        <xdr:cNvCxnSpPr/>
      </xdr:nvCxnSpPr>
      <xdr:spPr>
        <a:xfrm flipH="1">
          <a:off x="10424948" y="827690"/>
          <a:ext cx="59121" cy="5452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9</xdr:col>
      <xdr:colOff>60435</xdr:colOff>
      <xdr:row>13</xdr:row>
      <xdr:rowOff>14454</xdr:rowOff>
    </xdr:from>
    <xdr:to>
      <xdr:col>11</xdr:col>
      <xdr:colOff>656896</xdr:colOff>
      <xdr:row>13</xdr:row>
      <xdr:rowOff>19706</xdr:rowOff>
    </xdr:to>
    <xdr:cxnSp macro="">
      <xdr:nvCxnSpPr>
        <xdr:cNvPr id="184" name="Connecteur droit 183" hidden="1">
          <a:extLst>
            <a:ext uri="{FF2B5EF4-FFF2-40B4-BE49-F238E27FC236}">
              <a16:creationId xmlns:a16="http://schemas.microsoft.com/office/drawing/2014/main" id="{55253A2E-4B3E-437E-9A2A-4E923B8CED7E}"/>
            </a:ext>
          </a:extLst>
        </xdr:cNvPr>
        <xdr:cNvCxnSpPr/>
      </xdr:nvCxnSpPr>
      <xdr:spPr>
        <a:xfrm flipH="1" flipV="1">
          <a:off x="8194785" y="2586204"/>
          <a:ext cx="2082361" cy="5252"/>
        </a:xfrm>
        <a:prstGeom prst="line">
          <a:avLst/>
        </a:prstGeom>
        <a:ln w="10160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658341</xdr:colOff>
      <xdr:row>12</xdr:row>
      <xdr:rowOff>209549</xdr:rowOff>
    </xdr:from>
    <xdr:to>
      <xdr:col>11</xdr:col>
      <xdr:colOff>658341</xdr:colOff>
      <xdr:row>13</xdr:row>
      <xdr:rowOff>64506</xdr:rowOff>
    </xdr:to>
    <xdr:cxnSp macro="">
      <xdr:nvCxnSpPr>
        <xdr:cNvPr id="185" name="Connecteur droit 184" hidden="1">
          <a:extLst>
            <a:ext uri="{FF2B5EF4-FFF2-40B4-BE49-F238E27FC236}">
              <a16:creationId xmlns:a16="http://schemas.microsoft.com/office/drawing/2014/main" id="{8EC96E03-2267-49C0-99C8-0AF898A950B1}"/>
            </a:ext>
          </a:extLst>
        </xdr:cNvPr>
        <xdr:cNvCxnSpPr/>
      </xdr:nvCxnSpPr>
      <xdr:spPr>
        <a:xfrm>
          <a:off x="10275307" y="2541532"/>
          <a:ext cx="0" cy="91440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492672</xdr:colOff>
      <xdr:row>12</xdr:row>
      <xdr:rowOff>85396</xdr:rowOff>
    </xdr:from>
    <xdr:to>
      <xdr:col>12</xdr:col>
      <xdr:colOff>118240</xdr:colOff>
      <xdr:row>14</xdr:row>
      <xdr:rowOff>19707</xdr:rowOff>
    </xdr:to>
    <xdr:sp macro="" textlink="">
      <xdr:nvSpPr>
        <xdr:cNvPr id="186" name="Signe de multiplication 185" hidden="1">
          <a:extLst>
            <a:ext uri="{FF2B5EF4-FFF2-40B4-BE49-F238E27FC236}">
              <a16:creationId xmlns:a16="http://schemas.microsoft.com/office/drawing/2014/main" id="{F16A2EA6-23B3-40E8-84EF-769FE6E504A6}"/>
            </a:ext>
          </a:extLst>
        </xdr:cNvPr>
        <xdr:cNvSpPr/>
      </xdr:nvSpPr>
      <xdr:spPr>
        <a:xfrm>
          <a:off x="10109638" y="2417379"/>
          <a:ext cx="387568" cy="361294"/>
        </a:xfrm>
        <a:prstGeom prst="mathMultiply">
          <a:avLst>
            <a:gd name="adj1" fmla="val 1187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677722</xdr:colOff>
      <xdr:row>13</xdr:row>
      <xdr:rowOff>64312</xdr:rowOff>
    </xdr:from>
    <xdr:to>
      <xdr:col>12</xdr:col>
      <xdr:colOff>262758</xdr:colOff>
      <xdr:row>19</xdr:row>
      <xdr:rowOff>32844</xdr:rowOff>
    </xdr:to>
    <xdr:cxnSp macro="">
      <xdr:nvCxnSpPr>
        <xdr:cNvPr id="187" name="Connecteur droit avec flèche 186" hidden="1">
          <a:extLst>
            <a:ext uri="{FF2B5EF4-FFF2-40B4-BE49-F238E27FC236}">
              <a16:creationId xmlns:a16="http://schemas.microsoft.com/office/drawing/2014/main" id="{20AC3026-67AD-4314-B71A-01AE0C84955B}"/>
            </a:ext>
          </a:extLst>
        </xdr:cNvPr>
        <xdr:cNvCxnSpPr/>
      </xdr:nvCxnSpPr>
      <xdr:spPr>
        <a:xfrm flipH="1" flipV="1">
          <a:off x="10294688" y="2632778"/>
          <a:ext cx="347036" cy="1111532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9</xdr:col>
      <xdr:colOff>236268</xdr:colOff>
      <xdr:row>14</xdr:row>
      <xdr:rowOff>17256</xdr:rowOff>
    </xdr:from>
    <xdr:to>
      <xdr:col>10</xdr:col>
      <xdr:colOff>400505</xdr:colOff>
      <xdr:row>14</xdr:row>
      <xdr:rowOff>184401</xdr:rowOff>
    </xdr:to>
    <xdr:sp macro="" textlink="$B$48">
      <xdr:nvSpPr>
        <xdr:cNvPr id="28" name="ZTailebasserenfforme1et2">
          <a:extLst>
            <a:ext uri="{FF2B5EF4-FFF2-40B4-BE49-F238E27FC236}">
              <a16:creationId xmlns:a16="http://schemas.microsoft.com/office/drawing/2014/main" id="{C074C936-E0A5-D701-399F-C9D531143D47}"/>
            </a:ext>
          </a:extLst>
        </xdr:cNvPr>
        <xdr:cNvSpPr txBox="1"/>
      </xdr:nvSpPr>
      <xdr:spPr>
        <a:xfrm rot="20690265">
          <a:off x="8368647" y="2776222"/>
          <a:ext cx="886824" cy="1671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" tIns="3600" rIns="3600" bIns="3600" rtlCol="0" anchor="t"/>
        <a:lstStyle/>
        <a:p>
          <a:fld id="{C85A3658-728C-463A-A4C6-FD0A089FBC3C}" type="TxLink">
            <a:rPr lang="en-US" sz="900" b="0" i="0" u="none" strike="noStrike">
              <a:solidFill>
                <a:srgbClr val="7030A0"/>
              </a:solidFill>
              <a:latin typeface="Calibri"/>
              <a:cs typeface="Calibri"/>
            </a:rPr>
            <a:pPr/>
            <a:t> </a:t>
          </a:fld>
          <a:endParaRPr lang="fr-FR" sz="900">
            <a:solidFill>
              <a:srgbClr val="7030A0"/>
            </a:solidFill>
          </a:endParaRPr>
        </a:p>
      </xdr:txBody>
    </xdr:sp>
    <xdr:clientData/>
  </xdr:twoCellAnchor>
  <xdr:twoCellAnchor>
    <xdr:from>
      <xdr:col>19</xdr:col>
      <xdr:colOff>231011</xdr:colOff>
      <xdr:row>13</xdr:row>
      <xdr:rowOff>169657</xdr:rowOff>
    </xdr:from>
    <xdr:to>
      <xdr:col>20</xdr:col>
      <xdr:colOff>421524</xdr:colOff>
      <xdr:row>14</xdr:row>
      <xdr:rowOff>146302</xdr:rowOff>
    </xdr:to>
    <xdr:sp macro="" textlink="$B$49">
      <xdr:nvSpPr>
        <xdr:cNvPr id="188" name="ZTailebasserenfforme1et2">
          <a:extLst>
            <a:ext uri="{FF2B5EF4-FFF2-40B4-BE49-F238E27FC236}">
              <a16:creationId xmlns:a16="http://schemas.microsoft.com/office/drawing/2014/main" id="{FD47C8DB-A325-4E10-BF1A-13E7648191FB}"/>
            </a:ext>
          </a:extLst>
        </xdr:cNvPr>
        <xdr:cNvSpPr txBox="1"/>
      </xdr:nvSpPr>
      <xdr:spPr>
        <a:xfrm rot="977742">
          <a:off x="14433114" y="2738123"/>
          <a:ext cx="886824" cy="1671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" tIns="3600" rIns="3600" bIns="3600" rtlCol="0" anchor="t"/>
        <a:lstStyle/>
        <a:p>
          <a:fld id="{55532AED-D90C-4B32-AE1A-FC684E7861D8}" type="TxLink">
            <a:rPr lang="en-US" sz="900" b="0" i="0" u="none" strike="noStrike">
              <a:solidFill>
                <a:srgbClr val="7030A0"/>
              </a:solidFill>
              <a:latin typeface="Calibri"/>
              <a:cs typeface="Calibri"/>
            </a:rPr>
            <a:pPr/>
            <a:t> </a:t>
          </a:fld>
          <a:endParaRPr lang="fr-FR" sz="900">
            <a:solidFill>
              <a:srgbClr val="7030A0"/>
            </a:solidFill>
          </a:endParaRPr>
        </a:p>
      </xdr:txBody>
    </xdr:sp>
    <xdr:clientData/>
  </xdr:twoCellAnchor>
  <xdr:twoCellAnchor>
    <xdr:from>
      <xdr:col>11</xdr:col>
      <xdr:colOff>656897</xdr:colOff>
      <xdr:row>18</xdr:row>
      <xdr:rowOff>0</xdr:rowOff>
    </xdr:from>
    <xdr:to>
      <xdr:col>18</xdr:col>
      <xdr:colOff>13138</xdr:colOff>
      <xdr:row>18</xdr:row>
      <xdr:rowOff>9139</xdr:rowOff>
    </xdr:to>
    <xdr:cxnSp macro="">
      <xdr:nvCxnSpPr>
        <xdr:cNvPr id="189" name="Connecteur droit avec flèche 188" hidden="1">
          <a:extLst>
            <a:ext uri="{FF2B5EF4-FFF2-40B4-BE49-F238E27FC236}">
              <a16:creationId xmlns:a16="http://schemas.microsoft.com/office/drawing/2014/main" id="{877ECEAB-A1AA-49CB-81F4-A233E80C1421}"/>
            </a:ext>
          </a:extLst>
        </xdr:cNvPr>
        <xdr:cNvCxnSpPr/>
      </xdr:nvCxnSpPr>
      <xdr:spPr>
        <a:xfrm flipV="1">
          <a:off x="10273863" y="3520966"/>
          <a:ext cx="3179378" cy="9139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126190</xdr:colOff>
      <xdr:row>7</xdr:row>
      <xdr:rowOff>20955</xdr:rowOff>
    </xdr:from>
    <xdr:to>
      <xdr:col>21</xdr:col>
      <xdr:colOff>5715</xdr:colOff>
      <xdr:row>7</xdr:row>
      <xdr:rowOff>26933</xdr:rowOff>
    </xdr:to>
    <xdr:cxnSp macro="">
      <xdr:nvCxnSpPr>
        <xdr:cNvPr id="190" name="Connecteur droit 189" hidden="1">
          <a:extLst>
            <a:ext uri="{FF2B5EF4-FFF2-40B4-BE49-F238E27FC236}">
              <a16:creationId xmlns:a16="http://schemas.microsoft.com/office/drawing/2014/main" id="{4C335072-EFB5-40B4-91DE-90B799CEC7FF}"/>
            </a:ext>
          </a:extLst>
        </xdr:cNvPr>
        <xdr:cNvCxnSpPr/>
      </xdr:nvCxnSpPr>
      <xdr:spPr>
        <a:xfrm flipH="1">
          <a:off x="13565965" y="1402080"/>
          <a:ext cx="2098850" cy="5978"/>
        </a:xfrm>
        <a:prstGeom prst="line">
          <a:avLst/>
        </a:prstGeom>
        <a:ln w="10160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167511</xdr:colOff>
      <xdr:row>6</xdr:row>
      <xdr:rowOff>44209</xdr:rowOff>
    </xdr:from>
    <xdr:to>
      <xdr:col>18</xdr:col>
      <xdr:colOff>336004</xdr:colOff>
      <xdr:row>8</xdr:row>
      <xdr:rowOff>24503</xdr:rowOff>
    </xdr:to>
    <xdr:sp macro="" textlink="">
      <xdr:nvSpPr>
        <xdr:cNvPr id="191" name="Signe de multiplication 190" hidden="1">
          <a:extLst>
            <a:ext uri="{FF2B5EF4-FFF2-40B4-BE49-F238E27FC236}">
              <a16:creationId xmlns:a16="http://schemas.microsoft.com/office/drawing/2014/main" id="{A7A9914B-8515-4555-844C-372CD67C652A}"/>
            </a:ext>
          </a:extLst>
        </xdr:cNvPr>
        <xdr:cNvSpPr/>
      </xdr:nvSpPr>
      <xdr:spPr>
        <a:xfrm>
          <a:off x="13388211" y="1234834"/>
          <a:ext cx="387568" cy="361294"/>
        </a:xfrm>
        <a:prstGeom prst="mathMultiply">
          <a:avLst>
            <a:gd name="adj1" fmla="val 1187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242920</xdr:colOff>
      <xdr:row>4</xdr:row>
      <xdr:rowOff>3284</xdr:rowOff>
    </xdr:from>
    <xdr:to>
      <xdr:col>19</xdr:col>
      <xdr:colOff>252905</xdr:colOff>
      <xdr:row>6</xdr:row>
      <xdr:rowOff>130983</xdr:rowOff>
    </xdr:to>
    <xdr:cxnSp macro="">
      <xdr:nvCxnSpPr>
        <xdr:cNvPr id="192" name="Connecteur droit avec flèche 191" hidden="1">
          <a:extLst>
            <a:ext uri="{FF2B5EF4-FFF2-40B4-BE49-F238E27FC236}">
              <a16:creationId xmlns:a16="http://schemas.microsoft.com/office/drawing/2014/main" id="{5AC8F142-0D67-46EE-B130-7433619DE327}"/>
            </a:ext>
          </a:extLst>
        </xdr:cNvPr>
        <xdr:cNvCxnSpPr>
          <a:endCxn id="191" idx="1"/>
        </xdr:cNvCxnSpPr>
      </xdr:nvCxnSpPr>
      <xdr:spPr>
        <a:xfrm flipH="1">
          <a:off x="13682695" y="812909"/>
          <a:ext cx="771985" cy="508699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133350</xdr:colOff>
      <xdr:row>0</xdr:row>
      <xdr:rowOff>276225</xdr:rowOff>
    </xdr:from>
    <xdr:to>
      <xdr:col>4</xdr:col>
      <xdr:colOff>447675</xdr:colOff>
      <xdr:row>0</xdr:row>
      <xdr:rowOff>1008152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E217DE8B-8EE1-4E63-B747-ED1382DDE02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92" t="5128" r="10410" b="21368"/>
        <a:stretch/>
      </xdr:blipFill>
      <xdr:spPr>
        <a:xfrm>
          <a:off x="6486525" y="276225"/>
          <a:ext cx="1838325" cy="731927"/>
        </a:xfrm>
        <a:prstGeom prst="rect">
          <a:avLst/>
        </a:prstGeom>
      </xdr:spPr>
    </xdr:pic>
    <xdr:clientData/>
  </xdr:twoCellAnchor>
  <xdr:twoCellAnchor editAs="oneCell">
    <xdr:from>
      <xdr:col>2</xdr:col>
      <xdr:colOff>152400</xdr:colOff>
      <xdr:row>1</xdr:row>
      <xdr:rowOff>219075</xdr:rowOff>
    </xdr:from>
    <xdr:to>
      <xdr:col>4</xdr:col>
      <xdr:colOff>476402</xdr:colOff>
      <xdr:row>1</xdr:row>
      <xdr:rowOff>876300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13DAC146-3AB5-4F60-8100-FA94F195447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624" t="8096" r="10895" b="26419"/>
        <a:stretch/>
      </xdr:blipFill>
      <xdr:spPr>
        <a:xfrm>
          <a:off x="6505575" y="1371600"/>
          <a:ext cx="1848002" cy="657225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</xdr:colOff>
      <xdr:row>2</xdr:row>
      <xdr:rowOff>219075</xdr:rowOff>
    </xdr:from>
    <xdr:to>
      <xdr:col>4</xdr:col>
      <xdr:colOff>323850</xdr:colOff>
      <xdr:row>2</xdr:row>
      <xdr:rowOff>860475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3B2362A9-E09A-4F08-831A-38CAE1D11B1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11" t="9504" r="12022" b="25382"/>
        <a:stretch/>
      </xdr:blipFill>
      <xdr:spPr>
        <a:xfrm>
          <a:off x="6429375" y="2524125"/>
          <a:ext cx="1771650" cy="641400"/>
        </a:xfrm>
        <a:prstGeom prst="rect">
          <a:avLst/>
        </a:prstGeom>
      </xdr:spPr>
    </xdr:pic>
    <xdr:clientData/>
  </xdr:twoCellAnchor>
  <xdr:twoCellAnchor editAs="oneCell">
    <xdr:from>
      <xdr:col>2</xdr:col>
      <xdr:colOff>104775</xdr:colOff>
      <xdr:row>3</xdr:row>
      <xdr:rowOff>323850</xdr:rowOff>
    </xdr:from>
    <xdr:to>
      <xdr:col>4</xdr:col>
      <xdr:colOff>447675</xdr:colOff>
      <xdr:row>3</xdr:row>
      <xdr:rowOff>965597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245E803B-2993-4049-91D7-635E546C832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725" t="9855" r="11550" b="28198"/>
        <a:stretch/>
      </xdr:blipFill>
      <xdr:spPr>
        <a:xfrm>
          <a:off x="6457950" y="3781425"/>
          <a:ext cx="1866900" cy="64174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538371</xdr:colOff>
          <xdr:row>33</xdr:row>
          <xdr:rowOff>173934</xdr:rowOff>
        </xdr:from>
        <xdr:to>
          <xdr:col>6</xdr:col>
          <xdr:colOff>323023</xdr:colOff>
          <xdr:row>39</xdr:row>
          <xdr:rowOff>183459</xdr:rowOff>
        </xdr:to>
        <xdr:pic>
          <xdr:nvPicPr>
            <xdr:cNvPr id="2" name="Image 1">
              <a:extLst>
                <a:ext uri="{FF2B5EF4-FFF2-40B4-BE49-F238E27FC236}">
                  <a16:creationId xmlns:a16="http://schemas.microsoft.com/office/drawing/2014/main" id="{8F022D30-7C50-4CA7-9D7A-1D6025DEF6B6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GestionImage1" spid="_x0000_s3137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6892" t="5128" r="10410" b="21368"/>
            <a:stretch>
              <a:fillRect/>
            </a:stretch>
          </xdr:blipFill>
          <xdr:spPr>
            <a:xfrm>
              <a:off x="2824371" y="6460434"/>
              <a:ext cx="2070652" cy="1152525"/>
            </a:xfrm>
            <a:prstGeom prst="rect">
              <a:avLst/>
            </a:prstGeom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E7BCC-F4B8-4D77-A112-8EAB33C3348E}">
  <sheetPr codeName="Feuil1"/>
  <dimension ref="A1:AD55"/>
  <sheetViews>
    <sheetView zoomScale="115" zoomScaleNormal="115" workbookViewId="0">
      <selection activeCell="R24" sqref="R24"/>
    </sheetView>
  </sheetViews>
  <sheetFormatPr baseColWidth="10" defaultRowHeight="15" x14ac:dyDescent="0.25"/>
  <cols>
    <col min="1" max="1" width="21" customWidth="1"/>
    <col min="3" max="3" width="21.5703125" customWidth="1"/>
    <col min="4" max="4" width="12.85546875" customWidth="1"/>
    <col min="6" max="6" width="13.140625" customWidth="1"/>
    <col min="7" max="7" width="20.28515625" bestFit="1" customWidth="1"/>
    <col min="8" max="8" width="13" customWidth="1"/>
    <col min="9" max="9" width="8.42578125" customWidth="1"/>
    <col min="10" max="10" width="2" customWidth="1"/>
    <col min="15" max="15" width="10.5703125" customWidth="1"/>
    <col min="16" max="16" width="6.85546875" customWidth="1"/>
    <col min="17" max="17" width="10.28515625" customWidth="1"/>
    <col min="21" max="21" width="12.28515625" customWidth="1"/>
    <col min="22" max="22" width="13.7109375" customWidth="1"/>
  </cols>
  <sheetData>
    <row r="1" spans="1:30" ht="15.75" customHeight="1" x14ac:dyDescent="0.3">
      <c r="A1" s="3" t="s">
        <v>7</v>
      </c>
      <c r="B1" s="3"/>
      <c r="C1" s="3"/>
      <c r="D1" t="s">
        <v>12</v>
      </c>
      <c r="H1" s="3" t="s">
        <v>7</v>
      </c>
      <c r="N1" s="3" t="s">
        <v>39</v>
      </c>
    </row>
    <row r="2" spans="1:30" ht="11.25" customHeight="1" x14ac:dyDescent="0.25">
      <c r="L2" s="23" t="str">
        <f>IF(D5&gt;0,"","Baionette :")</f>
        <v>Baionette :</v>
      </c>
    </row>
    <row r="3" spans="1:30" ht="12.75" customHeight="1" x14ac:dyDescent="0.25">
      <c r="A3" t="s">
        <v>0</v>
      </c>
      <c r="B3" s="21">
        <v>5.6</v>
      </c>
      <c r="C3" t="s">
        <v>8</v>
      </c>
      <c r="D3" s="1">
        <v>0</v>
      </c>
      <c r="H3" s="47" t="s">
        <v>0</v>
      </c>
      <c r="I3" s="49">
        <f>B3</f>
        <v>5.6</v>
      </c>
      <c r="L3" s="1">
        <f>IF(D5&gt;0,"",((VLOOKUP(F5,Données!J6:L29,2,FALSE)*2)/1000+((VLOOKUP(Poteau!F5,Données!J6:L29,3,FALSE))*4)/1000))</f>
        <v>0.60000000000000009</v>
      </c>
      <c r="O3" s="47" t="str">
        <f>A15</f>
        <v>Largeur Ame en tête =</v>
      </c>
      <c r="P3" s="50">
        <f>B15</f>
        <v>750</v>
      </c>
      <c r="Q3" s="51">
        <f>F15</f>
        <v>6</v>
      </c>
      <c r="AD3">
        <f>IF(D3="Oui",1,0)</f>
        <v>0</v>
      </c>
    </row>
    <row r="4" spans="1:30" ht="12.75" customHeight="1" x14ac:dyDescent="0.25">
      <c r="A4" t="s">
        <v>1</v>
      </c>
      <c r="B4" s="2">
        <f>B3*0.12</f>
        <v>0.67199999999999993</v>
      </c>
      <c r="C4" t="s">
        <v>13</v>
      </c>
      <c r="D4" s="1">
        <v>1</v>
      </c>
      <c r="E4" t="str">
        <f>IF(D4=0,"Longueur :","")</f>
        <v/>
      </c>
      <c r="F4" s="4">
        <v>300</v>
      </c>
      <c r="G4" s="12">
        <v>30</v>
      </c>
      <c r="H4" s="47" t="s">
        <v>1</v>
      </c>
      <c r="I4" s="35">
        <f>B4</f>
        <v>0.67199999999999993</v>
      </c>
      <c r="L4" s="15" t="str">
        <f>IF(D11=0,"Raidisseur :","")</f>
        <v>Raidisseur :</v>
      </c>
      <c r="M4" s="1">
        <f>IF(D11=0,0.6,"")</f>
        <v>0.6</v>
      </c>
      <c r="O4" s="47" t="s">
        <v>41</v>
      </c>
      <c r="P4" s="50">
        <f t="shared" ref="P4:P7" si="0">B16</f>
        <v>250</v>
      </c>
      <c r="Q4" s="51">
        <f>F16</f>
        <v>20</v>
      </c>
    </row>
    <row r="5" spans="1:30" ht="13.5" customHeight="1" x14ac:dyDescent="0.25">
      <c r="A5" t="s">
        <v>2</v>
      </c>
      <c r="B5" s="2">
        <f>B3*0.055</f>
        <v>0.308</v>
      </c>
      <c r="C5" t="s">
        <v>14</v>
      </c>
      <c r="D5" s="1">
        <v>0</v>
      </c>
      <c r="E5" t="str">
        <f>IF(D5=0,"Section :","")</f>
        <v>Section :</v>
      </c>
      <c r="F5" s="5" t="s">
        <v>59</v>
      </c>
      <c r="H5" s="47" t="s">
        <v>2</v>
      </c>
      <c r="I5" s="35">
        <f t="shared" ref="I5:I9" si="1">B5</f>
        <v>0.308</v>
      </c>
      <c r="M5" s="13">
        <f>IF(D11=0,E11,"")</f>
        <v>200</v>
      </c>
      <c r="O5" s="47" t="s">
        <v>44</v>
      </c>
      <c r="P5" s="50">
        <f t="shared" si="0"/>
        <v>250</v>
      </c>
      <c r="Q5" s="51">
        <f t="shared" ref="Q5:Q7" si="2">F17</f>
        <v>20</v>
      </c>
    </row>
    <row r="6" spans="1:30" ht="12.75" customHeight="1" x14ac:dyDescent="0.25">
      <c r="A6" t="s">
        <v>3</v>
      </c>
      <c r="B6" s="2">
        <f>B3*0.24</f>
        <v>1.3439999999999999</v>
      </c>
      <c r="C6" t="s">
        <v>15</v>
      </c>
      <c r="D6" s="1">
        <v>0</v>
      </c>
      <c r="E6" t="s">
        <v>16</v>
      </c>
      <c r="F6" s="4">
        <v>10</v>
      </c>
      <c r="H6" s="47" t="s">
        <v>3</v>
      </c>
      <c r="I6" s="35">
        <f t="shared" si="1"/>
        <v>1.3439999999999999</v>
      </c>
      <c r="O6" s="47" t="s">
        <v>46</v>
      </c>
      <c r="P6" s="50">
        <f t="shared" si="0"/>
        <v>250</v>
      </c>
      <c r="Q6" s="51">
        <f t="shared" si="2"/>
        <v>25</v>
      </c>
    </row>
    <row r="7" spans="1:30" ht="12.75" customHeight="1" x14ac:dyDescent="0.25">
      <c r="A7" t="s">
        <v>5</v>
      </c>
      <c r="B7" s="2">
        <f>B3*0.025</f>
        <v>0.13999999999999999</v>
      </c>
      <c r="C7" t="s">
        <v>17</v>
      </c>
      <c r="D7" s="1">
        <v>1</v>
      </c>
      <c r="H7" s="47" t="s">
        <v>5</v>
      </c>
      <c r="I7" s="35">
        <f t="shared" si="1"/>
        <v>0.13999999999999999</v>
      </c>
      <c r="L7" s="13">
        <f>IF(D11=0,F11,"")</f>
        <v>100</v>
      </c>
      <c r="O7" s="47" t="s">
        <v>48</v>
      </c>
      <c r="P7" s="50">
        <f t="shared" si="0"/>
        <v>750</v>
      </c>
      <c r="Q7" s="51">
        <f t="shared" si="2"/>
        <v>10</v>
      </c>
    </row>
    <row r="8" spans="1:30" x14ac:dyDescent="0.25">
      <c r="A8" t="s">
        <v>4</v>
      </c>
      <c r="B8" s="2">
        <v>0.5</v>
      </c>
      <c r="C8" t="s">
        <v>18</v>
      </c>
      <c r="D8" s="1">
        <v>1</v>
      </c>
      <c r="H8" s="47" t="s">
        <v>4</v>
      </c>
      <c r="I8" s="35">
        <f t="shared" si="1"/>
        <v>0.5</v>
      </c>
      <c r="P8" s="35"/>
      <c r="Q8" s="35"/>
      <c r="V8">
        <f>IF(B3&lt;6.0001,1,0)</f>
        <v>1</v>
      </c>
      <c r="AD8">
        <v>1</v>
      </c>
    </row>
    <row r="9" spans="1:30" x14ac:dyDescent="0.25">
      <c r="A9" t="s">
        <v>6</v>
      </c>
      <c r="B9" s="2">
        <v>0.25</v>
      </c>
      <c r="C9" t="s">
        <v>19</v>
      </c>
      <c r="D9" s="1">
        <v>1</v>
      </c>
      <c r="E9" t="s">
        <v>78</v>
      </c>
      <c r="F9" s="4">
        <v>300</v>
      </c>
      <c r="H9" s="47" t="s">
        <v>6</v>
      </c>
      <c r="I9" s="35">
        <f t="shared" si="1"/>
        <v>0.25</v>
      </c>
      <c r="V9">
        <f>IF(B3&gt;12,1,0)</f>
        <v>0</v>
      </c>
      <c r="AD9">
        <f>IF(B3&gt;6,1,0)</f>
        <v>0</v>
      </c>
    </row>
    <row r="10" spans="1:30" x14ac:dyDescent="0.25">
      <c r="C10" t="s">
        <v>20</v>
      </c>
      <c r="D10" s="1">
        <v>1</v>
      </c>
      <c r="E10" t="str">
        <f>IF(D10=0,"Section :","")</f>
        <v/>
      </c>
      <c r="F10" s="5" t="s">
        <v>27</v>
      </c>
      <c r="G10" s="60">
        <v>7800</v>
      </c>
      <c r="K10" s="15" t="s">
        <v>75</v>
      </c>
      <c r="L10" s="1">
        <f>IF(AND(F15&lt;12.1,F16&lt;12.1),((B15/1000)*2)+(((B16/1000)*2)+((B17/1000)*2)),IF(AND(F15&lt;12.1,F16&gt;11.9),((B15/1000)*2)+(((B16/1000)*2*1.5)+((B17/1000)*2*1.5)),IF(AND(F15&gt;11.9,F16&gt;11.9),((B15/1000)*2*1.5)+(((B16/1000)*2*1.5)+((B17/1000)*2*1.5)),"ERREUR")))</f>
        <v>3</v>
      </c>
      <c r="V10">
        <f>IF(F18&gt;F16,1,0)</f>
        <v>1</v>
      </c>
    </row>
    <row r="11" spans="1:30" x14ac:dyDescent="0.25">
      <c r="C11" t="s">
        <v>49</v>
      </c>
      <c r="D11" s="1">
        <v>0</v>
      </c>
      <c r="E11" s="10">
        <v>200</v>
      </c>
      <c r="F11" s="11">
        <v>100</v>
      </c>
      <c r="G11" s="12">
        <v>12</v>
      </c>
      <c r="V11">
        <f>IF(D16&gt;6000.9,1,0)</f>
        <v>0</v>
      </c>
    </row>
    <row r="12" spans="1:30" ht="7.5" customHeight="1" x14ac:dyDescent="0.25">
      <c r="D12" s="1"/>
      <c r="V12">
        <f>IF(D16&gt;12000.9,1,0)</f>
        <v>0</v>
      </c>
    </row>
    <row r="13" spans="1:30" ht="12.75" customHeight="1" x14ac:dyDescent="0.3">
      <c r="A13" s="3" t="s">
        <v>39</v>
      </c>
      <c r="V13">
        <f>IF(F18&gt;F16,1,0)</f>
        <v>1</v>
      </c>
    </row>
    <row r="14" spans="1:30" ht="12" customHeight="1" x14ac:dyDescent="0.25">
      <c r="A14" t="str">
        <f>IF(D3=0,"PRS à Inerie Variable :","PRS droit :")</f>
        <v>PRS à Inerie Variable :</v>
      </c>
      <c r="L14" s="44" t="str">
        <f>IF(D6=1,"Ame : "&amp;TEXT(B15,"0")&amp;"x"&amp;TEXT(F15,"0"),IF(D6=0,"Ame renforcée : "&amp;TEXT(B15,"0")&amp;"x"&amp;TEXT(F6,"0")))</f>
        <v>Ame renforcée : 750x10</v>
      </c>
      <c r="U14">
        <f>IF(D6=0,B3-(D18/1000),B3)</f>
        <v>4.7449999999999992</v>
      </c>
      <c r="V14">
        <f>IF(U14&gt;6,1,0)</f>
        <v>0</v>
      </c>
      <c r="W14" t="s">
        <v>126</v>
      </c>
    </row>
    <row r="15" spans="1:30" x14ac:dyDescent="0.25">
      <c r="A15" t="str">
        <f>IF(D3=0,"Largeur Ame en tête =","Largeur Ame =")</f>
        <v>Largeur Ame en tête =</v>
      </c>
      <c r="B15" s="6">
        <v>750</v>
      </c>
      <c r="C15" t="str">
        <f>IF(D3=0,"Largeur Ame en pied =","")</f>
        <v>Largeur Ame en pied =</v>
      </c>
      <c r="D15" s="6">
        <v>400</v>
      </c>
      <c r="E15" t="s">
        <v>40</v>
      </c>
      <c r="F15" s="6">
        <v>6</v>
      </c>
      <c r="N15" s="9">
        <f>D18</f>
        <v>855</v>
      </c>
      <c r="V15">
        <f>IF(U14&gt;12,1,0)</f>
        <v>0</v>
      </c>
      <c r="W15" t="s">
        <v>127</v>
      </c>
    </row>
    <row r="16" spans="1:30" x14ac:dyDescent="0.25">
      <c r="A16" t="s">
        <v>41</v>
      </c>
      <c r="B16" s="6">
        <v>250</v>
      </c>
      <c r="C16" t="s">
        <v>43</v>
      </c>
      <c r="D16" s="7">
        <f>(B3*1000)-D18</f>
        <v>4745</v>
      </c>
      <c r="E16" t="s">
        <v>42</v>
      </c>
      <c r="F16" s="6">
        <v>20</v>
      </c>
    </row>
    <row r="17" spans="1:23" x14ac:dyDescent="0.25">
      <c r="A17" t="s">
        <v>44</v>
      </c>
      <c r="B17" s="6">
        <v>250</v>
      </c>
      <c r="C17" t="s">
        <v>45</v>
      </c>
      <c r="D17" s="7">
        <f>B3*1000</f>
        <v>5600</v>
      </c>
      <c r="E17" t="s">
        <v>42</v>
      </c>
      <c r="F17" s="6">
        <v>20</v>
      </c>
    </row>
    <row r="18" spans="1:23" x14ac:dyDescent="0.25">
      <c r="A18" t="s">
        <v>46</v>
      </c>
      <c r="B18" s="7">
        <f>B16</f>
        <v>250</v>
      </c>
      <c r="C18" t="s">
        <v>47</v>
      </c>
      <c r="D18" s="6">
        <v>855</v>
      </c>
      <c r="E18" t="s">
        <v>42</v>
      </c>
      <c r="F18" s="6">
        <v>25</v>
      </c>
    </row>
    <row r="19" spans="1:23" x14ac:dyDescent="0.25">
      <c r="A19" t="s">
        <v>48</v>
      </c>
      <c r="B19" s="7">
        <f>IF(D6=0,B15,0)</f>
        <v>750</v>
      </c>
      <c r="C19" t="str">
        <f>IF(D6=0,"Longueur Ame renf. =","")</f>
        <v>Longueur Ame renf. =</v>
      </c>
      <c r="D19" s="7">
        <f>D18</f>
        <v>855</v>
      </c>
      <c r="E19" t="s">
        <v>40</v>
      </c>
      <c r="F19" s="7">
        <f>F6</f>
        <v>10</v>
      </c>
    </row>
    <row r="20" spans="1:23" x14ac:dyDescent="0.25">
      <c r="I20" s="14" t="str">
        <f>IF(D6=0,"Continuité Ame :","")</f>
        <v>Continuité Ame :</v>
      </c>
      <c r="K20" s="15" t="s">
        <v>76</v>
      </c>
      <c r="L20" s="1">
        <f>IF(AND(F15&lt;12.1,F16&lt;15.1),((B15/1000)*2)+((B16/1000)*2+(B17/1000)*2),IF(AND(F15&lt;12.1,F16&gt;14.9),((B15/1000)*2)+(((B16/1000)*2*1.5)+((B17/1000)*2*1.5)),IF(AND(F15&gt;11.9,F16&gt;14.9),((B15/1000)*2*1.5)+(((B16/1000)*2*1.5)+((B17/1000)*2*1.5)),"ERREUR")))</f>
        <v>3</v>
      </c>
      <c r="N20" t="str">
        <f>IF(V13=1,"Continuité Aile/Platine :","")</f>
        <v>Continuité Aile/Platine :</v>
      </c>
    </row>
    <row r="21" spans="1:23" x14ac:dyDescent="0.25">
      <c r="I21" s="1">
        <f>IF(AND(D6=0,F6&gt;11.9,F15&gt;11.9),(B15/1000)*2*1.5,IF(AND(D6=0,F6&lt;12.1,F15&gt;11.9),(B15/1000)*2,IF(AND(D6=0,F6&gt;11.9,F15&lt;11.9),(B15/1000)*2,IF(AND(D6=0,F6&lt;12.1,F15&lt;12.1),(B15/1000)*2,""))))</f>
        <v>1.5</v>
      </c>
      <c r="N21" s="1">
        <f>IF(V13=1,(B16/1000)*2*1.5,"")</f>
        <v>0.75</v>
      </c>
    </row>
    <row r="22" spans="1:23" ht="7.5" customHeight="1" x14ac:dyDescent="0.25">
      <c r="I22" s="75">
        <f>I3</f>
        <v>5.6</v>
      </c>
    </row>
    <row r="23" spans="1:23" ht="15" customHeight="1" x14ac:dyDescent="0.25">
      <c r="I23" s="75"/>
      <c r="L23" s="8">
        <f>B15</f>
        <v>750</v>
      </c>
    </row>
    <row r="24" spans="1:23" ht="7.5" customHeight="1" x14ac:dyDescent="0.25">
      <c r="I24" s="75"/>
      <c r="L24" s="8"/>
    </row>
    <row r="25" spans="1:23" x14ac:dyDescent="0.25">
      <c r="I25" s="75"/>
      <c r="L25" s="8" t="str">
        <f>IF(AND(D3=0,V15=1,X53=0),W42,"")</f>
        <v/>
      </c>
    </row>
    <row r="26" spans="1:23" x14ac:dyDescent="0.25">
      <c r="H26" s="79" t="str">
        <f>IF(V15=0,"",IF(X53=1,"",IF(X53=0,"Continuité Ame :","")))</f>
        <v/>
      </c>
      <c r="I26" s="79"/>
    </row>
    <row r="27" spans="1:23" x14ac:dyDescent="0.25">
      <c r="I27" s="29" t="str">
        <f>IF(V15=0,"",IF(X53=1,"",IF(X53=0,IF(AND(V15=1,D3=1),U41,IF(AND(V15=1,D3=0),U42,"ERREUR JP")))))</f>
        <v/>
      </c>
      <c r="L27" s="8"/>
    </row>
    <row r="28" spans="1:23" x14ac:dyDescent="0.25">
      <c r="H28" s="59"/>
      <c r="I28" s="29"/>
      <c r="K28" s="81" t="str">
        <f>IF(D3=1,"Ame : "&amp;TEXT(B15,"0")&amp;"x"&amp;TEXT(F15,"0"),IF(D3=0,"Ame : "&amp;TEXT(B15,"0")&amp;"-"&amp;TEXT(D15,"0")&amp;"x"&amp;TEXT(F15,"0")))</f>
        <v>Ame : 750-400x6</v>
      </c>
      <c r="L28" s="81"/>
      <c r="M28" s="81"/>
    </row>
    <row r="29" spans="1:23" x14ac:dyDescent="0.25">
      <c r="H29" s="59"/>
      <c r="I29" s="29"/>
      <c r="L29" s="8" t="str">
        <f>IF(AND(D3=0,V14=1,X52=0),W49,"")</f>
        <v/>
      </c>
    </row>
    <row r="30" spans="1:23" x14ac:dyDescent="0.25">
      <c r="H30" s="79" t="str">
        <f>IF(V14=0,"",IF(X52=1,"",IF(X52=0,"Continuité Ame :","")))</f>
        <v/>
      </c>
      <c r="I30" s="79"/>
      <c r="U30" t="s">
        <v>76</v>
      </c>
    </row>
    <row r="31" spans="1:23" ht="13.5" customHeight="1" x14ac:dyDescent="0.25">
      <c r="H31" s="29" t="str">
        <f>IF(V14=0,"",IF(X52=1,"",IF(X52=0,IF(AND(V14=1,D3=1),U47,IF(AND(V14=1,D3=0),U49,"ERREUR JP")))))</f>
        <v/>
      </c>
      <c r="L31" s="8" t="str">
        <f>W32</f>
        <v/>
      </c>
      <c r="N31" s="15" t="str">
        <f>IF(D10=0,"Console :",IF(D10=2,"Consoles :",""))</f>
        <v/>
      </c>
      <c r="O31" s="1" t="str">
        <f>IF(D10=1,"",IF(D10=0,VLOOKUP(Poteau!F10,Données!D5:H22,5,FALSE),IF(D10=2,2*(VLOOKUP(Poteau!F10,Données!D5:H22,5,FALSE)),"")))</f>
        <v/>
      </c>
      <c r="T31" s="59" t="s">
        <v>119</v>
      </c>
      <c r="U31" s="1" t="str">
        <f>IF(D10=1,"",IF(AND(OR(D10=2,D10=0),F15&lt;15,F16&lt;15),((B15/1000)*2)+((B16/1000)*2+(B17/1000)*2),IF(AND(OR(D10=2,D10=0),F15&lt;15,F16&gt;14.9),((B15/1000)*2)+(((B16/1000)*2*1.5)+((B17/1000)*2*1.5)),IF(AND(OR(D10=2,D10=0),F15&gt;14.9,F16&gt;14.9),((B15/1000)*2*1.5)+(((B16/1000)*2*1.5)+((B17/1000)*2*1.5)),"ERREUR"))))</f>
        <v/>
      </c>
    </row>
    <row r="32" spans="1:23" ht="12.75" customHeight="1" x14ac:dyDescent="0.25">
      <c r="K32" s="15" t="str">
        <f>IF(D10=0,"Raidisseur :","")</f>
        <v/>
      </c>
      <c r="L32" s="29" t="str">
        <f>IF(D10=1,"",IF(AND(OR(D10=2,D10=0),D3=1),U31,IF(AND(OR(D10=2,D10=0),D3=0),U32,"ERREUR JP")))</f>
        <v/>
      </c>
      <c r="N32" s="15" t="str">
        <f>IF(D10=0,"Raidisseur :",IF(D10=2,"Raidisseurs :",""))</f>
        <v/>
      </c>
      <c r="O32" s="1" t="str">
        <f>IF(D10=0,VLOOKUP(F10,Données!D6:G22,4,FALSE),IF(D10=2,2*(VLOOKUP(F10,Données!D6:G22,4,FALSE)),""))</f>
        <v/>
      </c>
      <c r="T32" s="59" t="s">
        <v>120</v>
      </c>
      <c r="U32" s="62" t="str">
        <f>IF(D10=1,"",IF(AND(OR(D10=2,D10=0),F15&lt;15,F16&lt;15),((W32/1000)*2)+((B16/1000)*2+(B17/1000)*2),IF(AND(OR(D10=2,D10=0),F15&lt;15,F16&gt;14.9),((W32/1000)*2)+(((B16/1000)*2*1.5)+((B17/1000)*2*1.5)),IF(AND(OR(D10=2,D10=0),F15&gt;14.9,F16&gt;14.9),((W32/1000)*2*1.5)+(((B16/1000)*2*1.5)+((B17/1000)*2*1.5)),"ERREUR"))))</f>
        <v/>
      </c>
      <c r="V32" t="s">
        <v>122</v>
      </c>
      <c r="W32" s="7" t="str">
        <f>IF(D3=1,"",IF(AND(D10=0,D3=0),(((B3-G10)*(D15-B15))/(D17-D18))+D15,""))</f>
        <v/>
      </c>
    </row>
    <row r="33" spans="3:23" x14ac:dyDescent="0.25">
      <c r="C33" s="14" t="s">
        <v>80</v>
      </c>
      <c r="D33" s="19">
        <f>IF(O44="ERREUR HT CONSOLE","ERREUR",IF(AND(OR(D7=0,D8=0,D9=0),D3=0),"ERREUR PIED",IF(L3="",0,L3)+IF(M4="",0,M4)+IF(L10="",0,L10)+IF(I21="",0,I21)+IF(L20="",0,L20)+IF(N21="",0,N21)+IF(O31="",0,O31)+IF(O32="",0,O32)+IF(L32="",0,L32)+IF(L36="",0,L36)+IF(I38="",0,I38)+IF(I40="",0,I40)+IF(I43="",0,I43)+IF(I46="",0,I46)+IF(N44="",0,N44)+IF(N47="",0,N47)+IF(L48="",0,L48)+IF(L52="",0,L52)+IF(I52="",0,I52)+IF(K55="",0,K55)+IF(H31="",0,H31)+IF(I27="",0,I27)))</f>
        <v>11.75</v>
      </c>
      <c r="T33" s="59" t="s">
        <v>120</v>
      </c>
      <c r="U33" s="62" t="str">
        <f>IF(D10=1,"",IF(AND(OR(D10=2,D10=0),F15&lt;15,F16&lt;15),((W33/1000)*2)+((B16/1000)*2+(B17/1000)*2),IF(AND(OR(D10=2,D10=0),F15&lt;15,F16&gt;14.9),((W33/1000)*2)+(((B16/1000)*2*1.5)+((B17/1000)*2*1.5)),IF(AND(OR(D10=2,D10=0),F15&gt;14.9,F16&gt;14.9),((W33/1000)*2*1.5)+(((B16/1000)*2*1.5)+((B17/1000)*2*1.5)),"ERREUR"))))</f>
        <v/>
      </c>
      <c r="V33" t="s">
        <v>121</v>
      </c>
      <c r="W33" s="7" t="str">
        <f>IF(D3=1,"",IF(AND(D10=0,D3=0),(((B3-G10+(VLOOKUP(Poteau!F10,Données!D5:H22,2,FALSE)))*(D15-B15))/(D17-D18))+D15,""))</f>
        <v/>
      </c>
    </row>
    <row r="34" spans="3:23" x14ac:dyDescent="0.25">
      <c r="L34" s="8" t="str">
        <f>W33</f>
        <v/>
      </c>
      <c r="P34" s="82" t="str">
        <f>IF(D10=0,F10,"")</f>
        <v/>
      </c>
      <c r="Q34" s="82"/>
    </row>
    <row r="35" spans="3:23" x14ac:dyDescent="0.25">
      <c r="C35" s="14" t="s">
        <v>81</v>
      </c>
      <c r="D35" s="20">
        <f>D33*0.3</f>
        <v>3.5249999999999999</v>
      </c>
    </row>
    <row r="36" spans="3:23" ht="13.5" customHeight="1" x14ac:dyDescent="0.25">
      <c r="K36" s="15" t="str">
        <f>IF(D10=0,"Raidisseur :","")</f>
        <v/>
      </c>
      <c r="L36" s="29" t="str">
        <f>IF(D10=1,"",IF(AND(OR(D10=2,D10=0),D3=1),U31,IF(AND(OR(D10=2,D10=0),D3=0),U33,"ERREUR JP")))</f>
        <v/>
      </c>
    </row>
    <row r="37" spans="3:23" x14ac:dyDescent="0.25">
      <c r="I37" s="59" t="str">
        <f>IF(B3&gt;12,"Continuité Aile :","")</f>
        <v/>
      </c>
      <c r="K37" s="15"/>
      <c r="L37" s="18"/>
    </row>
    <row r="38" spans="3:23" x14ac:dyDescent="0.25">
      <c r="I38" s="1" t="str">
        <f>IF(AND(D17&gt;12000,F17&gt;14.9),(B17/1000)*2*1.5,IF(AND(D17&gt;12000,F17&lt;15),(B17/1000)*2,""))</f>
        <v/>
      </c>
      <c r="K38" s="80" t="str">
        <f>IF(AND(D3=0,V15=1,X53=1),W42,"")</f>
        <v/>
      </c>
      <c r="L38" s="80"/>
      <c r="W38" s="61"/>
    </row>
    <row r="39" spans="3:23" x14ac:dyDescent="0.25">
      <c r="I39" s="52" t="str">
        <f>IF(V15=0,"",IF(X53=0,"",IF(X53=1,"Continuité Ame :","")))</f>
        <v/>
      </c>
      <c r="O39" s="53" t="s">
        <v>80</v>
      </c>
      <c r="Q39" s="57">
        <f>D33</f>
        <v>11.75</v>
      </c>
    </row>
    <row r="40" spans="3:23" x14ac:dyDescent="0.25">
      <c r="I40" s="1" t="str">
        <f>IF(V15=0,"",IF(X53=0,"",IF(AND(V15=1,D3=1),U41,IF(AND(V15=1,D3=0),U42,"ERREUR JP"))))</f>
        <v/>
      </c>
      <c r="K40" s="80" t="str">
        <f>IF(AND(D3=0,V14=1,X52=1),W49,"")</f>
        <v/>
      </c>
      <c r="L40" s="80"/>
      <c r="Q40" s="53"/>
      <c r="U40" s="59" t="s">
        <v>123</v>
      </c>
    </row>
    <row r="41" spans="3:23" x14ac:dyDescent="0.25">
      <c r="K41" s="15"/>
      <c r="L41" s="1"/>
      <c r="P41" s="52" t="s">
        <v>81</v>
      </c>
      <c r="Q41" s="58">
        <f>D35</f>
        <v>3.5249999999999999</v>
      </c>
      <c r="T41" s="59" t="s">
        <v>119</v>
      </c>
      <c r="U41" s="29" t="str">
        <f>IF(AND(V14=1,F6&gt;11.9,F15&gt;11.9),(B15/1000)*2*1.5,IF(AND(V14=1,F6&lt;12.1,F15&gt;11.9),(B15/1000)*2,IF(AND(V14=1,F6&gt;11.9,F15&lt;12.1),(B15/1000)*2,IF(AND(V14=1,F6&lt;12.1,F15&lt;12.1),(B15/1000)*2,""))))</f>
        <v/>
      </c>
    </row>
    <row r="42" spans="3:23" x14ac:dyDescent="0.25">
      <c r="I42" s="14" t="str">
        <f>IF(V14=0,"",IF(X52=0,"",IF(X52=1,"Continuité Ame :","")))</f>
        <v/>
      </c>
      <c r="K42" s="15"/>
      <c r="L42" s="1"/>
      <c r="T42" s="59" t="s">
        <v>120</v>
      </c>
      <c r="U42" s="63" t="str">
        <f>IF(AND(V14=1,F6&gt;11.9,F15&gt;11.9),(W42/1000)*2*1.5,IF(AND(V14=1,F6&lt;12.1,F15&gt;11.9),(W42/1000)*2,IF(AND(V14=1,F6&gt;11.9,F15&lt;12.1),(W42/1000)*2,IF(AND(V14=1,F6&lt;12.1,F15&lt;12.1),(W42/1000)*2,""))))</f>
        <v/>
      </c>
      <c r="V42" t="s">
        <v>125</v>
      </c>
      <c r="W42" s="7">
        <f>IF(D3=1,"",IF(D3=0,(((B3-12000)*(D15-B15))/(D17-D18))+D15,""))</f>
        <v>1284.7291886195994</v>
      </c>
    </row>
    <row r="43" spans="3:23" x14ac:dyDescent="0.25">
      <c r="E43" s="16"/>
      <c r="F43" s="16"/>
      <c r="G43" s="16"/>
      <c r="I43" s="29" t="str">
        <f>IF(V14=0,"",IF(X52=0,"",IF(X52=1,IF(AND(V14=1,D3=1),U47,IF(AND(V14=1,D3=0),U49,"ERREUR JP")))))</f>
        <v/>
      </c>
      <c r="N43" t="str">
        <f>IF(D16&gt;12000,"Continuité Aile :","")</f>
        <v/>
      </c>
    </row>
    <row r="44" spans="3:23" x14ac:dyDescent="0.25">
      <c r="N44" s="1" t="str">
        <f>IF(AND(D16&gt;12000,F16&gt;14.9),(B16/1000)*2*1.5,IF(AND(D16&gt;12000,F16&lt;15),(B16/1000)*2,""))</f>
        <v/>
      </c>
      <c r="O44" s="78" t="str">
        <f>IF(D10=1,"",IF(G10&gt;((B3*1000)-D18),"ERREUR HT CONSOLE",G10))</f>
        <v/>
      </c>
      <c r="P44" s="78"/>
      <c r="Q44" s="78"/>
    </row>
    <row r="45" spans="3:23" x14ac:dyDescent="0.25">
      <c r="H45" s="15"/>
      <c r="I45" s="64" t="str">
        <f>IF(B3&gt;6.0009,"Continuité Aile :","")</f>
        <v/>
      </c>
    </row>
    <row r="46" spans="3:23" x14ac:dyDescent="0.25">
      <c r="I46" s="1" t="str">
        <f>IF(AND(D17&gt;6000.9,F17&gt;14.9),(B17/1000)*2*1.5,IF(AND(D17&gt;6000.9,F17&lt;15.1),(B17/1000)*2,""))</f>
        <v/>
      </c>
      <c r="N46" t="str">
        <f>IF(D16&gt;6000,"Continuité Aile :","")</f>
        <v/>
      </c>
      <c r="U46" s="59" t="s">
        <v>124</v>
      </c>
    </row>
    <row r="47" spans="3:23" x14ac:dyDescent="0.25">
      <c r="N47" s="1" t="str">
        <f>IF(AND(D16&gt;6000,F16&gt;14.9),(B16/1000)*2*1.5,IF(AND(D16&gt;6000,F16&lt;15.1),(B16/1000)*2,""))</f>
        <v/>
      </c>
      <c r="T47" s="59" t="s">
        <v>119</v>
      </c>
      <c r="U47" s="29" t="str">
        <f>IF(AND(V14=1,F6&gt;11.9,F15&gt;11.9),(B15/1000)*2*1.5,IF(AND(V14=1,F6&lt;12.1,F15&gt;11.9),(B15/1000)*2,IF(AND(V14=1,F6&gt;11.9,F15&lt;12.1),(B15/1000)*2,IF(AND(V14=1,F6&lt;12.1,F15&lt;12.1),(B15/1000)*2,""))))</f>
        <v/>
      </c>
    </row>
    <row r="48" spans="3:23" ht="3.75" customHeight="1" x14ac:dyDescent="0.25">
      <c r="K48" s="77" t="str">
        <f>IF(D7=0,"Raidisseur :","")</f>
        <v/>
      </c>
      <c r="L48" s="76" t="str">
        <f>IF(D7=1,"",IF(AND(D7=0,F15&lt;15,F16&lt;15),((B15/1000)*2)+((B16/1000)*2+(B17/1000)*2),IF(AND(D7=0,F15&lt;15,F16&gt;14.9),((B15/1000)*2)+(((B16/1000)*2*1.5)+((B17/1000)*2*1.5)),IF(AND(D7=0,F15&gt;14.9,F16&gt;14.9),((B15/1000)*2*1.5)+(((B16/1000)*2*1.5)+((B17/1000)*2*1.5)),"ERREUR"))))</f>
        <v/>
      </c>
    </row>
    <row r="49" spans="5:24" ht="11.25" customHeight="1" x14ac:dyDescent="0.25">
      <c r="K49" s="77"/>
      <c r="L49" s="76"/>
      <c r="T49" s="59" t="s">
        <v>120</v>
      </c>
      <c r="U49" s="63" t="str">
        <f>IF(AND(V14=1,F6&gt;11.9,F15&gt;11.9),(W49/1000)*2*1.5,IF(AND(V14=1,F6&lt;12.1,F15&gt;11.9),(W49/1000)*2,IF(AND(V14=1,F6&gt;11.9,F15&lt;12.1),(W49/1000)*2,IF(AND(V14=1,F6&lt;12.1,F15&lt;12.1),(W49/1000)*2,""))))</f>
        <v/>
      </c>
      <c r="V49" t="s">
        <v>125</v>
      </c>
      <c r="W49" s="7">
        <f>IF(D3=1,"",IF(D3=0,(((B3-6000)*(D15-B15))/(D17-D18))+D15,""))</f>
        <v>842.1580611169652</v>
      </c>
    </row>
    <row r="50" spans="5:24" x14ac:dyDescent="0.25">
      <c r="E50" t="s">
        <v>112</v>
      </c>
    </row>
    <row r="51" spans="5:24" ht="12.75" customHeight="1" x14ac:dyDescent="0.25">
      <c r="E51" t="s">
        <v>113</v>
      </c>
      <c r="F51" s="48">
        <f>IF(AND(D3=0,F15&lt;12),(D15/1000)*2,IF(AND(D3=0,F15&gt;11.9),(D15/1000)*2*1.5,IF(AND(D3=1,D4=0,F15&lt;12),(F4/1000)*2,IF(AND(D3=1,D4=0,F15&gt;11.9),(F4/1000)*2*1.5,IF(AND(D3=1,D4=1,F15&lt;12),(B15/1000)*2,IF(AND(D3=1,D4=1,F15&gt;11.9),(B15/1000)*2*1.5,"Erreur JP"))))))</f>
        <v>0.8</v>
      </c>
      <c r="I51" t="str">
        <f>IF(D8=0,"Raid. Biais :","")</f>
        <v/>
      </c>
      <c r="L51" t="str">
        <f>IF(D9=0,"Raid. Vert. :","")</f>
        <v/>
      </c>
      <c r="N51" s="17" t="str">
        <f>IF(D8=0,"Lg Raid. Biais","")</f>
        <v/>
      </c>
      <c r="O51" s="46" t="str">
        <f>IF(D8=0,"Ht Raid. :","")</f>
        <v/>
      </c>
    </row>
    <row r="52" spans="5:24" ht="12" customHeight="1" x14ac:dyDescent="0.25">
      <c r="E52" t="s">
        <v>114</v>
      </c>
      <c r="F52" s="48">
        <f>IF(AND(D3=1,D4=0),0,IF(AND(D3=0,D4=0),"ERREUR FORME PRS",IF(AND(D3=0,D4=1),(B16/1000)*2*1.5,IF(AND(D3=1,D4=1,F16&lt;15),(B16/1000)*2,IF(AND(D3=1,D4=1,F16&gt;14.9),(B16/1000)*2*1.5,"")))))</f>
        <v>0.75</v>
      </c>
      <c r="I52" s="18" t="str">
        <f>IF(AND(D8=0,F15&gt;15),((N52/1000)*4*1.5)+(((B16/2000)*8)*1.5),IF(AND(D8=0,F15&lt;15),((N52/1000)*4)+((B16/2000)*8)*1.5,""))</f>
        <v/>
      </c>
      <c r="K52" s="9">
        <f>IF(D3=0,D15,"")</f>
        <v>400</v>
      </c>
      <c r="L52" s="22" t="str">
        <f>IF(D9=1,"",IF(AND(D9=0,F15&gt;15,D7=1),((F9/1000)*4*1.5)+(((B16/2000)*8)*1.5),IF(AND(D9=0,F15&lt;15,D7=1),((F9/1000)*4)+((B16/2000)*8)*1.5,IF(AND(D9=0,F15&gt;15,D7=0),((F9/1000)*4*1.5)+(((B16/2000)*8)*1.5)+((B16/2000)*4),IF(AND(D9=0,F15&lt;15,D7=0),((F9/1000)*4)+(((B16/2000)*8)*1.5)+((B16/2000)*4),"")))))</f>
        <v/>
      </c>
      <c r="N52" s="13" t="str">
        <f>IF(D8=0,ROUND(Données!P5,0),"")</f>
        <v/>
      </c>
      <c r="O52" s="13" t="str">
        <f>IF(D8=0,F9,"")</f>
        <v/>
      </c>
      <c r="U52" t="s">
        <v>128</v>
      </c>
      <c r="X52">
        <f>IF(G10&gt;6000,1,0)</f>
        <v>1</v>
      </c>
    </row>
    <row r="53" spans="5:24" ht="10.5" customHeight="1" x14ac:dyDescent="0.25">
      <c r="E53" t="s">
        <v>115</v>
      </c>
      <c r="F53" s="48">
        <f>IF(AND(D3=1,D4=0),0,IF(AND(D3=0,D4=0),"ERREUR FORME PRS",IF(AND(D3=0,D4=1),(B17/1000)*2*1.5,IF(AND(D3=1,D4=1,F17&lt;15),(B17/1000)*2,IF(AND(D3=1,D4=1,F17&gt;14.9),(B17/1000)*2*1.5,"")))))</f>
        <v>0.75</v>
      </c>
      <c r="U53" t="s">
        <v>129</v>
      </c>
      <c r="X53">
        <f>IF(G10&gt;12000,1,0)</f>
        <v>0</v>
      </c>
    </row>
    <row r="55" spans="5:24" ht="12.75" customHeight="1" x14ac:dyDescent="0.25">
      <c r="J55" s="15" t="s">
        <v>75</v>
      </c>
      <c r="K55" s="1">
        <f>F51+F52+F53</f>
        <v>2.2999999999999998</v>
      </c>
      <c r="L55" s="9" t="str">
        <f>IF(D3=0,"",IF(AND(D3=1,D4=1),"",IF(AND(D3=1,D4=0),F4,"")))</f>
        <v/>
      </c>
    </row>
  </sheetData>
  <dataConsolidate/>
  <mergeCells count="10">
    <mergeCell ref="I22:I25"/>
    <mergeCell ref="L48:L49"/>
    <mergeCell ref="K48:K49"/>
    <mergeCell ref="O44:Q44"/>
    <mergeCell ref="H30:I30"/>
    <mergeCell ref="H26:I26"/>
    <mergeCell ref="K40:L40"/>
    <mergeCell ref="K28:M28"/>
    <mergeCell ref="K38:L38"/>
    <mergeCell ref="P34:Q34"/>
  </mergeCells>
  <conditionalFormatting sqref="M4">
    <cfRule type="expression" dxfId="49" priority="27">
      <formula>$D$11=0</formula>
    </cfRule>
  </conditionalFormatting>
  <conditionalFormatting sqref="L3">
    <cfRule type="expression" dxfId="48" priority="26">
      <formula>$D$5=0</formula>
    </cfRule>
  </conditionalFormatting>
  <conditionalFormatting sqref="L10">
    <cfRule type="expression" dxfId="47" priority="25">
      <formula>$B$3&gt;0</formula>
    </cfRule>
  </conditionalFormatting>
  <conditionalFormatting sqref="K55">
    <cfRule type="expression" dxfId="46" priority="24">
      <formula>$B$3&gt;0</formula>
    </cfRule>
  </conditionalFormatting>
  <conditionalFormatting sqref="O32">
    <cfRule type="expression" dxfId="45" priority="22">
      <formula>OR(D10=0,D10=2)</formula>
    </cfRule>
  </conditionalFormatting>
  <conditionalFormatting sqref="L32">
    <cfRule type="expression" dxfId="44" priority="21">
      <formula>OR(D10=0,D10=2)</formula>
    </cfRule>
  </conditionalFormatting>
  <conditionalFormatting sqref="L20">
    <cfRule type="expression" dxfId="43" priority="18">
      <formula>$B$3&gt;0</formula>
    </cfRule>
  </conditionalFormatting>
  <conditionalFormatting sqref="L48">
    <cfRule type="expression" dxfId="42" priority="17">
      <formula>$D$7=0</formula>
    </cfRule>
  </conditionalFormatting>
  <conditionalFormatting sqref="L52">
    <cfRule type="expression" dxfId="41" priority="16">
      <formula>$L$51="Raid. Vert. :"</formula>
    </cfRule>
  </conditionalFormatting>
  <conditionalFormatting sqref="I46">
    <cfRule type="expression" dxfId="40" priority="15">
      <formula>$D$17&gt;6000</formula>
    </cfRule>
  </conditionalFormatting>
  <conditionalFormatting sqref="I38">
    <cfRule type="expression" dxfId="39" priority="14">
      <formula>$D$17&gt;12000</formula>
    </cfRule>
  </conditionalFormatting>
  <conditionalFormatting sqref="N47">
    <cfRule type="expression" dxfId="38" priority="13">
      <formula>$D$16&gt;6000</formula>
    </cfRule>
  </conditionalFormatting>
  <conditionalFormatting sqref="N44">
    <cfRule type="expression" dxfId="37" priority="12">
      <formula>$D$16&gt;12000</formula>
    </cfRule>
  </conditionalFormatting>
  <conditionalFormatting sqref="N21">
    <cfRule type="expression" dxfId="36" priority="11">
      <formula>$V$13=1</formula>
    </cfRule>
  </conditionalFormatting>
  <conditionalFormatting sqref="I21">
    <cfRule type="expression" dxfId="35" priority="10">
      <formula>$D$6=0</formula>
    </cfRule>
  </conditionalFormatting>
  <conditionalFormatting sqref="I52">
    <cfRule type="expression" dxfId="34" priority="9">
      <formula>$D$8=0</formula>
    </cfRule>
  </conditionalFormatting>
  <conditionalFormatting sqref="O31">
    <cfRule type="expression" dxfId="33" priority="6">
      <formula>OR(D10=0,D10=2)</formula>
    </cfRule>
  </conditionalFormatting>
  <conditionalFormatting sqref="H31">
    <cfRule type="expression" dxfId="32" priority="41">
      <formula>$H$30="Continuité Ame :"</formula>
    </cfRule>
  </conditionalFormatting>
  <conditionalFormatting sqref="I27">
    <cfRule type="expression" dxfId="31" priority="4">
      <formula>$H$26="Continuité Ame :"</formula>
    </cfRule>
  </conditionalFormatting>
  <conditionalFormatting sqref="L36">
    <cfRule type="expression" dxfId="30" priority="3">
      <formula>OR(D10=0,D10=2)</formula>
    </cfRule>
  </conditionalFormatting>
  <conditionalFormatting sqref="I43">
    <cfRule type="expression" dxfId="29" priority="42">
      <formula>$I$42="Continuité Ame :"</formula>
    </cfRule>
  </conditionalFormatting>
  <conditionalFormatting sqref="I40">
    <cfRule type="expression" dxfId="28" priority="43">
      <formula>$I$39="Continuité Ame :"</formula>
    </cfRule>
  </conditionalFormatting>
  <pageMargins left="0.25" right="0.25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87FD1650-0F5F-405A-AD05-5DFC970764FC}">
          <x14:formula1>
            <xm:f>Données!$D$5:$D$22</xm:f>
          </x14:formula1>
          <xm:sqref>F10</xm:sqref>
        </x14:dataValidation>
        <x14:dataValidation type="list" allowBlank="1" showInputMessage="1" showErrorMessage="1" xr:uid="{0926C53C-675F-4C1A-A11F-808FB4A9C9D9}">
          <x14:formula1>
            <xm:f>Données!$J$5:$J$29</xm:f>
          </x14:formula1>
          <xm:sqref>F5</xm:sqref>
        </x14:dataValidation>
        <x14:dataValidation type="list" allowBlank="1" showInputMessage="1" showErrorMessage="1" xr:uid="{B0D976EC-3640-4A6E-94BC-79CA170592C1}">
          <x14:formula1>
            <xm:f>Traverse!$AA$4:$AA$5</xm:f>
          </x14:formula1>
          <xm:sqref>D3 D4 D5 D6 D7 D8 D9 D11</xm:sqref>
        </x14:dataValidation>
        <x14:dataValidation type="list" allowBlank="1" showInputMessage="1" showErrorMessage="1" xr:uid="{AE8217C6-1C27-4E3D-B950-B5966BB100A4}">
          <x14:formula1>
            <xm:f>Données!$B$10:$B$12</xm:f>
          </x14:formula1>
          <xm:sqref>D10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88B97-418B-4BA2-9DB5-8A7C434A830A}">
  <sheetPr codeName="Feuil3"/>
  <dimension ref="A1:AC49"/>
  <sheetViews>
    <sheetView tabSelected="1" topLeftCell="G1" zoomScaleNormal="100" workbookViewId="0">
      <selection activeCell="AG11" sqref="AG11"/>
    </sheetView>
  </sheetViews>
  <sheetFormatPr baseColWidth="10" defaultRowHeight="15" x14ac:dyDescent="0.25"/>
  <cols>
    <col min="1" max="1" width="21.42578125" customWidth="1"/>
    <col min="3" max="3" width="27.7109375" customWidth="1"/>
    <col min="6" max="6" width="13.140625" customWidth="1"/>
    <col min="8" max="8" width="4.42578125" customWidth="1"/>
    <col min="9" max="9" width="9.5703125" customWidth="1"/>
    <col min="10" max="10" width="10.85546875" customWidth="1"/>
    <col min="13" max="13" width="4.28515625" customWidth="1"/>
    <col min="15" max="15" width="4" customWidth="1"/>
    <col min="18" max="18" width="3.28515625" customWidth="1"/>
    <col min="20" max="20" width="10.42578125" customWidth="1"/>
    <col min="22" max="22" width="10.140625" customWidth="1"/>
    <col min="27" max="27" width="6.85546875" customWidth="1"/>
  </cols>
  <sheetData>
    <row r="1" spans="1:29" ht="18.75" x14ac:dyDescent="0.3">
      <c r="A1" s="3" t="s">
        <v>7</v>
      </c>
      <c r="B1" s="3"/>
      <c r="C1" s="3"/>
      <c r="N1" s="85">
        <f>B3</f>
        <v>8.25</v>
      </c>
      <c r="O1" s="85"/>
      <c r="P1" s="85"/>
      <c r="Y1">
        <v>0</v>
      </c>
      <c r="AC1">
        <v>4</v>
      </c>
    </row>
    <row r="2" spans="1:29" x14ac:dyDescent="0.25">
      <c r="N2" s="70" t="str">
        <f>IF(D10=0,"Continuité Aile :","")</f>
        <v/>
      </c>
      <c r="Y2">
        <v>1</v>
      </c>
    </row>
    <row r="3" spans="1:29" x14ac:dyDescent="0.25">
      <c r="A3" t="s">
        <v>0</v>
      </c>
      <c r="B3" s="21">
        <v>8.25</v>
      </c>
      <c r="C3" t="s">
        <v>82</v>
      </c>
      <c r="D3" s="1">
        <v>0</v>
      </c>
      <c r="J3" s="15" t="str">
        <f>IF(OR(D4=0,D4=2),"Raidisseur :","")</f>
        <v>Raidisseur :</v>
      </c>
      <c r="L3" s="14" t="str">
        <f>IF(OR(D3=1,D3=2,AND(D3=0,D7=0)),"Continuité Ame :","")</f>
        <v/>
      </c>
      <c r="N3" s="68" t="str">
        <f>IF(AND(D10=0,F25&gt;14.9),(B25/1000)*2*1.5,IF(AND(D10=0,F25&lt;15),(B25/1000)*2,""))</f>
        <v/>
      </c>
      <c r="P3" s="14" t="str">
        <f>IF(AB5=0,"Continuité Ame :","")</f>
        <v>Continuité Ame :</v>
      </c>
      <c r="S3" s="14" t="str">
        <f>IF(D3=2,"Continuité Ame :","")</f>
        <v/>
      </c>
      <c r="T3" s="23" t="str">
        <f>IF(AND(D3=2,D10=0),"Cont. Aile :","")</f>
        <v/>
      </c>
      <c r="U3" s="15" t="str">
        <f>IF(D6=0,"Raidisseur :","")</f>
        <v/>
      </c>
      <c r="Y3">
        <v>2</v>
      </c>
      <c r="AA3" t="s">
        <v>99</v>
      </c>
    </row>
    <row r="4" spans="1:29" x14ac:dyDescent="0.25">
      <c r="A4" t="s">
        <v>1</v>
      </c>
      <c r="B4" s="2">
        <f>B3*0.12</f>
        <v>0.99</v>
      </c>
      <c r="C4" t="s">
        <v>83</v>
      </c>
      <c r="D4" s="1">
        <v>0</v>
      </c>
      <c r="E4" s="10">
        <v>180</v>
      </c>
      <c r="F4" s="11">
        <v>90</v>
      </c>
      <c r="G4" s="12">
        <v>10</v>
      </c>
      <c r="J4" s="1">
        <f>IF(D4=1,"",IF(AND(OR(D4=0,D4=2),G4&gt;14.9),(((E4/1000)*2)+((F4/1000)*2))*1.5,IF(AND(OR(D4=0,D4=2),G4&lt;15),(((E4/1000)*2)+((F4/1000)*2)),"")))</f>
        <v>0.54</v>
      </c>
      <c r="L4" s="29" t="str">
        <f>IF(AND(OR(D3=1,D3=2,AND(D3=0,D7=0),F15&gt;14.9)),(B15/1000)*2*1.5,IF(AND(OR(D3=1,D3=2,AND(D3=0,D7=0)),F15&lt;14.9),(B15/1000)*2,IF(AND(D3=0,D7=1),"","")))</f>
        <v/>
      </c>
      <c r="O4" s="32"/>
      <c r="P4" s="29">
        <f>IF(AND(D3&lt;3,AB5=0,F15&gt;14.9),(B15/1000)*2*1.5,IF(AND(D3&lt;3,AB5=0,F15&lt;14.9),(B15/1000)*2,IF(AND(D3=3,AB5=0,F15&gt;14.9),((Z28/1000)*2*1.5),IF(AND(D3=3,AB5=0,F15&lt;14.9),((Z28/1000)*2),""))))</f>
        <v>1.3</v>
      </c>
      <c r="S4" s="29" t="str">
        <f>IF(AND(D3=2,F15&gt;14.9),(B15/1000)*2*1.5,IF(AND(D3=2,F15&lt;14.9),(B15/1000)*2,""))</f>
        <v/>
      </c>
      <c r="T4" s="68" t="str">
        <f>IF(AND(D3=2,D10=0,F25&gt;14.9),(B25/1000)*2*1.5,IF(AND(D3=2,D10=0,F25&lt;15),(B25/1000)*2,""))</f>
        <v/>
      </c>
      <c r="U4" s="1" t="str">
        <f>IF(AND(D6=0,G6&gt;14.9),(((E6/1000)*2)+((F6/1000)*2))*1.5,IF(AND(D6=0,G6&lt;15),(((E6/1000)*2)+((F6/1000)*2)),""))</f>
        <v/>
      </c>
      <c r="Y4">
        <v>3</v>
      </c>
      <c r="AA4">
        <v>0</v>
      </c>
    </row>
    <row r="5" spans="1:29" x14ac:dyDescent="0.25">
      <c r="A5" t="s">
        <v>2</v>
      </c>
      <c r="B5" s="2">
        <f>B3*0.055</f>
        <v>0.45374999999999999</v>
      </c>
      <c r="C5" t="s">
        <v>84</v>
      </c>
      <c r="D5" s="1">
        <v>0</v>
      </c>
      <c r="E5" s="10">
        <v>180</v>
      </c>
      <c r="F5" s="11">
        <v>90</v>
      </c>
      <c r="G5" s="12">
        <v>10</v>
      </c>
      <c r="J5" s="38">
        <f>IF(OR(D4=2,D4=0),E4,"")</f>
        <v>180</v>
      </c>
      <c r="K5" s="37">
        <f>IF(OR(D4=2,D4=0),G4,"")</f>
        <v>10</v>
      </c>
      <c r="L5" s="14"/>
      <c r="M5" s="14"/>
      <c r="N5" s="14" t="str">
        <f>IF(OR(AND(D10=0,(D18-D16)&gt;6000),AND(D10=1,D18&gt;6000)),"Continuité Aile :","")</f>
        <v>Continuité Aile :</v>
      </c>
      <c r="Q5" s="14" t="str">
        <f>IF(OR(AND(D10=1,D18&gt;12000),AND(D10=0,(D18-D16)&gt;12000)),"Continuité Aile :","")</f>
        <v/>
      </c>
      <c r="S5" s="23"/>
      <c r="U5" s="39" t="str">
        <f>IF(D6=1,"",E6)</f>
        <v/>
      </c>
      <c r="AA5">
        <v>1</v>
      </c>
      <c r="AB5">
        <f>IF(AND(OR(D3=0,D3=3),(B3*1000)&gt;6000),0,IF(AND(D3=1,((B3*1000)-D16)&gt;6000),0,IF(AND(D3=2,((B3*1000)-(2*D16)&gt;6000)),0,1)))</f>
        <v>0</v>
      </c>
      <c r="AC5" t="s">
        <v>100</v>
      </c>
    </row>
    <row r="6" spans="1:29" x14ac:dyDescent="0.25">
      <c r="A6" t="s">
        <v>3</v>
      </c>
      <c r="B6" s="2">
        <f>B3*0.24</f>
        <v>1.98</v>
      </c>
      <c r="C6" t="s">
        <v>85</v>
      </c>
      <c r="D6" s="1">
        <v>1</v>
      </c>
      <c r="E6" s="10">
        <v>0</v>
      </c>
      <c r="F6" s="11">
        <v>0</v>
      </c>
      <c r="G6" s="12">
        <v>0</v>
      </c>
      <c r="L6" s="1"/>
      <c r="M6" s="32"/>
      <c r="N6" s="1">
        <f>IF(AND(AB9=0,F18&gt;14.9),(B18/1000)*2*1.5,IF(AND(AB9=0,F18&lt;15),(B18/1000)*2,""))</f>
        <v>0.3</v>
      </c>
      <c r="P6" s="32"/>
      <c r="Q6" s="1" t="str">
        <f>IF(AND(AB12=0,F18&gt;14.9),(B18/1000)*2*1.5,IF(AND(AB12=0,F18&lt;15),(B18/1000)*2,""))</f>
        <v/>
      </c>
      <c r="S6" s="1"/>
      <c r="T6" s="37" t="str">
        <f>IF(D6=0,G6,"")</f>
        <v/>
      </c>
      <c r="AA6">
        <v>2</v>
      </c>
      <c r="AB6">
        <f>IF(AND(OR(D3=0,D3=3),(B3*1000)&gt;12000),0,IF(AND(D3=1,((B3*1000)-D16)&gt;12000),0,IF(AND(D3=2,((B3*1000)-(2*D16)&gt;12000)),0,1)))</f>
        <v>1</v>
      </c>
      <c r="AC6" t="s">
        <v>101</v>
      </c>
    </row>
    <row r="7" spans="1:29" x14ac:dyDescent="0.25">
      <c r="A7" t="s">
        <v>5</v>
      </c>
      <c r="B7" s="2">
        <f>B3*0.025</f>
        <v>0.20625000000000002</v>
      </c>
      <c r="C7" t="s">
        <v>15</v>
      </c>
      <c r="D7" s="1">
        <v>1</v>
      </c>
      <c r="E7" t="s">
        <v>16</v>
      </c>
      <c r="F7" s="4">
        <v>0</v>
      </c>
      <c r="K7" s="40">
        <f>IF(OR(D4=2,D4=0),F4,"")</f>
        <v>90</v>
      </c>
      <c r="L7" s="42"/>
      <c r="Q7" s="44" t="str">
        <f>"Aile : "&amp;TEXT(B18,"0")&amp;"x"&amp;TEXT(F18,"0")</f>
        <v>Aile : 150x12</v>
      </c>
      <c r="S7" s="44"/>
      <c r="T7" s="39" t="str">
        <f>IF(D6=1,"",F6)</f>
        <v/>
      </c>
      <c r="AA7">
        <v>3</v>
      </c>
    </row>
    <row r="8" spans="1:29" x14ac:dyDescent="0.25">
      <c r="A8" t="s">
        <v>4</v>
      </c>
      <c r="B8" s="2">
        <v>0.5</v>
      </c>
      <c r="C8" t="s">
        <v>98</v>
      </c>
      <c r="D8" s="1">
        <v>2</v>
      </c>
      <c r="E8" t="s">
        <v>108</v>
      </c>
      <c r="I8" s="43">
        <f>B19</f>
        <v>15</v>
      </c>
      <c r="K8" s="69" t="str">
        <f>IF(D10=0,"Aile Renf : "&amp;TEXT(B25,"0")&amp;"x"&amp;TEXT(F25,"0"),"")</f>
        <v/>
      </c>
      <c r="T8" s="69" t="str">
        <f>IF(AND(D3=2,D10=0),"Aile Renf : "&amp;TEXT(B25,"0")&amp;"x"&amp;TEXT(F25,"0"),"")</f>
        <v/>
      </c>
      <c r="V8" s="74">
        <f>B19</f>
        <v>15</v>
      </c>
      <c r="AA8">
        <v>4</v>
      </c>
      <c r="AB8">
        <f>IF(AND(D17&gt;6000,D3&lt;3),0,1)</f>
        <v>0</v>
      </c>
      <c r="AC8" t="s">
        <v>86</v>
      </c>
    </row>
    <row r="9" spans="1:29" x14ac:dyDescent="0.25">
      <c r="A9" t="s">
        <v>6</v>
      </c>
      <c r="B9" s="2">
        <v>0.25</v>
      </c>
      <c r="C9" t="s">
        <v>116</v>
      </c>
      <c r="D9" s="1">
        <v>1</v>
      </c>
      <c r="E9" s="10">
        <v>0</v>
      </c>
      <c r="F9" s="11">
        <v>0</v>
      </c>
      <c r="G9" s="12">
        <v>0</v>
      </c>
      <c r="AA9">
        <v>5</v>
      </c>
      <c r="AB9">
        <f>IF(OR(AND(D10=0,(D18-D16)&gt;6000),AND(D10=1,D18&gt;6000)),0,1)</f>
        <v>0</v>
      </c>
      <c r="AC9" t="s">
        <v>87</v>
      </c>
    </row>
    <row r="10" spans="1:29" x14ac:dyDescent="0.25">
      <c r="C10" t="s">
        <v>130</v>
      </c>
      <c r="D10" s="67">
        <v>1</v>
      </c>
      <c r="F10" s="5"/>
      <c r="I10" s="26" t="s">
        <v>75</v>
      </c>
      <c r="K10" s="42" t="str">
        <f>IF(AND(D3=0,D7=1),"Ame : "&amp;TEXT(B15,"0")&amp;"x"&amp;TEXT(F15,"0"),IF(AND(D3=0,D7=0),"Ame renforcée : "&amp;TEXT(B15,"0")&amp;"x"&amp;TEXT(F7,"0"),IF(AND(D7=1,OR(D3=1,D3=2)),"Ame : "&amp;TEXT(B16,"0")&amp;"x"&amp;TEXT(F15,"0"),IF(D3=3,"Ame : "&amp;TEXT(B21,"0")&amp;"-"&amp;TEXT(B22,"0")&amp;"x"&amp;TEXT(F15,"0"),IF(AND(D7=0,OR(D3=1,D3=2)),"Ame renforcée : "&amp;TEXT(B16,"0")&amp;"x"&amp;TEXT(F16,"0"),"Erreur")))))</f>
        <v>Ame : 650x5</v>
      </c>
      <c r="P10" s="44" t="str">
        <f>IF(AND(D3=0,D7=0),"Ame : "&amp;TEXT(B15,"0")&amp;"x"&amp;TEXT(F15,"0"),"")</f>
        <v/>
      </c>
      <c r="T10" s="42" t="str">
        <f>IF(AND(D7=1,D3=2),"Ame : "&amp;TEXT(B16,"0")&amp;"x"&amp;TEXT(F15,"0"),IF(AND(D7=0,D3=2),"Ame renforcée : "&amp;TEXT(B16,"0")&amp;"x"&amp;TEXT(F16,"0"),""))</f>
        <v/>
      </c>
      <c r="V10" s="15" t="s">
        <v>75</v>
      </c>
      <c r="AA10">
        <v>6</v>
      </c>
    </row>
    <row r="11" spans="1:29" x14ac:dyDescent="0.25">
      <c r="D11" s="1"/>
      <c r="H11" s="32"/>
      <c r="I11" s="29">
        <f>AA41+AA42+AA43</f>
        <v>1.9000000000000001</v>
      </c>
      <c r="J11" s="25" t="str">
        <f>IF(D3=0,"",IF(OR(D3=1,D3=2,),B16,IF(D3=3,B21,"")))</f>
        <v/>
      </c>
      <c r="N11" s="25">
        <f>IF(D3=3,"",B15)</f>
        <v>650</v>
      </c>
      <c r="O11" s="84" t="str">
        <f>IF(AND(AB5=0,D3=3),Z28,"")</f>
        <v/>
      </c>
      <c r="P11" s="45" t="str">
        <f>IF(OR(D3=3,D3=0,),"",IF(OR(D3=1,D3=2),"Ame : "&amp;TEXT(B15,"0")&amp;"x"&amp;TEXT(F15,"0")))</f>
        <v/>
      </c>
      <c r="Q11" s="84" t="str">
        <f>IF(AND(AB6=0,D3=3),Z30,"")</f>
        <v/>
      </c>
      <c r="U11" s="13" t="str">
        <f>IF(D3=3,B22,"")</f>
        <v/>
      </c>
      <c r="V11" s="29">
        <f>AA46+AA47+AA48</f>
        <v>1.9000000000000001</v>
      </c>
      <c r="AA11">
        <v>7</v>
      </c>
      <c r="AB11">
        <f>IF(AND(D17&gt;12000,D3&lt;3),0,1)</f>
        <v>1</v>
      </c>
      <c r="AC11" t="s">
        <v>88</v>
      </c>
    </row>
    <row r="12" spans="1:29" x14ac:dyDescent="0.25">
      <c r="D12" s="1"/>
      <c r="K12" s="8" t="str">
        <f>IF(OR(D3=0,D3=3),"",D16)</f>
        <v/>
      </c>
      <c r="M12" s="86" t="str">
        <f>IF(AND(D9=0,OR(D3=1,D3=2)),"  "&amp;E9&amp;"mm","")</f>
        <v/>
      </c>
      <c r="N12" s="86"/>
      <c r="O12" s="84"/>
      <c r="Q12" s="84"/>
      <c r="S12" s="55" t="str">
        <f>IF(AND(D9=0,D3=2),"  "&amp;E9&amp;"mm","")</f>
        <v/>
      </c>
      <c r="T12" s="54"/>
      <c r="AA12">
        <v>8</v>
      </c>
      <c r="AB12">
        <f>IF(OR(AND(D10=0,(D18-D16)&gt;12000),AND(D10=1,D18&gt;12000)),0,1)</f>
        <v>1</v>
      </c>
      <c r="AC12" t="s">
        <v>94</v>
      </c>
    </row>
    <row r="13" spans="1:29" ht="18.75" x14ac:dyDescent="0.3">
      <c r="A13" s="3" t="s">
        <v>39</v>
      </c>
      <c r="N13" s="65"/>
      <c r="O13" s="84"/>
      <c r="Q13" s="84"/>
    </row>
    <row r="14" spans="1:29" x14ac:dyDescent="0.25">
      <c r="K14" s="38" t="str">
        <f>IF(D4=2,F4,"")</f>
        <v/>
      </c>
      <c r="P14" s="45" t="str">
        <f>"Aile : "&amp;TEXT(B17,"0")&amp;"x"&amp;TEXT(F17,"0")</f>
        <v>Aile : 150x12</v>
      </c>
      <c r="T14" s="39">
        <f>IF(AND(OR(D3=0,D3=1),D5=0),F5,"")</f>
        <v>90</v>
      </c>
      <c r="V14" s="38" t="str">
        <f>IF(AND(D3=3,D5=0),F5,"")</f>
        <v/>
      </c>
    </row>
    <row r="15" spans="1:29" x14ac:dyDescent="0.25">
      <c r="A15" t="str">
        <f>IF(D3=3,"","Hauteur Ame constante =")</f>
        <v>Hauteur Ame constante =</v>
      </c>
      <c r="B15" s="6">
        <v>650</v>
      </c>
      <c r="D15" s="6"/>
      <c r="E15" t="str">
        <f>IF(D3=3,"","Ep. Ame =")</f>
        <v>Ep. Ame =</v>
      </c>
      <c r="F15" s="6">
        <v>5</v>
      </c>
      <c r="N15" s="14" t="str">
        <f>IF(AB8=0,"Continuité Aile :","")</f>
        <v>Continuité Aile :</v>
      </c>
      <c r="Q15" s="14"/>
      <c r="T15" t="str">
        <f>IF(AB34=0,"Continuité Aile :","")</f>
        <v/>
      </c>
    </row>
    <row r="16" spans="1:29" x14ac:dyDescent="0.25">
      <c r="A16" t="str">
        <f>IF(AND(D3&gt;0,D3&lt;3),"Hauteur jarret =","")</f>
        <v/>
      </c>
      <c r="B16" s="6">
        <v>800</v>
      </c>
      <c r="C16" t="str">
        <f>IF(AND(D3&gt;0,D3&lt;3),"Longueur jarret =","")</f>
        <v/>
      </c>
      <c r="D16" s="73">
        <v>0</v>
      </c>
      <c r="E16" t="str">
        <f>IF(AND(D3&gt;0,D3&lt;3),"Ep. Ame =","")</f>
        <v/>
      </c>
      <c r="F16" s="7">
        <f>F7</f>
        <v>0</v>
      </c>
      <c r="J16" s="38" t="str">
        <f>IF(D4=2,E4,"")</f>
        <v/>
      </c>
      <c r="K16" s="37" t="str">
        <f>IF(D4=2,G4,"")</f>
        <v/>
      </c>
      <c r="L16" s="14" t="str">
        <f>IF(OR(D3=1,D3=2),"Cont. Aile :","")</f>
        <v/>
      </c>
      <c r="M16" s="32"/>
      <c r="N16" s="1">
        <f>IF(AND(AB8=0,F17&gt;14.9),(B17/1000)*2*1.5,IF(AND(AB8=0,F17&lt;15),(B17/1000)*2,""))</f>
        <v>0.3</v>
      </c>
      <c r="Q16" s="34" t="str">
        <f>IF(AB6=0,"Continuité Ame :","")</f>
        <v/>
      </c>
      <c r="S16" s="14" t="str">
        <f>IF(D3=2,"Continuité Aile :","")</f>
        <v/>
      </c>
      <c r="T16" s="1" t="str">
        <f>IF(AND(AB34=0,F17&gt;14.9),(B17/1000)*2*1.5,IF(AND(AB34=0,F17&lt;15),(B17/1000)*2,""))</f>
        <v/>
      </c>
      <c r="U16" s="39">
        <f>IF(AND(OR(D3=0,D3=1,D3=3),D5=0),E5,"")</f>
        <v>180</v>
      </c>
      <c r="V16" s="37">
        <f>IF(D5=0,G5,"")</f>
        <v>10</v>
      </c>
    </row>
    <row r="17" spans="1:29" x14ac:dyDescent="0.25">
      <c r="A17" t="s">
        <v>89</v>
      </c>
      <c r="B17" s="6">
        <v>150</v>
      </c>
      <c r="C17" t="s">
        <v>91</v>
      </c>
      <c r="D17" s="7">
        <f>IF(AND(OR(D3=0,D3=3),D10=1),B3*1000,IF(AND(OR(D3=0,D3=3),D10=0),(B3*1000)-D16,IF(D3=1,(B3*1000)-D16,IF(D3=2,(B3*1000)-(2*D16),IF(D3=3,B3*1000*1,"")))))</f>
        <v>8250</v>
      </c>
      <c r="E17" t="s">
        <v>42</v>
      </c>
      <c r="F17" s="6">
        <v>12</v>
      </c>
      <c r="J17" s="15" t="str">
        <f>IF(AND(D3=0,OR(D4=2,D4=0)),"Raidisseur :","")</f>
        <v>Raidisseur :</v>
      </c>
      <c r="K17" s="53" t="str">
        <f>IF(AND(D9=0,OR(D3=1,D3=2)),"Voile :","")</f>
        <v/>
      </c>
      <c r="L17" s="1" t="str">
        <f>IF(AND(D10=0,F24&gt;14.9,OR(D3=1,D3=2)),(B24/1000)*2*1.5,IF(AND(D10=0,F24&lt;15,OR(D3=1,D3=2)),(B24/1000)*2,IF(AND(D10=1,F17&gt;14.9,OR(D3=1,D3=2)),(B17/1000)*2*1.5,IF(AND(D10=1,F17&lt;15,OR(D3=1,D3=2)),(B17/1000)*2,""))))</f>
        <v/>
      </c>
      <c r="N17" t="str">
        <f>IF(AB33=0,"Continuité Aile :","")</f>
        <v/>
      </c>
      <c r="P17" s="33" t="str">
        <f>IF(AB11=0,"Continuité Aile :","")</f>
        <v/>
      </c>
      <c r="Q17" s="29" t="str">
        <f>IF(AND(D3&lt;3,AB6=0,F15&gt;14.9),(B15/1000)*2*1.5,IF(AND(D3&lt;3,AB6=0,F15&lt;14.9),(B15/1000)*2,IF(AND(D3=3,AB6=0,F15&gt;14.9),((Z30/1000)*2*1.5),IF(AND(D3=3,AB6=0,F15&lt;14.9),((Z30/1000)*2),""))))</f>
        <v/>
      </c>
      <c r="R17" s="32"/>
      <c r="S17" s="1" t="str">
        <f>IF(AND(D10=0,F24&gt;14.9,D3=2),(B24/1000)*2*1.5,IF(AND(D10=0,F24&lt;15,D3=2),(B24/1000)*2,IF(AND(D10=1,F17&gt;14.9,D3=2),(B17/1000)*2*1.5,IF(AND(D10=1,F17&lt;15,D3=2),(B17/1000)*2,""))))</f>
        <v/>
      </c>
    </row>
    <row r="18" spans="1:29" x14ac:dyDescent="0.25">
      <c r="A18" t="s">
        <v>90</v>
      </c>
      <c r="B18" s="6">
        <v>150</v>
      </c>
      <c r="C18" t="s">
        <v>92</v>
      </c>
      <c r="D18" s="7">
        <f>IF(AND(OR(D3=1,D3=0,D3=3),D10=0),(B3*1000)-D16,IF(AND(D3=2,D10=0),(B3*1000)-(2*D16),B3*1000))</f>
        <v>8250</v>
      </c>
      <c r="E18" t="s">
        <v>42</v>
      </c>
      <c r="F18" s="6">
        <v>12</v>
      </c>
      <c r="J18" s="1">
        <f>IF(AND(D3=0,OR(D4=0,D4=2),G4&gt;14.9),(((E4/1000)*2)+((F4/1000)*2))*1.5,IF(AND(D3=0,OR(D4=0,D4=2),G4&lt;15),(((E4/1000)*2)+((F4/1000)*2)),""))</f>
        <v>0.54</v>
      </c>
      <c r="K18" s="1" t="str">
        <f>IF(D9=1,"",IF(OR(D3=0,D3=3),"",IF(AND(F17&gt;14.9,D9=0,G9&gt;14.9),((E9/1000)+(F9/1000))*2*1.5,IF(AND(F17&gt;14.9,D9=0,G9&lt;15),((E9/1000)+(F9/1000))*2,IF(AND(F17&lt;14.9,D9=0,G9&gt;14.9),((E9/1000)+(F9/1000))*2,IF(AND(F17&lt;14.9,D9=0,G9&lt;14.9),((E9/1000)+(F9/1000))*2,"Erreur JP"))))))</f>
        <v/>
      </c>
      <c r="N18" s="1" t="str">
        <f>IF(AND(AB33=0,F17&gt;14.9),(B17/1000)*2*1.5,IF(AND(AB33=0,F17&lt;15),(B17/1000)*2,""))</f>
        <v/>
      </c>
      <c r="O18" s="32"/>
      <c r="P18" s="1" t="str">
        <f>IF(AND(AB11=0,F17&gt;14.9),(B17/1000)*2*1.5,IF(AND(AB11=0,F17&lt;15),(B17/1000)*2,""))</f>
        <v/>
      </c>
      <c r="T18" s="53" t="str">
        <f>IF(AND(D9=0,D3=2),"Voile :","")</f>
        <v/>
      </c>
    </row>
    <row r="19" spans="1:29" x14ac:dyDescent="0.25">
      <c r="A19" t="s">
        <v>93</v>
      </c>
      <c r="B19" s="6">
        <v>15</v>
      </c>
      <c r="D19" s="6"/>
      <c r="F19" s="6"/>
      <c r="P19" s="72" t="str">
        <f>IF(OR(D3=3,D3=0),"",D17/1000)</f>
        <v/>
      </c>
      <c r="Q19" s="66"/>
      <c r="T19" s="1" t="str">
        <f>IF(D9=1,"",IF(OR(D3=0,D3=3,D3=1),"",IF(AND(F17&gt;14.9,D9=0,G9&gt;14.9),((E9/1000)+(F9/1000))*2*1.5,IF(AND(F17&gt;14.9,D9=0,G9&lt;15),((E9/1000)+(F9/1000))*2,IF(AND(F17&lt;14.9,D9=0,G9&gt;14.9),((E9/1000)+(F9/1000))*2,IF(AND(F17&lt;14.9,D9=0,G9&lt;14.9),((E9/1000)+(F9/1000))*2,"Erreur JP"))))))</f>
        <v/>
      </c>
      <c r="U19" s="15" t="str">
        <f>IF(D3=2,"",IF(D5=0,"Raidisseur :",""))</f>
        <v>Raidisseur :</v>
      </c>
    </row>
    <row r="20" spans="1:29" x14ac:dyDescent="0.25">
      <c r="J20" s="15" t="str">
        <f>IF(D8=0,"","Gousset :")</f>
        <v>Gousset :</v>
      </c>
      <c r="K20" s="24">
        <f>IF(D8=0,"",D8)</f>
        <v>2</v>
      </c>
      <c r="N20" s="70" t="str">
        <f>IF(AND(D3=0,D10=0),"Continuité Aile :","")</f>
        <v/>
      </c>
      <c r="U20" s="1">
        <f>IF(D3=2,"",IF(AND(D5=0,G5&gt;14.9),(((E5/1000)*2)+((F5/1000)*2))*1.5,IF(AND(D5=0,G5&lt;15),(((E5/1000)*2)+((F5/1000)*2)),"")))</f>
        <v>0.54</v>
      </c>
      <c r="AB20" s="27">
        <f>B16-B15</f>
        <v>150</v>
      </c>
      <c r="AC20" t="s">
        <v>95</v>
      </c>
    </row>
    <row r="21" spans="1:29" x14ac:dyDescent="0.25">
      <c r="A21" t="str">
        <f>IF(D3=3,"Hauteur Ame Pied =","")</f>
        <v/>
      </c>
      <c r="B21" s="6">
        <v>0</v>
      </c>
      <c r="K21" s="1">
        <f>IF(D8=0,"",0.4*D8)</f>
        <v>0.8</v>
      </c>
      <c r="N21" s="68" t="str">
        <f>IF(AND(D3=0,D10=0,F25&gt;14.9),(B25/1000)*2*1.5,IF(AND(D3=0,D10=0,F25&lt;15),(B25/1000)*2,""))</f>
        <v/>
      </c>
      <c r="AB21" s="27">
        <f>D16</f>
        <v>0</v>
      </c>
      <c r="AC21" t="s">
        <v>96</v>
      </c>
    </row>
    <row r="22" spans="1:29" x14ac:dyDescent="0.25">
      <c r="A22" t="str">
        <f>IF(D3=3,"Hauteur Ame Tête =","")</f>
        <v/>
      </c>
      <c r="B22" s="6">
        <v>0</v>
      </c>
      <c r="P22" s="41"/>
      <c r="AB22" s="28">
        <f>SQRT(AB20^2+AB21^2)</f>
        <v>150</v>
      </c>
      <c r="AC22" t="s">
        <v>97</v>
      </c>
    </row>
    <row r="23" spans="1:29" ht="18.75" x14ac:dyDescent="0.3">
      <c r="J23" s="3" t="s">
        <v>111</v>
      </c>
    </row>
    <row r="24" spans="1:29" x14ac:dyDescent="0.25">
      <c r="A24" t="str">
        <f>IF(D10=0,"Larg. Aile basse Renf =","")</f>
        <v/>
      </c>
      <c r="B24" s="6">
        <v>0</v>
      </c>
      <c r="D24" s="79" t="str">
        <f>IF(D10=0,"Ep. Aile Basse Renf =","")</f>
        <v/>
      </c>
      <c r="E24" s="79"/>
      <c r="F24" s="6">
        <v>0</v>
      </c>
    </row>
    <row r="25" spans="1:29" x14ac:dyDescent="0.25">
      <c r="A25" t="str">
        <f>IF(D10=0,"Larg. Aile haute Renf =","")</f>
        <v/>
      </c>
      <c r="B25" s="6">
        <v>0</v>
      </c>
      <c r="D25" s="79" t="str">
        <f>IF(D10=0,"Ep. Aile Haute Renf =","")</f>
        <v/>
      </c>
      <c r="E25" s="79"/>
      <c r="F25" s="6">
        <v>0</v>
      </c>
      <c r="J25" s="83" t="s">
        <v>0</v>
      </c>
      <c r="K25" s="83"/>
      <c r="L25" s="36">
        <f t="shared" ref="L25:L31" si="0">B3</f>
        <v>8.25</v>
      </c>
    </row>
    <row r="26" spans="1:29" x14ac:dyDescent="0.25">
      <c r="J26" s="83" t="s">
        <v>1</v>
      </c>
      <c r="K26" s="83"/>
      <c r="L26" s="30">
        <f t="shared" si="0"/>
        <v>0.99</v>
      </c>
      <c r="S26" t="s">
        <v>117</v>
      </c>
      <c r="T26" s="56"/>
    </row>
    <row r="27" spans="1:29" x14ac:dyDescent="0.25">
      <c r="C27" s="14" t="s">
        <v>80</v>
      </c>
      <c r="D27" s="71">
        <f>IF(I11="",0,I11)+IF(J4="",0,J4)+IF(J18="",0,J18)+IF(K21="",0,K21)+IF(N6="",0,N6)+IF(N16="",0,N16)+IF(P4="",0,P4)+IF(P18="",0,P18)+IF(Q6="",0,Q6)+IF(Q17="",0,Q17)+IF(U4="",0,U4)+IF(V11="",0,V11)+IF(U20="",0,U20)+IF(L4="",0,L4)+IF(L17="",0,L17)+IF(S4="",0,S4)+IF(S17="",0,S17)+IF(T16="",0,T16)+IF(N18="",0,N18)+IF(K18="",0,K18)+IF(T19="",0,T19)+IF(N21="",0,N21)+IF(N3="",0,N3)+IF(T4="",0,T4)</f>
        <v>8.120000000000001</v>
      </c>
      <c r="J27" s="83" t="s">
        <v>2</v>
      </c>
      <c r="K27" s="83"/>
      <c r="L27" s="30">
        <f t="shared" si="0"/>
        <v>0.45374999999999999</v>
      </c>
      <c r="P27" s="14" t="s">
        <v>80</v>
      </c>
      <c r="Q27" s="71">
        <f>D27</f>
        <v>8.120000000000001</v>
      </c>
      <c r="T27" s="56"/>
      <c r="Z27" t="s">
        <v>102</v>
      </c>
    </row>
    <row r="28" spans="1:29" x14ac:dyDescent="0.25">
      <c r="J28" s="83" t="s">
        <v>3</v>
      </c>
      <c r="K28" s="83"/>
      <c r="L28" s="30">
        <f t="shared" si="0"/>
        <v>1.98</v>
      </c>
      <c r="S28" t="s">
        <v>118</v>
      </c>
      <c r="T28" s="56"/>
      <c r="Z28" s="27">
        <f>((6000*(B22-B21))/(B3*1000))+B21</f>
        <v>0</v>
      </c>
    </row>
    <row r="29" spans="1:29" x14ac:dyDescent="0.25">
      <c r="C29" s="14" t="s">
        <v>81</v>
      </c>
      <c r="D29" s="20">
        <f>D27*0.3</f>
        <v>2.4360000000000004</v>
      </c>
      <c r="J29" s="83" t="s">
        <v>5</v>
      </c>
      <c r="K29" s="83"/>
      <c r="L29" s="30">
        <f t="shared" si="0"/>
        <v>0.20625000000000002</v>
      </c>
      <c r="P29" s="14" t="s">
        <v>81</v>
      </c>
      <c r="Q29" s="20">
        <f>D29</f>
        <v>2.4360000000000004</v>
      </c>
      <c r="Z29" t="s">
        <v>103</v>
      </c>
    </row>
    <row r="30" spans="1:29" x14ac:dyDescent="0.25">
      <c r="J30" s="83" t="s">
        <v>4</v>
      </c>
      <c r="K30" s="83"/>
      <c r="L30" s="30">
        <f t="shared" si="0"/>
        <v>0.5</v>
      </c>
      <c r="Z30" s="27">
        <f>((12000*(B22-B21))/(B3*1000))+B21</f>
        <v>0</v>
      </c>
    </row>
    <row r="31" spans="1:29" x14ac:dyDescent="0.25">
      <c r="G31" t="str">
        <f>IF(X15=1,"Continuité Ame :","")</f>
        <v/>
      </c>
      <c r="J31" s="83" t="s">
        <v>6</v>
      </c>
      <c r="K31" s="83"/>
      <c r="L31" s="30">
        <f t="shared" si="0"/>
        <v>0.25</v>
      </c>
    </row>
    <row r="32" spans="1:29" x14ac:dyDescent="0.25">
      <c r="G32" s="1" t="str">
        <f>IF(AND(X15=1,F7&gt;10.1,F15&gt;10.1),(B15/1000)*2*1.5,IF(AND(X15=1,F7&lt;10.1,F15&gt;10.1),(B15/1000)*2,IF(AND(X15=1,F7&gt;10.1,F15&lt;10.1),(B15/1000)*2,IF(AND(X15=1,F7&lt;10.1,F15&lt;10.1),(B15/1000)*2,""))))</f>
        <v/>
      </c>
      <c r="AB32" t="s">
        <v>104</v>
      </c>
    </row>
    <row r="33" spans="2:29" x14ac:dyDescent="0.25">
      <c r="AB33">
        <f>IF(AND(D18&gt;6000,D3=3),0,IF(AND(D18&gt;6000,D3&lt;3),33,IF(AND(D18&lt;6000,D3&lt;3),34,1)))</f>
        <v>33</v>
      </c>
      <c r="AC33" t="s">
        <v>86</v>
      </c>
    </row>
    <row r="34" spans="2:29" x14ac:dyDescent="0.25">
      <c r="G34" t="str">
        <f>IF(X14=1,"Continuité Ame :","")</f>
        <v/>
      </c>
      <c r="AB34">
        <f>IF(AND(D18&gt;12000,D3=3),0,IF(AND(D18&gt;12000,D3&lt;3),33,IF(AND(D18&lt;12000,D3&lt;3),34,1)))</f>
        <v>34</v>
      </c>
      <c r="AC34" t="s">
        <v>88</v>
      </c>
    </row>
    <row r="35" spans="2:29" x14ac:dyDescent="0.25">
      <c r="G35" s="1" t="str">
        <f>IF(AND(X14=1,F7&gt;10.1,F15&gt;10.1),(B15/1000)*2*1.5,IF(AND(X14=1,F7&lt;10.1,F15&gt;10.1),(B15/1000)*2,IF(AND(X14=1,F7&gt;10.1,F15&lt;10.1),(B15/1000)*2,IF(AND(X14=1,F7&lt;10.1,F15&lt;10.1),(B15/1000)*2,""))))</f>
        <v/>
      </c>
      <c r="J35" s="14"/>
      <c r="K35" s="14"/>
    </row>
    <row r="36" spans="2:29" x14ac:dyDescent="0.25">
      <c r="E36" s="16"/>
    </row>
    <row r="38" spans="2:29" x14ac:dyDescent="0.25">
      <c r="F38" s="15" t="str">
        <f>IF(A18=0,"Raidisseur :","")</f>
        <v/>
      </c>
    </row>
    <row r="40" spans="2:29" x14ac:dyDescent="0.25">
      <c r="Z40" t="s">
        <v>105</v>
      </c>
    </row>
    <row r="41" spans="2:29" x14ac:dyDescent="0.25">
      <c r="Z41" t="s">
        <v>106</v>
      </c>
      <c r="AA41" s="31">
        <f>IF(AND(D3=0,F15&lt;15),(B15/1000)*2,IF(AND(D3=0,F15&gt;14.9),(B15/1000)*2*1.5,IF(AND(OR(D3=1,D3=2),D7=1,F15&lt;15),(B16/1000)*2,IF(AND(OR(D3=1,D3=2),D7=1,F15&gt;14.9),(B16/1000)*2*1.5,IF(AND(OR(D3=1,D3=2),D7=0,F7&lt;15),(B16/1000)*2,IF(AND(OR(D3=1,D3=2),D7=0,F7&gt;14.9),(B16/1000)*2*1.5,IF(AND(D3=3,F15&lt;15),(B21/1000)*2,IF(AND(D3=3,F15&gt;14.9),(B21/1000)*2*1.5,""))))))))</f>
        <v>1.3</v>
      </c>
    </row>
    <row r="42" spans="2:29" x14ac:dyDescent="0.25">
      <c r="Z42" t="s">
        <v>107</v>
      </c>
      <c r="AA42" s="31">
        <f>IF(D10=0,IF(F24&lt;15,(B24/1000)*2,IF(F24&gt;14.9,(B24/1000)*2*1.5,"")),IF(F17&lt;15,(B17/1000)*2,IF(F17&gt;14.9,(B17/1000)*2*1.5,"")))</f>
        <v>0.3</v>
      </c>
    </row>
    <row r="43" spans="2:29" x14ac:dyDescent="0.25">
      <c r="Z43" t="s">
        <v>110</v>
      </c>
      <c r="AA43" s="31">
        <f>IF(D10=0,IF(F25&lt;15,(B25/1000)*2,IF(F25&gt;14.9,(B25/1000)*2*1.5,"")),IF(F18&lt;15,(B18/1000)*2,IF(F18&gt;14.9,(B18/1000)*2*1.5,"")))</f>
        <v>0.3</v>
      </c>
    </row>
    <row r="44" spans="2:29" x14ac:dyDescent="0.25">
      <c r="G44" t="str">
        <f>IF(D8=0,"Raid. Biais :","")</f>
        <v/>
      </c>
    </row>
    <row r="45" spans="2:29" x14ac:dyDescent="0.25">
      <c r="G45" s="18" t="str">
        <f>IF(AND(D8=0,F15&gt;15),((L45/1000)*8*1.5)+(((B17/2000)*16)*1.5),IF(AND(D8=0,F15&lt;15),((L45/1000)*8)+((B17/2000)*16)*1.5,""))</f>
        <v/>
      </c>
      <c r="Z45" t="s">
        <v>109</v>
      </c>
    </row>
    <row r="46" spans="2:29" x14ac:dyDescent="0.25">
      <c r="Z46" t="s">
        <v>106</v>
      </c>
      <c r="AA46" s="31">
        <f>IF(AND(OR(D3=0,D3=1,D3=3),F15&lt;15),(B15/1000)*2,IF(AND(OR(D3=0,D3=1,D3=3),F15&gt;14.9),(B15/1000)*2*1.5,IF(AND(D3=2,D7=1,F15&lt;15),(B16/1000)*2,IF(AND(D3=2,D7=1,F15&gt;14.9),(B16/1000)*2*1.5,IF(AND(D3=2,D7=0,F7&lt;15),(B16/1000)*2,IF(AND(D3=2,D7=0,F7&gt;14.9),(B16/1000)*2*1.5,"Erreur JP"))))))</f>
        <v>1.3</v>
      </c>
    </row>
    <row r="47" spans="2:29" x14ac:dyDescent="0.25">
      <c r="Z47" t="s">
        <v>107</v>
      </c>
      <c r="AA47" s="31">
        <f>IF(AND(D10=0,F25&lt;15),(B25/1000)*2,IF(AND(D10=0,F25&gt;14.9),(B25/1000)*2*1.5,IF(AND(D10=1,F18&lt;15),(B18/1000)*2,IF(AND(D10=1,F18&gt;14.9),(B18/1000)*2*1.5,""))))</f>
        <v>0.3</v>
      </c>
    </row>
    <row r="48" spans="2:29" x14ac:dyDescent="0.25">
      <c r="B48" t="str">
        <f>IF(AND(OR(D3=1,D3=2),D10=0),"Aile Renf : "&amp;TEXT(B24,"0")&amp;"x"&amp;TEXT(F24,"0"),"")</f>
        <v/>
      </c>
      <c r="Z48" t="s">
        <v>110</v>
      </c>
      <c r="AA48" s="31">
        <f>IF(AND(D10=0,F24&lt;15),(B24/1000)*2,IF(AND(D10=0,F24&gt;14.9),(B24/1000)*2*1.5,IF(AND(D10=1,F17&lt;15),(B17/1000)*2,IF(AND(D10=1,F17&gt;14.9),(B17/1000)*2*1.5,""))))</f>
        <v>0.3</v>
      </c>
    </row>
    <row r="49" spans="2:2" x14ac:dyDescent="0.25">
      <c r="B49" t="str">
        <f>IF(AND(D3=2,D10=0),"Aile Renf : "&amp;TEXT(B24,"0")&amp;"x"&amp;TEXT(F24,"0"),"")</f>
        <v/>
      </c>
    </row>
  </sheetData>
  <mergeCells count="13">
    <mergeCell ref="D24:E24"/>
    <mergeCell ref="D25:E25"/>
    <mergeCell ref="Q11:Q13"/>
    <mergeCell ref="N1:P1"/>
    <mergeCell ref="M12:N12"/>
    <mergeCell ref="J29:K29"/>
    <mergeCell ref="J30:K30"/>
    <mergeCell ref="O11:O13"/>
    <mergeCell ref="J31:K31"/>
    <mergeCell ref="J25:K25"/>
    <mergeCell ref="J26:K26"/>
    <mergeCell ref="J27:K27"/>
    <mergeCell ref="J28:K28"/>
  </mergeCells>
  <conditionalFormatting sqref="G45">
    <cfRule type="expression" dxfId="27" priority="35">
      <formula>$D$8=0</formula>
    </cfRule>
  </conditionalFormatting>
  <conditionalFormatting sqref="G35">
    <cfRule type="expression" dxfId="26" priority="34">
      <formula>$X$14=1</formula>
    </cfRule>
  </conditionalFormatting>
  <conditionalFormatting sqref="G32">
    <cfRule type="expression" dxfId="25" priority="33">
      <formula>$X$15=1</formula>
    </cfRule>
  </conditionalFormatting>
  <conditionalFormatting sqref="J4">
    <cfRule type="expression" dxfId="24" priority="24">
      <formula>$J$3="Raidisseur :"</formula>
    </cfRule>
  </conditionalFormatting>
  <conditionalFormatting sqref="U4">
    <cfRule type="expression" dxfId="23" priority="22">
      <formula>$U$3="Raidisseur :"</formula>
    </cfRule>
  </conditionalFormatting>
  <conditionalFormatting sqref="U20">
    <cfRule type="expression" dxfId="22" priority="21">
      <formula>$U$19="Raidisseur :"</formula>
    </cfRule>
  </conditionalFormatting>
  <conditionalFormatting sqref="I11">
    <cfRule type="expression" dxfId="21" priority="20">
      <formula>$B$3&gt;0</formula>
    </cfRule>
  </conditionalFormatting>
  <conditionalFormatting sqref="V11">
    <cfRule type="expression" dxfId="20" priority="19">
      <formula>$B$3&gt;0</formula>
    </cfRule>
  </conditionalFormatting>
  <conditionalFormatting sqref="K21">
    <cfRule type="expression" dxfId="19" priority="18">
      <formula>$J$20="Gousset :"</formula>
    </cfRule>
  </conditionalFormatting>
  <conditionalFormatting sqref="N16">
    <cfRule type="expression" dxfId="18" priority="40">
      <formula>$AB$8=0</formula>
    </cfRule>
  </conditionalFormatting>
  <conditionalFormatting sqref="P18">
    <cfRule type="expression" dxfId="17" priority="17">
      <formula>$AB$11=0</formula>
    </cfRule>
  </conditionalFormatting>
  <conditionalFormatting sqref="N6">
    <cfRule type="expression" dxfId="16" priority="16">
      <formula>$AB$9=0</formula>
    </cfRule>
  </conditionalFormatting>
  <conditionalFormatting sqref="Q6">
    <cfRule type="expression" dxfId="15" priority="15">
      <formula>$AB$12=0</formula>
    </cfRule>
  </conditionalFormatting>
  <conditionalFormatting sqref="L17">
    <cfRule type="expression" dxfId="14" priority="14">
      <formula>L16="Cont. Aile :"</formula>
    </cfRule>
  </conditionalFormatting>
  <conditionalFormatting sqref="S17">
    <cfRule type="expression" dxfId="13" priority="13">
      <formula>S16="Continuité Aile :"</formula>
    </cfRule>
  </conditionalFormatting>
  <conditionalFormatting sqref="Q17">
    <cfRule type="expression" dxfId="12" priority="12">
      <formula>$Q$16="Continuité Ame :"</formula>
    </cfRule>
  </conditionalFormatting>
  <conditionalFormatting sqref="P4">
    <cfRule type="expression" dxfId="11" priority="11">
      <formula>$P$3="Continuité Ame :"</formula>
    </cfRule>
  </conditionalFormatting>
  <conditionalFormatting sqref="L4">
    <cfRule type="expression" dxfId="10" priority="10">
      <formula>$L$3="Continuité Ame :"</formula>
    </cfRule>
  </conditionalFormatting>
  <conditionalFormatting sqref="S4">
    <cfRule type="expression" dxfId="9" priority="9">
      <formula>$S$3="Continuité Ame :"</formula>
    </cfRule>
  </conditionalFormatting>
  <conditionalFormatting sqref="N18">
    <cfRule type="expression" dxfId="8" priority="8">
      <formula>$N$17="Continuité Aile :"</formula>
    </cfRule>
  </conditionalFormatting>
  <conditionalFormatting sqref="T16">
    <cfRule type="expression" dxfId="7" priority="7">
      <formula>$T$15="Continuité Aile :"</formula>
    </cfRule>
  </conditionalFormatting>
  <conditionalFormatting sqref="T19">
    <cfRule type="expression" dxfId="6" priority="6">
      <formula>$T$18="Voile :"</formula>
    </cfRule>
  </conditionalFormatting>
  <conditionalFormatting sqref="K18">
    <cfRule type="expression" dxfId="5" priority="5">
      <formula>$K$17="Voile :"</formula>
    </cfRule>
  </conditionalFormatting>
  <conditionalFormatting sqref="J18">
    <cfRule type="expression" dxfId="4" priority="48">
      <formula>$J$17="Raidisseur :"</formula>
    </cfRule>
  </conditionalFormatting>
  <conditionalFormatting sqref="N3">
    <cfRule type="expression" dxfId="3" priority="4">
      <formula>D10=0</formula>
    </cfRule>
  </conditionalFormatting>
  <conditionalFormatting sqref="K14">
    <cfRule type="expression" dxfId="2" priority="3">
      <formula>D10=0</formula>
    </cfRule>
  </conditionalFormatting>
  <conditionalFormatting sqref="N21">
    <cfRule type="expression" dxfId="1" priority="2">
      <formula>$N$20="Continuité Aile :"</formula>
    </cfRule>
  </conditionalFormatting>
  <conditionalFormatting sqref="T4">
    <cfRule type="expression" dxfId="0" priority="1">
      <formula>T3="Cont. Aile :"</formula>
    </cfRule>
  </conditionalFormatting>
  <dataValidations count="4">
    <dataValidation type="list" allowBlank="1" showInputMessage="1" showErrorMessage="1" sqref="D8" xr:uid="{94E96FC0-8643-405D-A141-C38B911B7805}">
      <formula1>$AA$4:$AA$12</formula1>
    </dataValidation>
    <dataValidation type="list" allowBlank="1" showInputMessage="1" showErrorMessage="1" sqref="D3" xr:uid="{DCC82CD4-EF53-4A72-90AA-0403CE867278}">
      <formula1>$AA$4:$AA$7</formula1>
    </dataValidation>
    <dataValidation type="list" allowBlank="1" showInputMessage="1" showErrorMessage="1" sqref="D9:D10 D5:D7" xr:uid="{7A6B6AA9-A9D5-49C9-A9B6-DBEA6C1C82CB}">
      <formula1>$AA$4:$AA$5</formula1>
    </dataValidation>
    <dataValidation type="list" allowBlank="1" showInputMessage="1" showErrorMessage="1" sqref="D4" xr:uid="{1DBAE274-9BDC-470D-B56D-52A9375967F3}">
      <formula1>$AA$4:$AA$6</formula1>
    </dataValidation>
  </dataValidations>
  <pageMargins left="0.25" right="0.25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2F400A8-CA8E-42B9-9DDF-D0FAC3D7F3C6}">
          <x14:formula1>
            <xm:f>Données!$D$5:$D$22</xm:f>
          </x14:formula1>
          <xm:sqref>F10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AA22C-BBED-49B1-8491-1903D5AC7939}">
  <sheetPr codeName="Feuil4"/>
  <dimension ref="A1:B33"/>
  <sheetViews>
    <sheetView workbookViewId="0">
      <selection activeCell="B1" sqref="B1"/>
    </sheetView>
  </sheetViews>
  <sheetFormatPr baseColWidth="10" defaultRowHeight="15" x14ac:dyDescent="0.25"/>
  <cols>
    <col min="1" max="1" width="4.42578125" customWidth="1"/>
    <col min="2" max="2" width="90.85546875" customWidth="1"/>
  </cols>
  <sheetData>
    <row r="1" spans="1:2" ht="90.75" customHeight="1" x14ac:dyDescent="0.25">
      <c r="A1">
        <v>0</v>
      </c>
      <c r="B1" t="s">
        <v>132</v>
      </c>
    </row>
    <row r="2" spans="1:2" ht="90.75" customHeight="1" x14ac:dyDescent="0.25">
      <c r="A2">
        <v>1</v>
      </c>
      <c r="B2" t="s">
        <v>133</v>
      </c>
    </row>
    <row r="3" spans="1:2" ht="90.75" customHeight="1" x14ac:dyDescent="0.25">
      <c r="A3">
        <v>2</v>
      </c>
      <c r="B3" t="s">
        <v>134</v>
      </c>
    </row>
    <row r="4" spans="1:2" ht="90.75" customHeight="1" x14ac:dyDescent="0.25">
      <c r="A4">
        <v>3</v>
      </c>
      <c r="B4" t="s">
        <v>135</v>
      </c>
    </row>
    <row r="5" spans="1:2" ht="90.75" customHeight="1" x14ac:dyDescent="0.25"/>
    <row r="6" spans="1:2" ht="90.75" customHeight="1" x14ac:dyDescent="0.25"/>
    <row r="7" spans="1:2" ht="90.75" customHeight="1" x14ac:dyDescent="0.25"/>
    <row r="8" spans="1:2" ht="90.75" customHeight="1" x14ac:dyDescent="0.25"/>
    <row r="9" spans="1:2" ht="90.75" customHeight="1" x14ac:dyDescent="0.25"/>
    <row r="10" spans="1:2" ht="90.75" customHeight="1" x14ac:dyDescent="0.25"/>
    <row r="11" spans="1:2" ht="90.75" customHeight="1" x14ac:dyDescent="0.25"/>
    <row r="12" spans="1:2" ht="90.75" customHeight="1" x14ac:dyDescent="0.25"/>
    <row r="13" spans="1:2" ht="90.75" customHeight="1" x14ac:dyDescent="0.25"/>
    <row r="14" spans="1:2" ht="90.75" customHeight="1" x14ac:dyDescent="0.25"/>
    <row r="15" spans="1:2" ht="90.75" customHeight="1" x14ac:dyDescent="0.25"/>
    <row r="16" spans="1:2" ht="90.75" customHeight="1" x14ac:dyDescent="0.25"/>
    <row r="17" ht="90.75" customHeight="1" x14ac:dyDescent="0.25"/>
    <row r="18" ht="90.75" customHeight="1" x14ac:dyDescent="0.25"/>
    <row r="19" ht="90.75" customHeight="1" x14ac:dyDescent="0.25"/>
    <row r="20" ht="90.75" customHeight="1" x14ac:dyDescent="0.25"/>
    <row r="21" ht="90.75" customHeight="1" x14ac:dyDescent="0.25"/>
    <row r="22" ht="90.75" customHeight="1" x14ac:dyDescent="0.25"/>
    <row r="23" ht="90.75" customHeight="1" x14ac:dyDescent="0.25"/>
    <row r="24" ht="90.75" customHeight="1" x14ac:dyDescent="0.25"/>
    <row r="25" ht="90.75" customHeight="1" x14ac:dyDescent="0.25"/>
    <row r="26" ht="90.75" customHeight="1" x14ac:dyDescent="0.25"/>
    <row r="27" ht="90.75" customHeight="1" x14ac:dyDescent="0.25"/>
    <row r="28" ht="90.75" customHeight="1" x14ac:dyDescent="0.25"/>
    <row r="29" ht="90.75" customHeight="1" x14ac:dyDescent="0.25"/>
    <row r="30" ht="90.75" customHeight="1" x14ac:dyDescent="0.25"/>
    <row r="31" ht="90.75" customHeight="1" x14ac:dyDescent="0.25"/>
    <row r="32" ht="90.75" customHeight="1" x14ac:dyDescent="0.25"/>
    <row r="33" ht="90.75" customHeight="1" x14ac:dyDescent="0.25"/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C8717-3E4D-4788-ADC5-735819AEAF54}">
  <sheetPr codeName="Feuil2"/>
  <dimension ref="A1:P41"/>
  <sheetViews>
    <sheetView zoomScale="115" zoomScaleNormal="115" workbookViewId="0">
      <selection activeCell="J30" sqref="J30"/>
    </sheetView>
  </sheetViews>
  <sheetFormatPr baseColWidth="10" defaultRowHeight="15" customHeight="1" x14ac:dyDescent="0.25"/>
  <cols>
    <col min="1" max="12" width="11.42578125" customWidth="1"/>
  </cols>
  <sheetData>
    <row r="1" spans="1:16" ht="15" customHeight="1" x14ac:dyDescent="0.25">
      <c r="A1">
        <f>MATCH(C1,FormePRS,0)-1</f>
        <v>0</v>
      </c>
      <c r="C1">
        <f>Traverse!D3</f>
        <v>0</v>
      </c>
    </row>
    <row r="4" spans="1:16" ht="15" customHeight="1" x14ac:dyDescent="0.25">
      <c r="D4" t="s">
        <v>21</v>
      </c>
      <c r="G4" t="s">
        <v>77</v>
      </c>
      <c r="J4" t="s">
        <v>50</v>
      </c>
      <c r="P4" t="s">
        <v>79</v>
      </c>
    </row>
    <row r="5" spans="1:16" ht="15" customHeight="1" x14ac:dyDescent="0.25">
      <c r="C5" t="s">
        <v>10</v>
      </c>
      <c r="E5">
        <v>0</v>
      </c>
      <c r="F5">
        <v>0</v>
      </c>
      <c r="G5">
        <v>0</v>
      </c>
      <c r="H5">
        <v>0</v>
      </c>
      <c r="K5">
        <v>0</v>
      </c>
      <c r="L5">
        <v>0</v>
      </c>
      <c r="P5">
        <f>Poteau!F9/(SQRT(2)/2)</f>
        <v>424.26406871192847</v>
      </c>
    </row>
    <row r="6" spans="1:16" ht="15" customHeight="1" x14ac:dyDescent="0.25">
      <c r="C6" t="s">
        <v>9</v>
      </c>
      <c r="D6" t="s">
        <v>22</v>
      </c>
      <c r="E6">
        <v>300</v>
      </c>
      <c r="F6">
        <v>150</v>
      </c>
      <c r="G6">
        <f>((E6/1000)*2)+((((F6-10)/2)/1000)*4*1.5)</f>
        <v>1.02</v>
      </c>
      <c r="H6">
        <f>((E6/1000)*2)+((F6/1000)*4*1.5)</f>
        <v>1.5</v>
      </c>
      <c r="J6" t="s">
        <v>51</v>
      </c>
      <c r="K6">
        <v>100</v>
      </c>
      <c r="L6">
        <v>55</v>
      </c>
    </row>
    <row r="7" spans="1:16" ht="15" customHeight="1" x14ac:dyDescent="0.25">
      <c r="C7" t="s">
        <v>11</v>
      </c>
      <c r="D7" t="s">
        <v>23</v>
      </c>
      <c r="E7">
        <v>330</v>
      </c>
      <c r="F7">
        <v>160</v>
      </c>
      <c r="G7">
        <f t="shared" ref="G7:G22" si="0">((E7/1000)*2)+((((F7-10)/2)/1000)*4*1.5)</f>
        <v>1.1099999999999999</v>
      </c>
      <c r="H7">
        <f t="shared" ref="H7:H22" si="1">((E7/1000)*2)+((F7/1000)*4*1.5)</f>
        <v>1.62</v>
      </c>
      <c r="J7" t="s">
        <v>52</v>
      </c>
      <c r="K7">
        <v>120</v>
      </c>
      <c r="L7">
        <v>64</v>
      </c>
    </row>
    <row r="8" spans="1:16" ht="15" customHeight="1" x14ac:dyDescent="0.25">
      <c r="D8" t="s">
        <v>24</v>
      </c>
      <c r="E8">
        <v>360</v>
      </c>
      <c r="F8">
        <v>170</v>
      </c>
      <c r="G8">
        <f t="shared" si="0"/>
        <v>1.2</v>
      </c>
      <c r="H8">
        <f t="shared" si="1"/>
        <v>1.74</v>
      </c>
      <c r="J8" t="s">
        <v>53</v>
      </c>
      <c r="K8">
        <v>140</v>
      </c>
      <c r="L8">
        <v>73</v>
      </c>
    </row>
    <row r="9" spans="1:16" ht="15" customHeight="1" x14ac:dyDescent="0.25">
      <c r="D9" t="s">
        <v>25</v>
      </c>
      <c r="E9">
        <v>400</v>
      </c>
      <c r="F9">
        <v>180</v>
      </c>
      <c r="G9">
        <f t="shared" si="0"/>
        <v>1.31</v>
      </c>
      <c r="H9">
        <f t="shared" si="1"/>
        <v>1.8800000000000001</v>
      </c>
      <c r="J9" t="s">
        <v>54</v>
      </c>
      <c r="K9">
        <v>160</v>
      </c>
      <c r="L9">
        <v>82</v>
      </c>
    </row>
    <row r="10" spans="1:16" ht="15" customHeight="1" x14ac:dyDescent="0.25">
      <c r="B10">
        <v>0</v>
      </c>
      <c r="D10" t="s">
        <v>26</v>
      </c>
      <c r="E10">
        <v>450</v>
      </c>
      <c r="F10">
        <v>190</v>
      </c>
      <c r="G10">
        <f t="shared" si="0"/>
        <v>1.44</v>
      </c>
      <c r="H10">
        <f t="shared" si="1"/>
        <v>2.04</v>
      </c>
      <c r="J10" t="s">
        <v>55</v>
      </c>
      <c r="K10">
        <v>180</v>
      </c>
      <c r="L10">
        <v>91</v>
      </c>
    </row>
    <row r="11" spans="1:16" ht="15" customHeight="1" x14ac:dyDescent="0.25">
      <c r="B11">
        <v>1</v>
      </c>
      <c r="D11" t="s">
        <v>27</v>
      </c>
      <c r="E11">
        <v>500</v>
      </c>
      <c r="F11">
        <v>200</v>
      </c>
      <c r="G11">
        <f t="shared" si="0"/>
        <v>1.57</v>
      </c>
      <c r="H11">
        <f t="shared" si="1"/>
        <v>2.2000000000000002</v>
      </c>
      <c r="J11" t="s">
        <v>56</v>
      </c>
      <c r="K11">
        <v>200</v>
      </c>
      <c r="L11">
        <v>100</v>
      </c>
    </row>
    <row r="12" spans="1:16" ht="15" customHeight="1" x14ac:dyDescent="0.25">
      <c r="B12">
        <v>2</v>
      </c>
      <c r="D12" t="s">
        <v>28</v>
      </c>
      <c r="E12">
        <v>550</v>
      </c>
      <c r="F12">
        <v>210</v>
      </c>
      <c r="G12">
        <f t="shared" si="0"/>
        <v>1.7000000000000002</v>
      </c>
      <c r="H12">
        <f t="shared" si="1"/>
        <v>2.3600000000000003</v>
      </c>
      <c r="J12" t="s">
        <v>57</v>
      </c>
      <c r="K12">
        <v>220</v>
      </c>
      <c r="L12">
        <v>110</v>
      </c>
    </row>
    <row r="13" spans="1:16" ht="15" customHeight="1" x14ac:dyDescent="0.25">
      <c r="D13" t="s">
        <v>29</v>
      </c>
      <c r="E13">
        <v>600</v>
      </c>
      <c r="F13">
        <v>220</v>
      </c>
      <c r="G13">
        <f t="shared" si="0"/>
        <v>1.83</v>
      </c>
      <c r="H13">
        <f t="shared" si="1"/>
        <v>2.52</v>
      </c>
      <c r="J13" t="s">
        <v>58</v>
      </c>
      <c r="K13">
        <v>240</v>
      </c>
      <c r="L13">
        <v>120</v>
      </c>
    </row>
    <row r="14" spans="1:16" ht="15" customHeight="1" x14ac:dyDescent="0.25">
      <c r="D14" t="s">
        <v>30</v>
      </c>
      <c r="E14">
        <v>290</v>
      </c>
      <c r="F14">
        <v>300</v>
      </c>
      <c r="G14">
        <f t="shared" si="0"/>
        <v>1.4499999999999997</v>
      </c>
      <c r="H14">
        <f t="shared" si="1"/>
        <v>2.38</v>
      </c>
      <c r="J14" t="s">
        <v>59</v>
      </c>
      <c r="K14">
        <v>100</v>
      </c>
      <c r="L14">
        <v>100</v>
      </c>
    </row>
    <row r="15" spans="1:16" ht="15" customHeight="1" x14ac:dyDescent="0.25">
      <c r="D15" t="s">
        <v>31</v>
      </c>
      <c r="E15">
        <v>310</v>
      </c>
      <c r="F15">
        <v>300</v>
      </c>
      <c r="G15">
        <f t="shared" si="0"/>
        <v>1.4899999999999998</v>
      </c>
      <c r="H15">
        <f t="shared" si="1"/>
        <v>2.42</v>
      </c>
      <c r="J15" t="s">
        <v>60</v>
      </c>
      <c r="K15">
        <v>120</v>
      </c>
      <c r="L15">
        <v>120</v>
      </c>
    </row>
    <row r="16" spans="1:16" ht="15" customHeight="1" x14ac:dyDescent="0.25">
      <c r="D16" t="s">
        <v>32</v>
      </c>
      <c r="E16">
        <v>330</v>
      </c>
      <c r="F16">
        <v>300</v>
      </c>
      <c r="G16">
        <f t="shared" si="0"/>
        <v>1.5299999999999998</v>
      </c>
      <c r="H16">
        <f t="shared" si="1"/>
        <v>2.46</v>
      </c>
      <c r="J16" t="s">
        <v>61</v>
      </c>
      <c r="K16">
        <v>140</v>
      </c>
      <c r="L16">
        <v>140</v>
      </c>
    </row>
    <row r="17" spans="4:12" ht="15" customHeight="1" x14ac:dyDescent="0.25">
      <c r="D17" t="s">
        <v>33</v>
      </c>
      <c r="E17">
        <v>350</v>
      </c>
      <c r="F17">
        <v>300</v>
      </c>
      <c r="G17">
        <f t="shared" si="0"/>
        <v>1.5699999999999998</v>
      </c>
      <c r="H17">
        <f t="shared" si="1"/>
        <v>2.5</v>
      </c>
      <c r="J17" t="s">
        <v>62</v>
      </c>
      <c r="K17">
        <v>160</v>
      </c>
      <c r="L17">
        <v>160</v>
      </c>
    </row>
    <row r="18" spans="4:12" ht="15" customHeight="1" x14ac:dyDescent="0.25">
      <c r="D18" t="s">
        <v>34</v>
      </c>
      <c r="E18">
        <v>390</v>
      </c>
      <c r="F18">
        <v>300</v>
      </c>
      <c r="G18">
        <f t="shared" si="0"/>
        <v>1.65</v>
      </c>
      <c r="H18">
        <f t="shared" si="1"/>
        <v>2.58</v>
      </c>
      <c r="J18" t="s">
        <v>63</v>
      </c>
      <c r="K18">
        <v>180</v>
      </c>
      <c r="L18">
        <v>180</v>
      </c>
    </row>
    <row r="19" spans="4:12" ht="15" customHeight="1" x14ac:dyDescent="0.25">
      <c r="D19" t="s">
        <v>35</v>
      </c>
      <c r="E19">
        <v>440</v>
      </c>
      <c r="F19">
        <v>300</v>
      </c>
      <c r="G19">
        <f t="shared" si="0"/>
        <v>1.75</v>
      </c>
      <c r="H19">
        <f t="shared" si="1"/>
        <v>2.6799999999999997</v>
      </c>
      <c r="J19" t="s">
        <v>64</v>
      </c>
      <c r="K19">
        <v>200</v>
      </c>
      <c r="L19">
        <v>200</v>
      </c>
    </row>
    <row r="20" spans="4:12" ht="15" customHeight="1" x14ac:dyDescent="0.25">
      <c r="D20" t="s">
        <v>36</v>
      </c>
      <c r="E20">
        <v>490</v>
      </c>
      <c r="F20">
        <v>300</v>
      </c>
      <c r="G20">
        <f t="shared" si="0"/>
        <v>1.8499999999999999</v>
      </c>
      <c r="H20">
        <f t="shared" si="1"/>
        <v>2.78</v>
      </c>
      <c r="J20" t="s">
        <v>65</v>
      </c>
      <c r="K20">
        <v>220</v>
      </c>
      <c r="L20">
        <v>220</v>
      </c>
    </row>
    <row r="21" spans="4:12" ht="15" customHeight="1" x14ac:dyDescent="0.25">
      <c r="D21" t="s">
        <v>37</v>
      </c>
      <c r="E21">
        <v>540</v>
      </c>
      <c r="F21">
        <v>300</v>
      </c>
      <c r="G21">
        <f t="shared" si="0"/>
        <v>1.95</v>
      </c>
      <c r="H21">
        <f t="shared" si="1"/>
        <v>2.88</v>
      </c>
      <c r="J21" t="s">
        <v>66</v>
      </c>
      <c r="K21">
        <v>240</v>
      </c>
      <c r="L21">
        <v>240</v>
      </c>
    </row>
    <row r="22" spans="4:12" ht="15" customHeight="1" x14ac:dyDescent="0.25">
      <c r="D22" t="s">
        <v>38</v>
      </c>
      <c r="E22">
        <v>590</v>
      </c>
      <c r="F22">
        <v>300</v>
      </c>
      <c r="G22">
        <f t="shared" si="0"/>
        <v>2.0499999999999998</v>
      </c>
      <c r="H22">
        <f t="shared" si="1"/>
        <v>2.9799999999999995</v>
      </c>
      <c r="J22" t="s">
        <v>68</v>
      </c>
      <c r="K22">
        <v>80</v>
      </c>
      <c r="L22">
        <v>80</v>
      </c>
    </row>
    <row r="23" spans="4:12" ht="15" customHeight="1" x14ac:dyDescent="0.25">
      <c r="J23" t="s">
        <v>67</v>
      </c>
      <c r="K23">
        <v>100</v>
      </c>
      <c r="L23">
        <v>100</v>
      </c>
    </row>
    <row r="24" spans="4:12" ht="15" customHeight="1" x14ac:dyDescent="0.25">
      <c r="J24" t="s">
        <v>69</v>
      </c>
      <c r="K24">
        <v>120</v>
      </c>
      <c r="L24">
        <v>120</v>
      </c>
    </row>
    <row r="25" spans="4:12" ht="15" customHeight="1" x14ac:dyDescent="0.25">
      <c r="J25" t="s">
        <v>70</v>
      </c>
      <c r="K25">
        <v>140</v>
      </c>
      <c r="L25">
        <v>140</v>
      </c>
    </row>
    <row r="26" spans="4:12" ht="15" customHeight="1" x14ac:dyDescent="0.25">
      <c r="J26" t="s">
        <v>72</v>
      </c>
      <c r="K26">
        <v>150</v>
      </c>
      <c r="L26">
        <v>150</v>
      </c>
    </row>
    <row r="27" spans="4:12" ht="15" customHeight="1" x14ac:dyDescent="0.25">
      <c r="J27" t="s">
        <v>71</v>
      </c>
      <c r="K27">
        <v>160</v>
      </c>
      <c r="L27">
        <v>160</v>
      </c>
    </row>
    <row r="28" spans="4:12" ht="15" customHeight="1" x14ac:dyDescent="0.25">
      <c r="J28" t="s">
        <v>73</v>
      </c>
      <c r="K28">
        <v>180</v>
      </c>
      <c r="L28">
        <v>180</v>
      </c>
    </row>
    <row r="29" spans="4:12" ht="15" customHeight="1" x14ac:dyDescent="0.25">
      <c r="J29" t="s">
        <v>74</v>
      </c>
      <c r="K29">
        <v>200</v>
      </c>
      <c r="L29">
        <v>200</v>
      </c>
    </row>
    <row r="34" spans="2:7" ht="15" customHeight="1" x14ac:dyDescent="0.25">
      <c r="B34" t="s">
        <v>131</v>
      </c>
      <c r="D34" s="79"/>
      <c r="E34" s="79"/>
      <c r="F34" s="79"/>
      <c r="G34" s="79"/>
    </row>
    <row r="35" spans="2:7" ht="15" customHeight="1" x14ac:dyDescent="0.25">
      <c r="D35" s="79"/>
      <c r="E35" s="79"/>
      <c r="F35" s="79"/>
      <c r="G35" s="79"/>
    </row>
    <row r="36" spans="2:7" ht="15" customHeight="1" x14ac:dyDescent="0.25">
      <c r="D36" s="79"/>
      <c r="E36" s="79"/>
      <c r="F36" s="79"/>
      <c r="G36" s="79"/>
    </row>
    <row r="37" spans="2:7" ht="15" customHeight="1" x14ac:dyDescent="0.25">
      <c r="D37" s="79"/>
      <c r="E37" s="79"/>
      <c r="F37" s="79"/>
      <c r="G37" s="79"/>
    </row>
    <row r="38" spans="2:7" ht="15" customHeight="1" x14ac:dyDescent="0.25">
      <c r="D38" s="79"/>
      <c r="E38" s="79"/>
      <c r="F38" s="79"/>
      <c r="G38" s="79"/>
    </row>
    <row r="39" spans="2:7" ht="15" customHeight="1" x14ac:dyDescent="0.25">
      <c r="D39" s="79"/>
      <c r="E39" s="79"/>
      <c r="F39" s="79"/>
      <c r="G39" s="79"/>
    </row>
    <row r="40" spans="2:7" ht="15" customHeight="1" x14ac:dyDescent="0.25">
      <c r="D40" s="79"/>
      <c r="E40" s="79"/>
      <c r="F40" s="79"/>
      <c r="G40" s="79"/>
    </row>
    <row r="41" spans="2:7" ht="15" customHeight="1" x14ac:dyDescent="0.25">
      <c r="D41" s="79"/>
      <c r="E41" s="79"/>
      <c r="F41" s="79"/>
      <c r="G41" s="79"/>
    </row>
  </sheetData>
  <mergeCells count="1">
    <mergeCell ref="D34:G41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Poteau</vt:lpstr>
      <vt:lpstr>Traverse</vt:lpstr>
      <vt:lpstr>IMAGES</vt:lpstr>
      <vt:lpstr>Données</vt:lpstr>
      <vt:lpstr>FormePRS</vt:lpstr>
      <vt:lpstr>formesprsimage</vt:lpstr>
      <vt:lpstr>Poteau!Zone_d_impression</vt:lpstr>
      <vt:lpstr>Traverse!Zone_d_impression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Jean-Philippe BIGEARD</dc:creator>
  <cp:lastModifiedBy>Jean-Philippe BIGEARD</cp:lastModifiedBy>
  <cp:lastPrinted>2022-07-28T08:22:14Z</cp:lastPrinted>
  <dcterms:created xsi:type="dcterms:W3CDTF">2022-04-28T12:46:46Z</dcterms:created>
  <dcterms:modified xsi:type="dcterms:W3CDTF">2022-07-29T13:38:01Z</dcterms:modified>
</cp:coreProperties>
</file>