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updateLinks="never" codeName="ThisWorkbook"/>
  <bookViews>
    <workbookView xWindow="15" yWindow="735" windowWidth="13410" windowHeight="7140" tabRatio="864"/>
  </bookViews>
  <sheets>
    <sheet name="Liste_UO" sheetId="104" r:id="rId1"/>
    <sheet name="KPI" sheetId="151" r:id="rId2"/>
  </sheets>
  <calcPr calcId="145621"/>
</workbook>
</file>

<file path=xl/calcChain.xml><?xml version="1.0" encoding="utf-8"?>
<calcChain xmlns="http://schemas.openxmlformats.org/spreadsheetml/2006/main">
  <c r="A2" i="104" l="1"/>
  <c r="A3" i="104"/>
  <c r="A4" i="104"/>
  <c r="A5" i="104"/>
  <c r="A6" i="104"/>
  <c r="A7" i="104"/>
  <c r="A8" i="104"/>
  <c r="A9" i="104"/>
  <c r="A10" i="104"/>
  <c r="A11" i="104"/>
  <c r="A12" i="104"/>
  <c r="A13" i="104"/>
  <c r="A14" i="104"/>
  <c r="A15" i="104"/>
  <c r="A16" i="104"/>
  <c r="A17" i="104"/>
  <c r="W3" i="104" l="1"/>
  <c r="W4" i="104"/>
  <c r="W5" i="104"/>
  <c r="W6" i="104"/>
  <c r="W7" i="104"/>
  <c r="W8" i="104"/>
  <c r="W10" i="104"/>
  <c r="W9" i="104"/>
  <c r="W12" i="104"/>
  <c r="W11" i="104"/>
  <c r="W13" i="104"/>
  <c r="W14" i="104"/>
  <c r="W15" i="104"/>
  <c r="W16" i="104"/>
  <c r="W17" i="104"/>
  <c r="W2" i="104"/>
  <c r="V3" i="104"/>
  <c r="V4" i="104"/>
  <c r="V5" i="104"/>
  <c r="V6" i="104"/>
  <c r="V7" i="104"/>
  <c r="V8" i="104"/>
  <c r="V10" i="104"/>
  <c r="V9" i="104"/>
  <c r="V12" i="104"/>
  <c r="V11" i="104"/>
  <c r="V13" i="104"/>
  <c r="V14" i="104"/>
  <c r="V15" i="104"/>
  <c r="V16" i="104"/>
  <c r="V17" i="104"/>
  <c r="V2" i="104"/>
  <c r="U3" i="104"/>
  <c r="U4" i="104"/>
  <c r="U5" i="104"/>
  <c r="U6" i="104"/>
  <c r="U7" i="104"/>
  <c r="U8" i="104"/>
  <c r="U10" i="104"/>
  <c r="U9" i="104"/>
  <c r="U12" i="104"/>
  <c r="U11" i="104"/>
  <c r="U13" i="104"/>
  <c r="U14" i="104"/>
  <c r="U15" i="104"/>
  <c r="U16" i="104"/>
  <c r="U17" i="104"/>
  <c r="U2" i="104"/>
  <c r="T3" i="104"/>
  <c r="T4" i="104"/>
  <c r="T5" i="104"/>
  <c r="T6" i="104"/>
  <c r="T7" i="104"/>
  <c r="T8" i="104"/>
  <c r="T10" i="104"/>
  <c r="T9" i="104"/>
  <c r="T12" i="104"/>
  <c r="T11" i="104"/>
  <c r="T13" i="104"/>
  <c r="T14" i="104"/>
  <c r="T15" i="104"/>
  <c r="T16" i="104"/>
  <c r="T17" i="104"/>
  <c r="T2" i="104"/>
  <c r="S3" i="104"/>
  <c r="S4" i="104"/>
  <c r="S5" i="104"/>
  <c r="S6" i="104"/>
  <c r="S7" i="104"/>
  <c r="S8" i="104"/>
  <c r="S10" i="104"/>
  <c r="S9" i="104"/>
  <c r="S12" i="104"/>
  <c r="S11" i="104"/>
  <c r="S13" i="104"/>
  <c r="S14" i="104"/>
  <c r="S15" i="104"/>
  <c r="S16" i="104"/>
  <c r="S17" i="104"/>
  <c r="S2" i="104"/>
  <c r="R3" i="104"/>
  <c r="R4" i="104"/>
  <c r="R5" i="104"/>
  <c r="R6" i="104"/>
  <c r="R7" i="104"/>
  <c r="R8" i="104"/>
  <c r="R10" i="104"/>
  <c r="R9" i="104"/>
  <c r="R12" i="104"/>
  <c r="R11" i="104"/>
  <c r="R13" i="104"/>
  <c r="R14" i="104"/>
  <c r="R15" i="104"/>
  <c r="R16" i="104"/>
  <c r="R17" i="104"/>
  <c r="R2" i="104"/>
  <c r="Q3" i="104"/>
  <c r="Q4" i="104"/>
  <c r="Q5" i="104"/>
  <c r="Q6" i="104"/>
  <c r="Q7" i="104"/>
  <c r="Q8" i="104"/>
  <c r="Q10" i="104"/>
  <c r="Q9" i="104"/>
  <c r="Q12" i="104"/>
  <c r="Q11" i="104"/>
  <c r="Q13" i="104"/>
  <c r="Q14" i="104"/>
  <c r="Q15" i="104"/>
  <c r="Q16" i="104"/>
  <c r="Q17" i="104"/>
  <c r="Q2" i="104"/>
  <c r="P3" i="104"/>
  <c r="P4" i="104"/>
  <c r="P5" i="104"/>
  <c r="P6" i="104"/>
  <c r="P7" i="104"/>
  <c r="P8" i="104"/>
  <c r="P10" i="104"/>
  <c r="P9" i="104"/>
  <c r="P12" i="104"/>
  <c r="P11" i="104"/>
  <c r="P13" i="104"/>
  <c r="P14" i="104"/>
  <c r="P15" i="104"/>
  <c r="P16" i="104"/>
  <c r="P17" i="104"/>
  <c r="P2" i="104"/>
  <c r="O3" i="104"/>
  <c r="O4" i="104"/>
  <c r="O5" i="104"/>
  <c r="O6" i="104"/>
  <c r="O7" i="104"/>
  <c r="O8" i="104"/>
  <c r="O10" i="104"/>
  <c r="O9" i="104"/>
  <c r="O12" i="104"/>
  <c r="O11" i="104"/>
  <c r="O13" i="104"/>
  <c r="O14" i="104"/>
  <c r="O15" i="104"/>
  <c r="O16" i="104"/>
  <c r="O17" i="104"/>
  <c r="O2" i="104"/>
  <c r="N3" i="104"/>
  <c r="N4" i="104"/>
  <c r="N5" i="104"/>
  <c r="N6" i="104"/>
  <c r="N7" i="104"/>
  <c r="N8" i="104"/>
  <c r="N10" i="104"/>
  <c r="N9" i="104"/>
  <c r="N12" i="104"/>
  <c r="N11" i="104"/>
  <c r="N13" i="104"/>
  <c r="N14" i="104"/>
  <c r="N15" i="104"/>
  <c r="N16" i="104"/>
  <c r="N17" i="104"/>
  <c r="N2" i="104"/>
  <c r="M3" i="104"/>
  <c r="M4" i="104"/>
  <c r="M5" i="104"/>
  <c r="M6" i="104"/>
  <c r="M7" i="104"/>
  <c r="M8" i="104"/>
  <c r="M10" i="104"/>
  <c r="M9" i="104"/>
  <c r="M12" i="104"/>
  <c r="M11" i="104"/>
  <c r="M13" i="104"/>
  <c r="M14" i="104"/>
  <c r="M15" i="104"/>
  <c r="M16" i="104"/>
  <c r="M17" i="104"/>
  <c r="M2" i="104"/>
  <c r="L3" i="104"/>
  <c r="L4" i="104"/>
  <c r="L5" i="104"/>
  <c r="L6" i="104"/>
  <c r="L7" i="104"/>
  <c r="L8" i="104"/>
  <c r="L10" i="104"/>
  <c r="L9" i="104"/>
  <c r="L12" i="104"/>
  <c r="L11" i="104"/>
  <c r="L13" i="104"/>
  <c r="L14" i="104"/>
  <c r="L15" i="104"/>
  <c r="L16" i="104"/>
  <c r="L17" i="104"/>
  <c r="L2" i="104"/>
  <c r="K3" i="104"/>
  <c r="K4" i="104"/>
  <c r="K5" i="104"/>
  <c r="K6" i="104"/>
  <c r="K7" i="104"/>
  <c r="K8" i="104"/>
  <c r="K10" i="104"/>
  <c r="K9" i="104"/>
  <c r="K12" i="104"/>
  <c r="K11" i="104"/>
  <c r="K13" i="104"/>
  <c r="K14" i="104"/>
  <c r="K15" i="104"/>
  <c r="K16" i="104"/>
  <c r="K17" i="104"/>
  <c r="K2" i="104"/>
  <c r="J3" i="104"/>
  <c r="J4" i="104"/>
  <c r="J5" i="104"/>
  <c r="J6" i="104"/>
  <c r="J7" i="104"/>
  <c r="J8" i="104"/>
  <c r="J10" i="104"/>
  <c r="J9" i="104"/>
  <c r="J12" i="104"/>
  <c r="J11" i="104"/>
  <c r="J13" i="104"/>
  <c r="J14" i="104"/>
  <c r="J15" i="104"/>
  <c r="J16" i="104"/>
  <c r="J17" i="104"/>
  <c r="J2" i="104"/>
  <c r="I3" i="104" l="1"/>
  <c r="I4" i="104"/>
  <c r="I5" i="104"/>
  <c r="I6" i="104"/>
  <c r="I7" i="104"/>
  <c r="I8" i="104"/>
  <c r="I10" i="104"/>
  <c r="I9" i="104"/>
  <c r="I12" i="104"/>
  <c r="I11" i="104"/>
  <c r="I13" i="104"/>
  <c r="I14" i="104"/>
  <c r="I15" i="104"/>
  <c r="I16" i="104"/>
  <c r="I17" i="104"/>
  <c r="I2" i="104"/>
  <c r="H3" i="104"/>
  <c r="H4" i="104"/>
  <c r="H5" i="104"/>
  <c r="H6" i="104"/>
  <c r="H7" i="104"/>
  <c r="H8" i="104"/>
  <c r="H10" i="104"/>
  <c r="H9" i="104"/>
  <c r="H12" i="104"/>
  <c r="H11" i="104"/>
  <c r="H13" i="104"/>
  <c r="H14" i="104"/>
  <c r="H15" i="104"/>
  <c r="H16" i="104"/>
  <c r="H17" i="104"/>
  <c r="H2" i="104"/>
  <c r="G3" i="104"/>
  <c r="G4" i="104"/>
  <c r="G5" i="104"/>
  <c r="G6" i="104"/>
  <c r="G7" i="104"/>
  <c r="G8" i="104"/>
  <c r="G10" i="104"/>
  <c r="G9" i="104"/>
  <c r="G12" i="104"/>
  <c r="G11" i="104"/>
  <c r="G13" i="104"/>
  <c r="G14" i="104"/>
  <c r="G15" i="104"/>
  <c r="G16" i="104"/>
  <c r="G17" i="104"/>
  <c r="G2" i="104"/>
  <c r="F3" i="104"/>
  <c r="F4" i="104"/>
  <c r="F5" i="104"/>
  <c r="F6" i="104"/>
  <c r="F7" i="104"/>
  <c r="F8" i="104"/>
  <c r="F10" i="104"/>
  <c r="F9" i="104"/>
  <c r="F12" i="104"/>
  <c r="F11" i="104"/>
  <c r="F13" i="104"/>
  <c r="F14" i="104"/>
  <c r="F15" i="104"/>
  <c r="F16" i="104"/>
  <c r="F17" i="104"/>
  <c r="F2" i="104"/>
  <c r="E3" i="104"/>
  <c r="E4" i="104"/>
  <c r="E5" i="104"/>
  <c r="E6" i="104"/>
  <c r="E7" i="104"/>
  <c r="E8" i="104"/>
  <c r="E10" i="104"/>
  <c r="E9" i="104"/>
  <c r="E12" i="104"/>
  <c r="E11" i="104"/>
  <c r="E13" i="104"/>
  <c r="E14" i="104"/>
  <c r="E15" i="104"/>
  <c r="E16" i="104"/>
  <c r="E17" i="104"/>
  <c r="E2" i="104"/>
  <c r="D3" i="104"/>
  <c r="D4" i="104"/>
  <c r="D5" i="104"/>
  <c r="D6" i="104"/>
  <c r="D7" i="104"/>
  <c r="D8" i="104"/>
  <c r="D10" i="104"/>
  <c r="D9" i="104"/>
  <c r="D12" i="104"/>
  <c r="D11" i="104"/>
  <c r="D13" i="104"/>
  <c r="D14" i="104"/>
  <c r="D15" i="104"/>
  <c r="D16" i="104"/>
  <c r="D17" i="104"/>
  <c r="D2" i="104"/>
  <c r="C3" i="104"/>
  <c r="C4" i="104"/>
  <c r="C5" i="104"/>
  <c r="C6" i="104"/>
  <c r="C7" i="104"/>
  <c r="C8" i="104"/>
  <c r="C10" i="104"/>
  <c r="C9" i="104"/>
  <c r="C12" i="104"/>
  <c r="C11" i="104"/>
  <c r="C13" i="104"/>
  <c r="C14" i="104"/>
  <c r="C15" i="104"/>
  <c r="C16" i="104"/>
  <c r="C17" i="104"/>
  <c r="C2" i="104"/>
  <c r="AC18" i="151" l="1"/>
  <c r="AC19" i="151"/>
  <c r="AC30" i="151"/>
  <c r="AC31" i="151"/>
  <c r="AC32" i="151"/>
  <c r="AC34" i="151"/>
  <c r="AC42" i="151"/>
  <c r="AC48" i="151"/>
  <c r="AC49" i="151"/>
  <c r="AC58" i="151"/>
  <c r="AC64" i="151"/>
  <c r="AC76" i="151"/>
  <c r="AC77" i="151"/>
  <c r="AC81" i="151"/>
  <c r="AC82" i="151"/>
  <c r="AC83" i="151"/>
  <c r="AC84" i="151"/>
  <c r="AC85" i="151"/>
  <c r="AC86" i="151"/>
  <c r="AC87" i="151"/>
  <c r="AC103" i="151"/>
  <c r="AC104" i="151"/>
  <c r="AC105" i="151"/>
  <c r="AC111" i="151"/>
  <c r="AC133" i="151"/>
  <c r="AC157" i="151"/>
  <c r="AC160" i="151"/>
  <c r="AC162" i="151"/>
  <c r="AC163" i="151"/>
  <c r="AC169" i="151"/>
  <c r="AC190" i="151"/>
  <c r="AC200" i="151"/>
  <c r="AC201" i="151"/>
  <c r="AC203" i="151"/>
  <c r="AC204" i="151"/>
  <c r="AC205" i="151"/>
  <c r="AC236" i="151"/>
  <c r="AC251" i="151"/>
  <c r="AC255" i="151"/>
  <c r="AC258" i="151"/>
  <c r="AC276" i="151"/>
  <c r="AC285" i="151"/>
  <c r="AC293" i="151"/>
  <c r="AC294" i="151"/>
  <c r="AC301" i="151"/>
  <c r="AC303" i="151"/>
  <c r="AC304" i="151"/>
  <c r="AC309" i="151"/>
  <c r="AC310" i="151"/>
  <c r="AC314" i="151"/>
  <c r="AC318" i="151"/>
  <c r="AC324" i="151"/>
  <c r="AC218" i="151" l="1"/>
  <c r="AC2" i="151" l="1"/>
  <c r="AC6" i="151" l="1"/>
  <c r="AC9" i="151"/>
  <c r="AC17" i="151"/>
  <c r="AC40" i="151"/>
  <c r="AC41" i="151"/>
  <c r="AC46" i="151"/>
  <c r="AC51" i="151"/>
  <c r="AC52" i="151"/>
  <c r="AC70" i="151"/>
  <c r="AC73" i="151"/>
  <c r="AC74" i="151"/>
  <c r="AC95" i="151"/>
  <c r="AC96" i="151"/>
  <c r="AC107" i="151"/>
  <c r="AC109" i="151"/>
  <c r="AC115" i="151"/>
  <c r="AC119" i="151"/>
  <c r="AC122" i="151"/>
  <c r="AC126" i="151"/>
  <c r="AC137" i="151"/>
  <c r="AC156" i="151"/>
  <c r="AC176" i="151"/>
  <c r="AC185" i="151"/>
  <c r="AC187" i="151"/>
  <c r="AC297" i="151"/>
  <c r="AC302" i="151"/>
  <c r="AC307" i="151"/>
  <c r="AC321" i="151" l="1"/>
  <c r="AC323" i="151"/>
  <c r="AC313" i="151"/>
  <c r="AC289" i="151"/>
  <c r="AC281" i="151"/>
  <c r="AC278" i="151"/>
  <c r="AC274" i="151"/>
  <c r="AC270" i="151"/>
  <c r="AC266" i="151"/>
  <c r="AC262" i="151"/>
  <c r="AC247" i="151"/>
  <c r="AC224" i="151"/>
  <c r="AC198" i="151"/>
  <c r="AC168" i="151"/>
  <c r="AC164" i="151"/>
  <c r="AC158" i="151"/>
  <c r="AC153" i="151"/>
  <c r="AC149" i="151"/>
  <c r="AC146" i="151"/>
  <c r="AC135" i="151"/>
  <c r="AC130" i="151"/>
  <c r="AC127" i="151"/>
  <c r="AC98" i="151"/>
  <c r="AC94" i="151"/>
  <c r="AC80" i="151"/>
  <c r="AC72" i="151"/>
  <c r="AC66" i="151"/>
  <c r="AC60" i="151"/>
  <c r="AC44" i="151"/>
  <c r="AC38" i="151"/>
  <c r="AC10" i="151"/>
  <c r="AC316" i="151"/>
  <c r="AC319" i="151"/>
  <c r="AC312" i="151"/>
  <c r="AC296" i="151"/>
  <c r="AC288" i="151"/>
  <c r="AC284" i="151"/>
  <c r="AC280" i="151"/>
  <c r="AC277" i="151"/>
  <c r="AC273" i="151"/>
  <c r="AC269" i="151"/>
  <c r="AC265" i="151"/>
  <c r="AC261" i="151"/>
  <c r="AC257" i="151"/>
  <c r="AC253" i="151"/>
  <c r="AC184" i="151"/>
  <c r="AC180" i="151"/>
  <c r="AC152" i="151"/>
  <c r="AC145" i="151"/>
  <c r="AC134" i="151"/>
  <c r="AC123" i="151"/>
  <c r="AC113" i="151"/>
  <c r="AC106" i="151"/>
  <c r="AC93" i="151"/>
  <c r="AC79" i="151"/>
  <c r="AC75" i="151"/>
  <c r="AC71" i="151"/>
  <c r="AC69" i="151"/>
  <c r="AC59" i="151"/>
  <c r="AC56" i="151"/>
  <c r="AC50" i="151"/>
  <c r="AC47" i="151"/>
  <c r="AC43" i="151"/>
  <c r="AC35" i="151"/>
  <c r="AC28" i="151"/>
  <c r="AC7" i="151"/>
  <c r="AC320" i="151"/>
  <c r="AC315" i="151"/>
  <c r="AC311" i="151"/>
  <c r="AC308" i="151"/>
  <c r="AC306" i="151"/>
  <c r="AC299" i="151"/>
  <c r="AC295" i="151"/>
  <c r="AC291" i="151"/>
  <c r="AC287" i="151"/>
  <c r="AC272" i="151"/>
  <c r="AC268" i="151"/>
  <c r="AC264" i="151"/>
  <c r="AC260" i="151"/>
  <c r="AC256" i="151"/>
  <c r="AC225" i="151"/>
  <c r="AC202" i="151"/>
  <c r="AC183" i="151"/>
  <c r="AC175" i="151"/>
  <c r="AC170" i="151"/>
  <c r="AC166" i="151"/>
  <c r="AC147" i="151"/>
  <c r="AC140" i="151"/>
  <c r="AC125" i="151"/>
  <c r="AC108" i="151"/>
  <c r="AC100" i="151"/>
  <c r="AC92" i="151"/>
  <c r="AC68" i="151"/>
  <c r="AC62" i="151"/>
  <c r="AC53" i="151"/>
  <c r="AC27" i="151"/>
  <c r="AC15" i="151"/>
  <c r="AC317" i="151"/>
  <c r="AC305" i="151"/>
  <c r="AC298" i="151"/>
  <c r="AC290" i="151"/>
  <c r="AC286" i="151"/>
  <c r="AC282" i="151"/>
  <c r="AC275" i="151"/>
  <c r="AC271" i="151"/>
  <c r="AC267" i="151"/>
  <c r="AC263" i="151"/>
  <c r="AC259" i="151"/>
  <c r="AC191" i="151"/>
  <c r="AC174" i="151"/>
  <c r="AC165" i="151"/>
  <c r="AC154" i="151"/>
  <c r="AC150" i="151"/>
  <c r="AC136" i="151"/>
  <c r="AC128" i="151"/>
  <c r="AC99" i="151"/>
  <c r="AC89" i="151"/>
  <c r="AC67" i="151"/>
  <c r="AC61" i="151"/>
  <c r="AC57" i="151"/>
  <c r="AC54" i="151"/>
  <c r="AC36" i="151"/>
  <c r="AC14" i="151"/>
  <c r="AC322" i="151" l="1"/>
  <c r="AC116" i="151"/>
  <c r="AC37" i="151"/>
  <c r="AC91" i="151"/>
  <c r="AC8" i="151"/>
  <c r="AC219" i="151" l="1"/>
  <c r="AD216" i="151" l="1"/>
  <c r="A329" i="151" l="1"/>
  <c r="AC212" i="151" l="1"/>
  <c r="AC327" i="151"/>
  <c r="AC248" i="151"/>
  <c r="AC238" i="151" l="1"/>
  <c r="AC3" i="151"/>
  <c r="I329" i="151"/>
  <c r="H329" i="151"/>
  <c r="J329" i="151"/>
  <c r="AD158" i="151"/>
  <c r="AD214" i="151"/>
  <c r="AD203" i="151"/>
  <c r="AD104" i="151"/>
  <c r="AD218" i="151"/>
  <c r="AD185" i="151"/>
  <c r="AD210" i="151" l="1"/>
  <c r="AD81" i="151"/>
  <c r="AI81" i="151" s="1"/>
  <c r="AJ81" i="151" s="1"/>
  <c r="AD134" i="151"/>
  <c r="AI134" i="151" s="1"/>
  <c r="AJ134" i="151" s="1"/>
  <c r="AD133" i="151"/>
  <c r="AI133" i="151" s="1"/>
  <c r="AJ133" i="151" s="1"/>
  <c r="AD136" i="151"/>
  <c r="AD303" i="151"/>
  <c r="AI303" i="151" s="1"/>
  <c r="AJ303" i="151" s="1"/>
  <c r="AD2" i="151"/>
  <c r="AD80" i="151"/>
  <c r="AI80" i="151" s="1"/>
  <c r="AJ80" i="151" s="1"/>
  <c r="AD244" i="151"/>
  <c r="AD83" i="151"/>
  <c r="AI83" i="151" s="1"/>
  <c r="AJ83" i="151" s="1"/>
  <c r="AD272" i="151"/>
  <c r="AD113" i="151"/>
  <c r="AI113" i="151" s="1"/>
  <c r="AJ113" i="151" s="1"/>
  <c r="AD179" i="151"/>
  <c r="AI179" i="151" s="1"/>
  <c r="AJ179" i="151" s="1"/>
  <c r="AD275" i="151"/>
  <c r="AI275" i="151" s="1"/>
  <c r="AJ275" i="151" s="1"/>
  <c r="AC328" i="151"/>
  <c r="AC254" i="151"/>
  <c r="AC173" i="151"/>
  <c r="AC120" i="151"/>
  <c r="AC33" i="151"/>
  <c r="AC29" i="151"/>
  <c r="AC22" i="151"/>
  <c r="AC20" i="151"/>
  <c r="AC25" i="151"/>
  <c r="AC21" i="151"/>
  <c r="AC23" i="151"/>
  <c r="AC24" i="151"/>
  <c r="AD328" i="151"/>
  <c r="AI328" i="151" s="1"/>
  <c r="AJ328" i="151" s="1"/>
  <c r="AC189" i="151"/>
  <c r="AC209" i="151"/>
  <c r="AC216" i="151"/>
  <c r="AC112" i="151"/>
  <c r="AC208" i="151"/>
  <c r="AC206" i="151"/>
  <c r="AC221" i="151"/>
  <c r="AC214" i="151"/>
  <c r="AC210" i="151"/>
  <c r="AC207" i="151"/>
  <c r="AC97" i="151"/>
  <c r="AC195" i="151"/>
  <c r="AC220" i="151"/>
  <c r="AC101" i="151"/>
  <c r="AC250" i="151"/>
  <c r="AC245" i="151"/>
  <c r="AC241" i="151"/>
  <c r="AC121" i="151"/>
  <c r="AC181" i="151"/>
  <c r="AC223" i="151"/>
  <c r="AC222" i="151"/>
  <c r="AC244" i="151"/>
  <c r="AC55" i="151"/>
  <c r="AC242" i="151"/>
  <c r="AC194" i="151"/>
  <c r="AC159" i="151"/>
  <c r="AC228" i="151"/>
  <c r="AC226" i="151"/>
  <c r="AC232" i="151"/>
  <c r="AC283" i="151"/>
  <c r="AC178" i="151"/>
  <c r="AC110" i="151"/>
  <c r="AC179" i="151"/>
  <c r="AC246" i="151"/>
  <c r="AC325" i="151"/>
  <c r="AC4" i="151"/>
  <c r="AD217" i="151"/>
  <c r="AI217" i="151" s="1"/>
  <c r="AJ217" i="151" s="1"/>
  <c r="AC63" i="151"/>
  <c r="AC197" i="151"/>
  <c r="AC138" i="151"/>
  <c r="AC118" i="151"/>
  <c r="AC231" i="151"/>
  <c r="AC151" i="151"/>
  <c r="AC192" i="151"/>
  <c r="AC172" i="151"/>
  <c r="AC182" i="151"/>
  <c r="AC142" i="151"/>
  <c r="AC131" i="151"/>
  <c r="AC199" i="151"/>
  <c r="AC215" i="151"/>
  <c r="AC239" i="151"/>
  <c r="AC161" i="151"/>
  <c r="AC155" i="151"/>
  <c r="AC292" i="151"/>
  <c r="AC114" i="151"/>
  <c r="AC213" i="151"/>
  <c r="AC326" i="151"/>
  <c r="AC249" i="151"/>
  <c r="AC12" i="151"/>
  <c r="AC65" i="151"/>
  <c r="AC196" i="151"/>
  <c r="AC235" i="151"/>
  <c r="AC234" i="151"/>
  <c r="AC124" i="151"/>
  <c r="AC139" i="151"/>
  <c r="AC132" i="151"/>
  <c r="AC148" i="151"/>
  <c r="AC102" i="151"/>
  <c r="AC144" i="151"/>
  <c r="AC186" i="151"/>
  <c r="AC211" i="151"/>
  <c r="AD39" i="151"/>
  <c r="AI2" i="151"/>
  <c r="AJ2" i="151" s="1"/>
  <c r="AI136" i="151"/>
  <c r="AJ136" i="151" s="1"/>
  <c r="AC237" i="151"/>
  <c r="AC230" i="151"/>
  <c r="AD215" i="151"/>
  <c r="AI215" i="151" s="1"/>
  <c r="AJ215" i="151" s="1"/>
  <c r="AD249" i="151"/>
  <c r="AI249" i="151" s="1"/>
  <c r="AJ249" i="151" s="1"/>
  <c r="AD246" i="151"/>
  <c r="AI246" i="151" s="1"/>
  <c r="AJ246" i="151" s="1"/>
  <c r="AD248" i="151"/>
  <c r="AI248" i="151" s="1"/>
  <c r="AJ248" i="151" s="1"/>
  <c r="AD245" i="151"/>
  <c r="AI245" i="151" s="1"/>
  <c r="AJ245" i="151" s="1"/>
  <c r="AD250" i="151"/>
  <c r="AD243" i="151"/>
  <c r="AI243" i="151" s="1"/>
  <c r="AJ243" i="151" s="1"/>
  <c r="AD99" i="151"/>
  <c r="AI99" i="151" s="1"/>
  <c r="AJ99" i="151" s="1"/>
  <c r="AD173" i="151"/>
  <c r="AI173" i="151" s="1"/>
  <c r="AJ173" i="151" s="1"/>
  <c r="AD235" i="151"/>
  <c r="AD92" i="151"/>
  <c r="AI92" i="151" s="1"/>
  <c r="AJ92" i="151" s="1"/>
  <c r="AD132" i="151"/>
  <c r="AD320" i="151"/>
  <c r="AI320" i="151" s="1"/>
  <c r="AJ320" i="151" s="1"/>
  <c r="AD289" i="151"/>
  <c r="AD287" i="151"/>
  <c r="AI287" i="151" s="1"/>
  <c r="AJ287" i="151" s="1"/>
  <c r="AI158" i="151"/>
  <c r="AJ158" i="151" s="1"/>
  <c r="AI104" i="151"/>
  <c r="AJ104" i="151" s="1"/>
  <c r="AD319" i="151"/>
  <c r="AI319" i="151" s="1"/>
  <c r="AJ319" i="151" s="1"/>
  <c r="AD274" i="151"/>
  <c r="AI274" i="151" s="1"/>
  <c r="AJ274" i="151" s="1"/>
  <c r="AD138" i="151"/>
  <c r="AI138" i="151" s="1"/>
  <c r="AJ138" i="151" s="1"/>
  <c r="AD105" i="151"/>
  <c r="AD115" i="151"/>
  <c r="AI115" i="151" s="1"/>
  <c r="AJ115" i="151" s="1"/>
  <c r="AD114" i="151"/>
  <c r="AD314" i="151"/>
  <c r="AI314" i="151" s="1"/>
  <c r="AJ314" i="151" s="1"/>
  <c r="AD96" i="151"/>
  <c r="AI96" i="151" s="1"/>
  <c r="AJ96" i="151" s="1"/>
  <c r="AD58" i="151"/>
  <c r="AI58" i="151" s="1"/>
  <c r="AJ58" i="151" s="1"/>
  <c r="AD67" i="151"/>
  <c r="AI67" i="151" s="1"/>
  <c r="AJ67" i="151" s="1"/>
  <c r="AD32" i="151"/>
  <c r="AI32" i="151" s="1"/>
  <c r="AJ32" i="151" s="1"/>
  <c r="AD276" i="151"/>
  <c r="AI276" i="151" s="1"/>
  <c r="AJ276" i="151" s="1"/>
  <c r="AI216" i="151"/>
  <c r="AJ216" i="151" s="1"/>
  <c r="AD10" i="151"/>
  <c r="AI10" i="151" s="1"/>
  <c r="AJ10" i="151" s="1"/>
  <c r="AI218" i="151"/>
  <c r="AJ218" i="151" s="1"/>
  <c r="AI214" i="151"/>
  <c r="AJ214" i="151" s="1"/>
  <c r="AD137" i="151"/>
  <c r="AI137" i="151" s="1"/>
  <c r="AJ137" i="151" s="1"/>
  <c r="AD147" i="151"/>
  <c r="AI147" i="151" s="1"/>
  <c r="AJ147" i="151" s="1"/>
  <c r="AD94" i="151"/>
  <c r="AD135" i="151"/>
  <c r="AI135" i="151" s="1"/>
  <c r="AJ135" i="151" s="1"/>
  <c r="AD322" i="151"/>
  <c r="AD292" i="151"/>
  <c r="AI292" i="151" s="1"/>
  <c r="AJ292" i="151" s="1"/>
  <c r="AD316" i="151"/>
  <c r="AD257" i="151"/>
  <c r="AD200" i="151"/>
  <c r="AI200" i="151" s="1"/>
  <c r="AJ200" i="151" s="1"/>
  <c r="AD279" i="151"/>
  <c r="AI279" i="151" s="1"/>
  <c r="AJ279" i="151" s="1"/>
  <c r="AD17" i="151"/>
  <c r="AD281" i="151"/>
  <c r="AI281" i="151" s="1"/>
  <c r="AJ281" i="151" s="1"/>
  <c r="AD253" i="151"/>
  <c r="AI253" i="151" s="1"/>
  <c r="AJ253" i="151" s="1"/>
  <c r="AD283" i="151"/>
  <c r="AD202" i="151"/>
  <c r="AI202" i="151" s="1"/>
  <c r="AJ202" i="151" s="1"/>
  <c r="AD36" i="151"/>
  <c r="AD125" i="151"/>
  <c r="AD280" i="151"/>
  <c r="AI280" i="151" s="1"/>
  <c r="AJ280" i="151" s="1"/>
  <c r="AD91" i="151"/>
  <c r="AI91" i="151" s="1"/>
  <c r="AJ91" i="151" s="1"/>
  <c r="AD52" i="151"/>
  <c r="AI52" i="151" s="1"/>
  <c r="AJ52" i="151" s="1"/>
  <c r="AD269" i="151"/>
  <c r="AD69" i="151"/>
  <c r="AI69" i="151" s="1"/>
  <c r="AJ69" i="151" s="1"/>
  <c r="AD224" i="151"/>
  <c r="AI224" i="151" s="1"/>
  <c r="AJ224" i="151" s="1"/>
  <c r="AD302" i="151"/>
  <c r="AD9" i="151"/>
  <c r="AI9" i="151" s="1"/>
  <c r="AJ9" i="151" s="1"/>
  <c r="AD118" i="151"/>
  <c r="AI118" i="151" s="1"/>
  <c r="AJ118" i="151" s="1"/>
  <c r="AD3" i="151"/>
  <c r="AI3" i="151" s="1"/>
  <c r="AJ3" i="151" s="1"/>
  <c r="AD233" i="151"/>
  <c r="AD14" i="151"/>
  <c r="AI14" i="151" s="1"/>
  <c r="AJ14" i="151" s="1"/>
  <c r="AD16" i="151"/>
  <c r="AD223" i="151"/>
  <c r="AI223" i="151" s="1"/>
  <c r="AJ223" i="151" s="1"/>
  <c r="AD102" i="151"/>
  <c r="AI102" i="151" s="1"/>
  <c r="AJ102" i="151" s="1"/>
  <c r="AD254" i="151"/>
  <c r="AI254" i="151" s="1"/>
  <c r="AJ254" i="151" s="1"/>
  <c r="AD258" i="151"/>
  <c r="AD232" i="151"/>
  <c r="AD25" i="151"/>
  <c r="AD12" i="151"/>
  <c r="AD6" i="151"/>
  <c r="AD47" i="151"/>
  <c r="AI47" i="151" s="1"/>
  <c r="AJ47" i="151" s="1"/>
  <c r="AD291" i="151"/>
  <c r="AI291" i="151" s="1"/>
  <c r="AJ291" i="151" s="1"/>
  <c r="AD313" i="151"/>
  <c r="AI313" i="151" s="1"/>
  <c r="AJ313" i="151" s="1"/>
  <c r="AI244" i="151"/>
  <c r="AJ244" i="151" s="1"/>
  <c r="AD74" i="151"/>
  <c r="AI74" i="151" s="1"/>
  <c r="AJ74" i="151" s="1"/>
  <c r="AD107" i="151"/>
  <c r="AD97" i="151"/>
  <c r="AD247" i="151"/>
  <c r="AD95" i="151"/>
  <c r="AD98" i="151"/>
  <c r="AI98" i="151" s="1"/>
  <c r="AJ98" i="151" s="1"/>
  <c r="AD70" i="151"/>
  <c r="AI70" i="151" s="1"/>
  <c r="AJ70" i="151" s="1"/>
  <c r="AD251" i="151"/>
  <c r="AD266" i="151"/>
  <c r="AI266" i="151" s="1"/>
  <c r="AJ266" i="151" s="1"/>
  <c r="AD225" i="151"/>
  <c r="AI225" i="151" s="1"/>
  <c r="AJ225" i="151" s="1"/>
  <c r="AD228" i="151"/>
  <c r="AD169" i="151"/>
  <c r="AI169" i="151" s="1"/>
  <c r="AJ169" i="151" s="1"/>
  <c r="AD79" i="151"/>
  <c r="AD252" i="151"/>
  <c r="AD267" i="151"/>
  <c r="AD180" i="151"/>
  <c r="AD236" i="151"/>
  <c r="AD38" i="151"/>
  <c r="AD101" i="151"/>
  <c r="AD206" i="151"/>
  <c r="AI206" i="151" s="1"/>
  <c r="AJ206" i="151" s="1"/>
  <c r="AD227" i="151"/>
  <c r="AD204" i="151"/>
  <c r="AD256" i="151"/>
  <c r="AD268" i="151"/>
  <c r="AI268" i="151" s="1"/>
  <c r="AJ268" i="151" s="1"/>
  <c r="AD82" i="151"/>
  <c r="AI82" i="151" s="1"/>
  <c r="AJ82" i="151" s="1"/>
  <c r="AD271" i="151"/>
  <c r="AI271" i="151" s="1"/>
  <c r="AJ271" i="151" s="1"/>
  <c r="AD191" i="151"/>
  <c r="AI191" i="151" s="1"/>
  <c r="AJ191" i="151" s="1"/>
  <c r="AD13" i="151"/>
  <c r="AI13" i="151" s="1"/>
  <c r="AJ13" i="151" s="1"/>
  <c r="AD231" i="151"/>
  <c r="AD219" i="151"/>
  <c r="AD255" i="151"/>
  <c r="AD260" i="151"/>
  <c r="AD226" i="151"/>
  <c r="AD299" i="151"/>
  <c r="AD263" i="151"/>
  <c r="AD20" i="151"/>
  <c r="AD109" i="151"/>
  <c r="AI109" i="151" s="1"/>
  <c r="AJ109" i="151" s="1"/>
  <c r="AD264" i="151"/>
  <c r="AD18" i="151"/>
  <c r="AI18" i="151" s="1"/>
  <c r="AJ18" i="151" s="1"/>
  <c r="AD234" i="151"/>
  <c r="AD229" i="151"/>
  <c r="AD230" i="151"/>
  <c r="AD265" i="151"/>
  <c r="AD126" i="151"/>
  <c r="AD213" i="151"/>
  <c r="AD270" i="151"/>
  <c r="AD222" i="151"/>
  <c r="AD19" i="151"/>
  <c r="AI19" i="151" s="1"/>
  <c r="AJ19" i="151" s="1"/>
  <c r="AD85" i="151"/>
  <c r="AI85" i="151" s="1"/>
  <c r="AJ85" i="151" s="1"/>
  <c r="AD221" i="151"/>
  <c r="AD262" i="151"/>
  <c r="AD220" i="151"/>
  <c r="AD259" i="151"/>
  <c r="AD111" i="151"/>
  <c r="AI111" i="151" s="1"/>
  <c r="AJ111" i="151" s="1"/>
  <c r="AD100" i="151"/>
  <c r="AD261" i="151"/>
  <c r="AD15" i="151"/>
  <c r="AD63" i="151"/>
  <c r="AI63" i="151" s="1"/>
  <c r="AJ63" i="151" s="1"/>
  <c r="C329" i="151"/>
  <c r="AD31" i="151"/>
  <c r="AI31" i="151" s="1"/>
  <c r="AJ31" i="151" s="1"/>
  <c r="AD242" i="151"/>
  <c r="AI242" i="151" s="1"/>
  <c r="AJ242" i="151" s="1"/>
  <c r="AD238" i="151"/>
  <c r="AI238" i="151" s="1"/>
  <c r="AJ238" i="151" s="1"/>
  <c r="AD326" i="151"/>
  <c r="AD241" i="151"/>
  <c r="AD325" i="151"/>
  <c r="AD239" i="151"/>
  <c r="AD327" i="151"/>
  <c r="AD284" i="151"/>
  <c r="AI284" i="151" s="1"/>
  <c r="AJ284" i="151" s="1"/>
  <c r="AD324" i="151"/>
  <c r="AD8" i="151"/>
  <c r="AI8" i="151" s="1"/>
  <c r="AJ8" i="151" s="1"/>
  <c r="AD318" i="151"/>
  <c r="AI318" i="151" s="1"/>
  <c r="AJ318" i="151" s="1"/>
  <c r="AD278" i="151"/>
  <c r="AD143" i="151"/>
  <c r="AI143" i="151" s="1"/>
  <c r="AJ143" i="151" s="1"/>
  <c r="AD188" i="151"/>
  <c r="AD124" i="151"/>
  <c r="AD129" i="151"/>
  <c r="AI129" i="151" s="1"/>
  <c r="AJ129" i="151" s="1"/>
  <c r="AD87" i="151"/>
  <c r="AI87" i="151" s="1"/>
  <c r="AJ87" i="151" s="1"/>
  <c r="AD84" i="151"/>
  <c r="AI84" i="151" s="1"/>
  <c r="AJ84" i="151" s="1"/>
  <c r="AD76" i="151"/>
  <c r="AD61" i="151"/>
  <c r="AD49" i="151"/>
  <c r="AD60" i="151"/>
  <c r="AD55" i="151"/>
  <c r="AD48" i="151"/>
  <c r="AD23" i="151"/>
  <c r="AD11" i="151"/>
  <c r="AD311" i="151"/>
  <c r="AD310" i="151"/>
  <c r="AI310" i="151" s="1"/>
  <c r="AJ310" i="151" s="1"/>
  <c r="AD308" i="151"/>
  <c r="AD307" i="151"/>
  <c r="AD306" i="151"/>
  <c r="AD305" i="151"/>
  <c r="AI305" i="151" s="1"/>
  <c r="AJ305" i="151" s="1"/>
  <c r="AD304" i="151"/>
  <c r="AI304" i="151" s="1"/>
  <c r="AJ304" i="151" s="1"/>
  <c r="AD300" i="151"/>
  <c r="AI300" i="151" s="1"/>
  <c r="AJ300" i="151" s="1"/>
  <c r="AD285" i="151"/>
  <c r="AD277" i="151"/>
  <c r="AD117" i="151"/>
  <c r="AD110" i="151"/>
  <c r="AD131" i="151"/>
  <c r="AD29" i="151"/>
  <c r="AD22" i="151"/>
  <c r="AD208" i="151"/>
  <c r="AI208" i="151" s="1"/>
  <c r="AJ208" i="151" s="1"/>
  <c r="AD301" i="151"/>
  <c r="AI301" i="151" s="1"/>
  <c r="AJ301" i="151" s="1"/>
  <c r="AD199" i="151"/>
  <c r="AI199" i="151" s="1"/>
  <c r="AJ199" i="151" s="1"/>
  <c r="AI203" i="151"/>
  <c r="AJ203" i="151" s="1"/>
  <c r="AD315" i="151"/>
  <c r="AI315" i="151" s="1"/>
  <c r="AJ315" i="151" s="1"/>
  <c r="AD290" i="151"/>
  <c r="AD21" i="151"/>
  <c r="AD154" i="151"/>
  <c r="AD297" i="151"/>
  <c r="AD288" i="151"/>
  <c r="AD317" i="151"/>
  <c r="AD309" i="151"/>
  <c r="AD293" i="151"/>
  <c r="AD209" i="151"/>
  <c r="AD112" i="151"/>
  <c r="AD321" i="151"/>
  <c r="AD286" i="151"/>
  <c r="AI286" i="151" s="1"/>
  <c r="AJ286" i="151" s="1"/>
  <c r="AD205" i="151"/>
  <c r="AD108" i="151"/>
  <c r="AD127" i="151"/>
  <c r="AD106" i="151"/>
  <c r="AI106" i="151" s="1"/>
  <c r="AJ106" i="151" s="1"/>
  <c r="AD4" i="151"/>
  <c r="AI4" i="151" s="1"/>
  <c r="AJ4" i="151" s="1"/>
  <c r="AD201" i="151"/>
  <c r="AD7" i="151"/>
  <c r="AD207" i="151"/>
  <c r="AD181" i="151"/>
  <c r="AD312" i="151"/>
  <c r="AD296" i="151"/>
  <c r="AD116" i="151"/>
  <c r="AD197" i="151"/>
  <c r="AI197" i="151" s="1"/>
  <c r="AJ197" i="151" s="1"/>
  <c r="AD273" i="151"/>
  <c r="AD122" i="151"/>
  <c r="AD103" i="151"/>
  <c r="AD298" i="151"/>
  <c r="AD294" i="151"/>
  <c r="AD211" i="151"/>
  <c r="AD282" i="151"/>
  <c r="AI282" i="151" s="1"/>
  <c r="AJ282" i="151" s="1"/>
  <c r="AD198" i="151"/>
  <c r="AI198" i="151" s="1"/>
  <c r="AJ198" i="151" s="1"/>
  <c r="AD323" i="151"/>
  <c r="AD5" i="151"/>
  <c r="AI5" i="151" s="1"/>
  <c r="AJ5" i="151" s="1"/>
  <c r="AD123" i="151"/>
  <c r="AD93" i="151"/>
  <c r="AI93" i="151" s="1"/>
  <c r="AJ93" i="151" s="1"/>
  <c r="AD212" i="151"/>
  <c r="AI212" i="151" s="1"/>
  <c r="AJ212" i="151" s="1"/>
  <c r="AD161" i="151"/>
  <c r="AD24" i="151"/>
  <c r="AD86" i="151"/>
  <c r="AD71" i="151"/>
  <c r="AD45" i="151"/>
  <c r="AD53" i="151"/>
  <c r="AD295" i="151"/>
  <c r="AD66" i="151"/>
  <c r="AD46" i="151"/>
  <c r="AD37" i="151"/>
  <c r="AD27" i="151"/>
  <c r="AD43" i="151"/>
  <c r="AD33" i="151"/>
  <c r="AD72" i="151"/>
  <c r="AD56" i="151"/>
  <c r="AD120" i="151"/>
  <c r="AD51" i="151"/>
  <c r="AD65" i="151"/>
  <c r="AD78" i="151"/>
  <c r="AD44" i="151"/>
  <c r="AD34" i="151"/>
  <c r="AD41" i="151"/>
  <c r="AD30" i="151"/>
  <c r="AD50" i="151"/>
  <c r="AD77" i="151"/>
  <c r="AD62" i="151"/>
  <c r="AI62" i="151" s="1"/>
  <c r="AJ62" i="151" s="1"/>
  <c r="AD89" i="151"/>
  <c r="AD59" i="151"/>
  <c r="AD42" i="151"/>
  <c r="AD28" i="151"/>
  <c r="AD128" i="151"/>
  <c r="AD90" i="151"/>
  <c r="AD75" i="151"/>
  <c r="AD157" i="151"/>
  <c r="AI157" i="151" s="1"/>
  <c r="AJ157" i="151" s="1"/>
  <c r="AD88" i="151"/>
  <c r="AD73" i="151"/>
  <c r="AI73" i="151" s="1"/>
  <c r="AJ73" i="151" s="1"/>
  <c r="AD57" i="151"/>
  <c r="AD54" i="151"/>
  <c r="AD40" i="151"/>
  <c r="AD130" i="151"/>
  <c r="AD35" i="151"/>
  <c r="AD26" i="151"/>
  <c r="AD240" i="151"/>
  <c r="AD68" i="151"/>
  <c r="AD237" i="151"/>
  <c r="AI272" i="151"/>
  <c r="AJ272" i="151" s="1"/>
  <c r="AD160" i="151"/>
  <c r="AD121" i="151"/>
  <c r="AD119" i="151"/>
  <c r="AI119" i="151" s="1"/>
  <c r="AJ119" i="151" s="1"/>
  <c r="AD194" i="151"/>
  <c r="AD176" i="151"/>
  <c r="AD164" i="151"/>
  <c r="AD144" i="151"/>
  <c r="AD140" i="151"/>
  <c r="AD171" i="151"/>
  <c r="AD146" i="151"/>
  <c r="AD153" i="151"/>
  <c r="AD186" i="151"/>
  <c r="AD159" i="151"/>
  <c r="AD141" i="151"/>
  <c r="AD142" i="151"/>
  <c r="AD172" i="151"/>
  <c r="AI172" i="151" s="1"/>
  <c r="AJ172" i="151" s="1"/>
  <c r="AD162" i="151"/>
  <c r="AD156" i="151"/>
  <c r="AD149" i="151"/>
  <c r="AD175" i="151"/>
  <c r="AD167" i="151"/>
  <c r="AI167" i="151" s="1"/>
  <c r="AJ167" i="151" s="1"/>
  <c r="AD192" i="151"/>
  <c r="AD145" i="151"/>
  <c r="AD148" i="151"/>
  <c r="AD139" i="151"/>
  <c r="AD182" i="151"/>
  <c r="AI182" i="151" s="1"/>
  <c r="AJ182" i="151" s="1"/>
  <c r="AD190" i="151"/>
  <c r="AI185" i="151"/>
  <c r="AJ185" i="151" s="1"/>
  <c r="AI210" i="151"/>
  <c r="AJ210" i="151" s="1"/>
  <c r="AD178" i="151"/>
  <c r="AD183" i="151"/>
  <c r="AD170" i="151"/>
  <c r="AD155" i="151"/>
  <c r="AD150" i="151"/>
  <c r="AD189" i="151"/>
  <c r="AD165" i="151"/>
  <c r="AD193" i="151"/>
  <c r="AD152" i="151"/>
  <c r="AI152" i="151" s="1"/>
  <c r="AJ152" i="151" s="1"/>
  <c r="AD166" i="151"/>
  <c r="AI166" i="151" s="1"/>
  <c r="AJ166" i="151" s="1"/>
  <c r="AD168" i="151"/>
  <c r="AD187" i="151"/>
  <c r="AI187" i="151" s="1"/>
  <c r="AJ187" i="151" s="1"/>
  <c r="AI6" i="151"/>
  <c r="AJ6" i="151" s="1"/>
  <c r="AD151" i="151"/>
  <c r="AD177" i="151"/>
  <c r="AI177" i="151" s="1"/>
  <c r="AJ177" i="151" s="1"/>
  <c r="AD163" i="151"/>
  <c r="AD195" i="151"/>
  <c r="AD196" i="151"/>
  <c r="AD184" i="151"/>
  <c r="AC240" i="151" l="1"/>
  <c r="AC16" i="151"/>
  <c r="AC243" i="151"/>
  <c r="AC13" i="151"/>
  <c r="AC229" i="151"/>
  <c r="AC26" i="151"/>
  <c r="AC233" i="151"/>
  <c r="AC78" i="151"/>
  <c r="AI132" i="151"/>
  <c r="AJ132" i="151" s="1"/>
  <c r="AI97" i="151"/>
  <c r="AJ97" i="151" s="1"/>
  <c r="AI289" i="151"/>
  <c r="AJ289" i="151" s="1"/>
  <c r="AI327" i="151"/>
  <c r="AJ327" i="151" s="1"/>
  <c r="AC279" i="151"/>
  <c r="AI250" i="151"/>
  <c r="AJ250" i="151" s="1"/>
  <c r="AC143" i="151"/>
  <c r="AC129" i="151"/>
  <c r="AC11" i="151"/>
  <c r="AC217" i="151"/>
  <c r="AC188" i="151"/>
  <c r="AC171" i="151"/>
  <c r="AC117" i="151"/>
  <c r="AC141" i="151"/>
  <c r="AC177" i="151"/>
  <c r="AC45" i="151"/>
  <c r="AC88" i="151"/>
  <c r="AC90" i="151"/>
  <c r="AC167" i="151"/>
  <c r="AC227" i="151"/>
  <c r="AC193" i="151"/>
  <c r="AI235" i="151"/>
  <c r="AJ235" i="151" s="1"/>
  <c r="AC300" i="151"/>
  <c r="AI326" i="151"/>
  <c r="AJ326" i="151" s="1"/>
  <c r="AI324" i="151"/>
  <c r="AJ324" i="151" s="1"/>
  <c r="AI325" i="151"/>
  <c r="AJ325" i="151" s="1"/>
  <c r="AI125" i="151"/>
  <c r="AJ125" i="151" s="1"/>
  <c r="AI205" i="151"/>
  <c r="AJ205" i="151" s="1"/>
  <c r="AI232" i="151"/>
  <c r="AJ232" i="151" s="1"/>
  <c r="AI233" i="151"/>
  <c r="AJ233" i="151" s="1"/>
  <c r="AI105" i="151"/>
  <c r="AJ105" i="151" s="1"/>
  <c r="AI38" i="151"/>
  <c r="AJ38" i="151" s="1"/>
  <c r="AI207" i="151"/>
  <c r="AJ207" i="151" s="1"/>
  <c r="AI114" i="151"/>
  <c r="AJ114" i="151" s="1"/>
  <c r="AI25" i="151"/>
  <c r="AJ25" i="151" s="1"/>
  <c r="AI269" i="151"/>
  <c r="AJ269" i="151" s="1"/>
  <c r="AI302" i="151"/>
  <c r="AJ302" i="151" s="1"/>
  <c r="AI258" i="151"/>
  <c r="AJ258" i="151" s="1"/>
  <c r="AI36" i="151"/>
  <c r="AJ36" i="151" s="1"/>
  <c r="AI211" i="151"/>
  <c r="AJ211" i="151" s="1"/>
  <c r="AI201" i="151"/>
  <c r="AJ201" i="151" s="1"/>
  <c r="AI12" i="151"/>
  <c r="AJ12" i="151" s="1"/>
  <c r="AI188" i="151"/>
  <c r="AJ188" i="151" s="1"/>
  <c r="AI7" i="151"/>
  <c r="AJ7" i="151" s="1"/>
  <c r="AI94" i="151"/>
  <c r="AJ94" i="151" s="1"/>
  <c r="AI120" i="151"/>
  <c r="AJ120" i="151" s="1"/>
  <c r="AI308" i="151"/>
  <c r="AJ308" i="151" s="1"/>
  <c r="AI322" i="151"/>
  <c r="AJ322" i="151" s="1"/>
  <c r="AI316" i="151"/>
  <c r="AJ316" i="151" s="1"/>
  <c r="AI283" i="151"/>
  <c r="AJ283" i="151" s="1"/>
  <c r="AI43" i="151"/>
  <c r="AJ43" i="151" s="1"/>
  <c r="AI21" i="151"/>
  <c r="AJ21" i="151" s="1"/>
  <c r="AI11" i="151"/>
  <c r="AJ11" i="151" s="1"/>
  <c r="AI290" i="151"/>
  <c r="AJ290" i="151" s="1"/>
  <c r="AI299" i="151"/>
  <c r="AJ299" i="151" s="1"/>
  <c r="AI257" i="151"/>
  <c r="AJ257" i="151" s="1"/>
  <c r="AI17" i="151"/>
  <c r="AJ17" i="151" s="1"/>
  <c r="AI312" i="151"/>
  <c r="AJ312" i="151" s="1"/>
  <c r="AI79" i="151"/>
  <c r="AJ79" i="151" s="1"/>
  <c r="AI236" i="151"/>
  <c r="AJ236" i="151" s="1"/>
  <c r="AI307" i="151"/>
  <c r="AJ307" i="151" s="1"/>
  <c r="AI311" i="151"/>
  <c r="AJ311" i="151" s="1"/>
  <c r="AI306" i="151"/>
  <c r="AJ306" i="151" s="1"/>
  <c r="AI16" i="151"/>
  <c r="AJ16" i="151" s="1"/>
  <c r="AI20" i="151"/>
  <c r="AJ20" i="151" s="1"/>
  <c r="AI126" i="151"/>
  <c r="AJ126" i="151" s="1"/>
  <c r="AI193" i="151"/>
  <c r="AJ193" i="151" s="1"/>
  <c r="AI163" i="151"/>
  <c r="AJ163" i="151" s="1"/>
  <c r="AI151" i="151"/>
  <c r="AJ151" i="151" s="1"/>
  <c r="AI150" i="151"/>
  <c r="AJ150" i="151" s="1"/>
  <c r="AI183" i="151"/>
  <c r="AJ183" i="151" s="1"/>
  <c r="AI159" i="151"/>
  <c r="AJ159" i="151" s="1"/>
  <c r="AI146" i="151"/>
  <c r="AJ146" i="151" s="1"/>
  <c r="AI164" i="151"/>
  <c r="AJ164" i="151" s="1"/>
  <c r="AI194" i="151"/>
  <c r="AJ194" i="151" s="1"/>
  <c r="AI71" i="151"/>
  <c r="AJ71" i="151" s="1"/>
  <c r="AI24" i="151"/>
  <c r="AJ24" i="151" s="1"/>
  <c r="AI131" i="151"/>
  <c r="AJ131" i="151" s="1"/>
  <c r="AI55" i="151"/>
  <c r="AJ55" i="151" s="1"/>
  <c r="AI95" i="151"/>
  <c r="AJ95" i="151" s="1"/>
  <c r="AI156" i="151"/>
  <c r="AJ156" i="151" s="1"/>
  <c r="AI40" i="151"/>
  <c r="AJ40" i="151" s="1"/>
  <c r="AI88" i="151"/>
  <c r="AJ88" i="151" s="1"/>
  <c r="AI39" i="151"/>
  <c r="AJ39" i="151" s="1"/>
  <c r="AI42" i="151"/>
  <c r="AJ42" i="151" s="1"/>
  <c r="AI59" i="151"/>
  <c r="AJ59" i="151" s="1"/>
  <c r="AI41" i="151"/>
  <c r="AJ41" i="151" s="1"/>
  <c r="AI34" i="151"/>
  <c r="AJ34" i="151" s="1"/>
  <c r="AI33" i="151"/>
  <c r="AJ33" i="151" s="1"/>
  <c r="AI117" i="151"/>
  <c r="AJ117" i="151" s="1"/>
  <c r="AI23" i="151"/>
  <c r="AJ23" i="151" s="1"/>
  <c r="AI60" i="151"/>
  <c r="AJ60" i="151" s="1"/>
  <c r="AI170" i="151"/>
  <c r="AJ170" i="151" s="1"/>
  <c r="AI145" i="151"/>
  <c r="AJ145" i="151" s="1"/>
  <c r="AI149" i="151"/>
  <c r="AJ149" i="151" s="1"/>
  <c r="AI141" i="151"/>
  <c r="AJ141" i="151" s="1"/>
  <c r="AI51" i="151"/>
  <c r="AJ51" i="151" s="1"/>
  <c r="AI46" i="151"/>
  <c r="AJ46" i="151" s="1"/>
  <c r="AI103" i="151"/>
  <c r="AJ103" i="151" s="1"/>
  <c r="AI48" i="151"/>
  <c r="AJ48" i="151" s="1"/>
  <c r="AI61" i="151"/>
  <c r="AJ61" i="151" s="1"/>
  <c r="AI76" i="151"/>
  <c r="AJ76" i="151" s="1"/>
  <c r="AI189" i="151"/>
  <c r="AJ189" i="151" s="1"/>
  <c r="AI139" i="151"/>
  <c r="AJ139" i="151" s="1"/>
  <c r="AI142" i="151"/>
  <c r="AJ142" i="151" s="1"/>
  <c r="AI144" i="151"/>
  <c r="AJ144" i="151" s="1"/>
  <c r="AI54" i="151"/>
  <c r="AJ54" i="151" s="1"/>
  <c r="AI90" i="151"/>
  <c r="AJ90" i="151" s="1"/>
  <c r="AI128" i="151"/>
  <c r="AJ128" i="151" s="1"/>
  <c r="AI89" i="151"/>
  <c r="AJ89" i="151" s="1"/>
  <c r="AI77" i="151"/>
  <c r="AJ77" i="151" s="1"/>
  <c r="AI44" i="151"/>
  <c r="AJ44" i="151" s="1"/>
  <c r="AI53" i="151"/>
  <c r="AJ53" i="151" s="1"/>
  <c r="AI298" i="151"/>
  <c r="AJ298" i="151" s="1"/>
  <c r="AI127" i="151"/>
  <c r="AJ127" i="151" s="1"/>
  <c r="AI154" i="151"/>
  <c r="AJ154" i="151" s="1"/>
  <c r="AI22" i="151"/>
  <c r="AJ22" i="151" s="1"/>
  <c r="AI29" i="151"/>
  <c r="AJ29" i="151" s="1"/>
  <c r="AI49" i="151"/>
  <c r="AJ49" i="151" s="1"/>
  <c r="AI220" i="151"/>
  <c r="AJ220" i="151" s="1"/>
  <c r="AI231" i="151"/>
  <c r="AJ231" i="151" s="1"/>
  <c r="AI256" i="151"/>
  <c r="AJ256" i="151" s="1"/>
  <c r="AI267" i="151"/>
  <c r="AJ267" i="151" s="1"/>
  <c r="AI229" i="151"/>
  <c r="AJ229" i="151" s="1"/>
  <c r="AI227" i="151"/>
  <c r="AJ227" i="151" s="1"/>
  <c r="AI180" i="151"/>
  <c r="AJ180" i="151" s="1"/>
  <c r="AI221" i="151"/>
  <c r="AJ221" i="151" s="1"/>
  <c r="AI265" i="151"/>
  <c r="AJ265" i="151" s="1"/>
  <c r="AI230" i="151"/>
  <c r="AJ230" i="151" s="1"/>
  <c r="AI252" i="151"/>
  <c r="AJ252" i="151" s="1"/>
  <c r="AI247" i="151"/>
  <c r="AJ247" i="151" s="1"/>
  <c r="AI222" i="151"/>
  <c r="AJ222" i="151" s="1"/>
  <c r="AI234" i="151"/>
  <c r="AJ234" i="151" s="1"/>
  <c r="AI264" i="151"/>
  <c r="AJ264" i="151" s="1"/>
  <c r="AI226" i="151"/>
  <c r="AJ226" i="151" s="1"/>
  <c r="AI255" i="151"/>
  <c r="AJ255" i="151" s="1"/>
  <c r="AI219" i="151"/>
  <c r="AJ219" i="151" s="1"/>
  <c r="AI228" i="151"/>
  <c r="AJ228" i="151" s="1"/>
  <c r="AI251" i="151"/>
  <c r="AJ251" i="151" s="1"/>
  <c r="AI204" i="151"/>
  <c r="AJ204" i="151" s="1"/>
  <c r="AI101" i="151"/>
  <c r="AJ101" i="151" s="1"/>
  <c r="AI107" i="151"/>
  <c r="AJ107" i="151" s="1"/>
  <c r="AI184" i="151"/>
  <c r="AJ184" i="151" s="1"/>
  <c r="AI168" i="151"/>
  <c r="AJ168" i="151" s="1"/>
  <c r="AI148" i="151"/>
  <c r="AJ148" i="151" s="1"/>
  <c r="AI35" i="151"/>
  <c r="AJ35" i="151" s="1"/>
  <c r="AI110" i="151"/>
  <c r="AJ110" i="151" s="1"/>
  <c r="AI50" i="151"/>
  <c r="AJ50" i="151" s="1"/>
  <c r="AI285" i="151"/>
  <c r="AJ285" i="151" s="1"/>
  <c r="AI261" i="151"/>
  <c r="AJ261" i="151" s="1"/>
  <c r="AI259" i="151"/>
  <c r="AJ259" i="151" s="1"/>
  <c r="AI262" i="151"/>
  <c r="AJ262" i="151" s="1"/>
  <c r="AI270" i="151"/>
  <c r="AJ270" i="151" s="1"/>
  <c r="AI260" i="151"/>
  <c r="AJ260" i="151" s="1"/>
  <c r="AI130" i="151"/>
  <c r="AJ130" i="151" s="1"/>
  <c r="AI78" i="151"/>
  <c r="AJ78" i="151" s="1"/>
  <c r="AI27" i="151"/>
  <c r="AJ27" i="151" s="1"/>
  <c r="AI273" i="151"/>
  <c r="AJ273" i="151" s="1"/>
  <c r="AI108" i="151"/>
  <c r="AJ108" i="151" s="1"/>
  <c r="AI124" i="151"/>
  <c r="AJ124" i="151" s="1"/>
  <c r="AI100" i="151"/>
  <c r="AJ100" i="151" s="1"/>
  <c r="AI213" i="151"/>
  <c r="AJ213" i="151" s="1"/>
  <c r="AI263" i="151"/>
  <c r="AJ263" i="151" s="1"/>
  <c r="AI15" i="151"/>
  <c r="AJ15" i="151" s="1"/>
  <c r="AI192" i="151"/>
  <c r="AJ192" i="151" s="1"/>
  <c r="AI155" i="151"/>
  <c r="AJ155" i="151" s="1"/>
  <c r="AI277" i="151"/>
  <c r="AJ277" i="151" s="1"/>
  <c r="AI241" i="151"/>
  <c r="AJ241" i="151" s="1"/>
  <c r="AI56" i="151"/>
  <c r="AJ56" i="151" s="1"/>
  <c r="AI239" i="151"/>
  <c r="AJ239" i="151" s="1"/>
  <c r="AI278" i="151"/>
  <c r="AJ278" i="151" s="1"/>
  <c r="AI296" i="151"/>
  <c r="AJ296" i="151" s="1"/>
  <c r="AI171" i="151"/>
  <c r="AJ171" i="151" s="1"/>
  <c r="AI297" i="151"/>
  <c r="AJ297" i="151" s="1"/>
  <c r="AI112" i="151"/>
  <c r="AJ112" i="151" s="1"/>
  <c r="AI295" i="151"/>
  <c r="AJ295" i="151" s="1"/>
  <c r="AI190" i="151"/>
  <c r="AJ190" i="151" s="1"/>
  <c r="AI162" i="151"/>
  <c r="AJ162" i="151" s="1"/>
  <c r="AI294" i="151"/>
  <c r="AJ294" i="151" s="1"/>
  <c r="AI45" i="151"/>
  <c r="AJ45" i="151" s="1"/>
  <c r="AI181" i="151"/>
  <c r="AJ181" i="151" s="1"/>
  <c r="AI309" i="151"/>
  <c r="AJ309" i="151" s="1"/>
  <c r="AI323" i="151"/>
  <c r="AJ323" i="151" s="1"/>
  <c r="AI123" i="151"/>
  <c r="AJ123" i="151" s="1"/>
  <c r="AI186" i="151"/>
  <c r="AJ186" i="151" s="1"/>
  <c r="AI209" i="151"/>
  <c r="AJ209" i="151" s="1"/>
  <c r="AI176" i="151"/>
  <c r="AJ176" i="151" s="1"/>
  <c r="AI175" i="151"/>
  <c r="AJ175" i="151" s="1"/>
  <c r="AI288" i="151"/>
  <c r="AJ288" i="151" s="1"/>
  <c r="AI321" i="151"/>
  <c r="AJ321" i="151" s="1"/>
  <c r="AI122" i="151"/>
  <c r="AJ122" i="151" s="1"/>
  <c r="AI317" i="151"/>
  <c r="AJ317" i="151" s="1"/>
  <c r="AI116" i="151"/>
  <c r="AJ116" i="151" s="1"/>
  <c r="AI293" i="151"/>
  <c r="AJ293" i="151" s="1"/>
  <c r="AI65" i="151"/>
  <c r="AJ65" i="151" s="1"/>
  <c r="AI237" i="151"/>
  <c r="AJ237" i="151" s="1"/>
  <c r="AB329" i="151"/>
  <c r="AI161" i="151"/>
  <c r="AJ161" i="151" s="1"/>
  <c r="AI240" i="151"/>
  <c r="AJ240" i="151" s="1"/>
  <c r="AI66" i="151"/>
  <c r="AJ66" i="151" s="1"/>
  <c r="AI86" i="151"/>
  <c r="AJ86" i="151" s="1"/>
  <c r="AI26" i="151"/>
  <c r="AJ26" i="151" s="1"/>
  <c r="AI28" i="151"/>
  <c r="AJ28" i="151" s="1"/>
  <c r="AI57" i="151"/>
  <c r="AJ57" i="151" s="1"/>
  <c r="AI75" i="151"/>
  <c r="AJ75" i="151" s="1"/>
  <c r="AI72" i="151"/>
  <c r="AJ72" i="151" s="1"/>
  <c r="AI30" i="151"/>
  <c r="AJ30" i="151" s="1"/>
  <c r="AI37" i="151"/>
  <c r="AJ37" i="151" s="1"/>
  <c r="AI68" i="151"/>
  <c r="AJ68" i="151" s="1"/>
  <c r="AI121" i="151"/>
  <c r="AJ121" i="151" s="1"/>
  <c r="AI160" i="151"/>
  <c r="AJ160" i="151" s="1"/>
  <c r="Q329" i="151"/>
  <c r="P329" i="151"/>
  <c r="AI178" i="151"/>
  <c r="AJ178" i="151" s="1"/>
  <c r="AI196" i="151"/>
  <c r="AJ196" i="151" s="1"/>
  <c r="AI195" i="151"/>
  <c r="AJ195" i="151" s="1"/>
  <c r="AI140" i="151"/>
  <c r="AJ140" i="151" s="1"/>
  <c r="AI165" i="151"/>
  <c r="AJ165" i="151" s="1"/>
  <c r="AI153" i="151"/>
  <c r="AJ153" i="151" s="1"/>
  <c r="AD64" i="151" l="1"/>
  <c r="AD174" i="151"/>
  <c r="AI174" i="151" s="1"/>
  <c r="AJ174" i="151" s="1"/>
  <c r="AC39" i="151"/>
  <c r="AC252" i="151"/>
  <c r="AC5" i="151"/>
  <c r="AA329" i="151"/>
  <c r="N329" i="151"/>
  <c r="AD329" i="151" l="1"/>
  <c r="AI64" i="151"/>
  <c r="AJ64" i="151" s="1"/>
  <c r="AC329" i="151"/>
  <c r="O329" i="151"/>
  <c r="AE329" i="151"/>
  <c r="Z329" i="151"/>
  <c r="AG329" i="151"/>
  <c r="AF329" i="151"/>
</calcChain>
</file>

<file path=xl/comments1.xml><?xml version="1.0" encoding="utf-8"?>
<comments xmlns="http://schemas.openxmlformats.org/spreadsheetml/2006/main">
  <authors>
    <author>PHILIPPON, Aurélien</author>
  </authors>
  <commentList>
    <comment ref="P1" authorId="0">
      <text>
        <r>
          <rPr>
            <b/>
            <sz val="9"/>
            <color indexed="81"/>
            <rFont val="Tahoma"/>
            <family val="2"/>
          </rPr>
          <t>Durée effective de réalisation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" authorId="0">
      <text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>Date maximale de réalisation du contrat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PHILIPPON, Aurélien</author>
  </authors>
  <commentList>
    <comment ref="Q1" authorId="0">
      <text>
        <r>
          <rPr>
            <b/>
            <sz val="9"/>
            <color indexed="81"/>
            <rFont val="Tahoma"/>
            <family val="2"/>
          </rPr>
          <t>Durée effective de réalisation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S1" authorId="0">
      <text>
        <r>
          <rPr>
            <b/>
            <sz val="9"/>
            <color indexed="81"/>
            <rFont val="Tahoma"/>
            <family val="2"/>
          </rPr>
          <t>Date maximale de réalisation du contrat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<sst xmlns="http://schemas.openxmlformats.org/spreadsheetml/2006/main" count="5928" uniqueCount="728">
  <si>
    <t>Total</t>
  </si>
  <si>
    <t>Code UO</t>
  </si>
  <si>
    <t>Statut</t>
  </si>
  <si>
    <t>Description de la demande</t>
  </si>
  <si>
    <t>CESAR-101</t>
  </si>
  <si>
    <t>CESAR-100</t>
  </si>
  <si>
    <t>CESAR-102</t>
  </si>
  <si>
    <t>CESAR-105</t>
  </si>
  <si>
    <t>CESAR-106</t>
  </si>
  <si>
    <t>CESAR-107</t>
  </si>
  <si>
    <t>CESAR-104</t>
  </si>
  <si>
    <t>CESAR-103</t>
  </si>
  <si>
    <t>CESAR-108</t>
  </si>
  <si>
    <t>CESAR-109</t>
  </si>
  <si>
    <t>CESAR-112</t>
  </si>
  <si>
    <t>CESAR-118</t>
  </si>
  <si>
    <t>CESAR-117</t>
  </si>
  <si>
    <t>CESAR-119</t>
  </si>
  <si>
    <t>CESAR-120</t>
  </si>
  <si>
    <t>CESAR-121</t>
  </si>
  <si>
    <t>CESAR-122</t>
  </si>
  <si>
    <t>CESAR-123</t>
  </si>
  <si>
    <t>CESAR-127</t>
  </si>
  <si>
    <t>CESAR-128</t>
  </si>
  <si>
    <t>CESAR-130</t>
  </si>
  <si>
    <t>CESAR-129</t>
  </si>
  <si>
    <t>CESAR-131</t>
  </si>
  <si>
    <t>CESAR-132</t>
  </si>
  <si>
    <t>CESAR-133</t>
  </si>
  <si>
    <t>Service</t>
  </si>
  <si>
    <t>Complexite UO</t>
  </si>
  <si>
    <t>Type UO</t>
  </si>
  <si>
    <t>CESAR-179</t>
  </si>
  <si>
    <t>UO TAO</t>
  </si>
  <si>
    <t>Moyenne</t>
  </si>
  <si>
    <t>CESAR-178</t>
  </si>
  <si>
    <t>CESAR-177</t>
  </si>
  <si>
    <t>UO AAT</t>
  </si>
  <si>
    <t>CESAR-169</t>
  </si>
  <si>
    <t>CESAR-168</t>
  </si>
  <si>
    <t>CESAR-167</t>
  </si>
  <si>
    <t>CESAR-166</t>
  </si>
  <si>
    <t>CESAR-164</t>
  </si>
  <si>
    <t>Faible</t>
  </si>
  <si>
    <t>Enoncé de travaux de chiffrage</t>
  </si>
  <si>
    <t>CESAR-163</t>
  </si>
  <si>
    <t>CESAR-162</t>
  </si>
  <si>
    <t>CESAR-161</t>
  </si>
  <si>
    <t>CESAR-160</t>
  </si>
  <si>
    <t>CESAR-159</t>
  </si>
  <si>
    <t>CESAR-158</t>
  </si>
  <si>
    <t>CESAR-157</t>
  </si>
  <si>
    <t>CESAR-156</t>
  </si>
  <si>
    <t>CESAR-154</t>
  </si>
  <si>
    <t>CESAR-153</t>
  </si>
  <si>
    <t>CESAR-151</t>
  </si>
  <si>
    <t>CESAR-148</t>
  </si>
  <si>
    <t>CESAR-147</t>
  </si>
  <si>
    <t>CESAR-146</t>
  </si>
  <si>
    <t>CESAR-145</t>
  </si>
  <si>
    <t>CESAR-144</t>
  </si>
  <si>
    <t>CESAR-143</t>
  </si>
  <si>
    <t>CESAR-142</t>
  </si>
  <si>
    <t>Capture</t>
  </si>
  <si>
    <t>CESAR-139</t>
  </si>
  <si>
    <t>CESAR-138</t>
  </si>
  <si>
    <t>CESAR-137</t>
  </si>
  <si>
    <t>CESAR-136</t>
  </si>
  <si>
    <t>CESAR-135</t>
  </si>
  <si>
    <t>CESAR-134</t>
  </si>
  <si>
    <t>CESAR-126</t>
  </si>
  <si>
    <t>CESAR-125</t>
  </si>
  <si>
    <t>CESAR-124</t>
  </si>
  <si>
    <t>CESAR-116</t>
  </si>
  <si>
    <t>CESAR-115</t>
  </si>
  <si>
    <t>CESAR-110</t>
  </si>
  <si>
    <t>CESAR-99</t>
  </si>
  <si>
    <t>CESAR-98</t>
  </si>
  <si>
    <t>CESAR-97</t>
  </si>
  <si>
    <t>CESAR-96</t>
  </si>
  <si>
    <t>CESAR-95</t>
  </si>
  <si>
    <t>CESAR-94</t>
  </si>
  <si>
    <t>CESAR-93</t>
  </si>
  <si>
    <t>CESAR-92</t>
  </si>
  <si>
    <t>CESAR-91</t>
  </si>
  <si>
    <t>CESAR-90</t>
  </si>
  <si>
    <t>CESAR-89</t>
  </si>
  <si>
    <t>CESAR-88</t>
  </si>
  <si>
    <t>CESAR-87</t>
  </si>
  <si>
    <t>CESAR-86</t>
  </si>
  <si>
    <t>CESAR-85</t>
  </si>
  <si>
    <t>CESAR-84</t>
  </si>
  <si>
    <t>CESAR-83</t>
  </si>
  <si>
    <t>CESAR-82</t>
  </si>
  <si>
    <t>CESAR-77</t>
  </si>
  <si>
    <t>CESAR-76</t>
  </si>
  <si>
    <t>CESAR-75</t>
  </si>
  <si>
    <t>CESAR-74</t>
  </si>
  <si>
    <t>CESAR-73</t>
  </si>
  <si>
    <t>Cadrage</t>
  </si>
  <si>
    <t>CESAR-72</t>
  </si>
  <si>
    <t>CESAR-71</t>
  </si>
  <si>
    <t>CESAR-70</t>
  </si>
  <si>
    <t>CESAR-69</t>
  </si>
  <si>
    <t>CESAR-68</t>
  </si>
  <si>
    <t>CESAR-67</t>
  </si>
  <si>
    <t>CESAR-66</t>
  </si>
  <si>
    <t>CESAR-65</t>
  </si>
  <si>
    <t>CESAR-64</t>
  </si>
  <si>
    <t>CESAR-63</t>
  </si>
  <si>
    <t>CESAR-62</t>
  </si>
  <si>
    <t>CESAR-61</t>
  </si>
  <si>
    <t>CESAR-60</t>
  </si>
  <si>
    <t>CESAR-59</t>
  </si>
  <si>
    <t>Importante</t>
  </si>
  <si>
    <t>CESAR-58</t>
  </si>
  <si>
    <t>CESAR-57</t>
  </si>
  <si>
    <t>CESAR-56</t>
  </si>
  <si>
    <t>CESAR-55</t>
  </si>
  <si>
    <t>CESAR-54</t>
  </si>
  <si>
    <t>CESAR-53</t>
  </si>
  <si>
    <t>CESAR-52</t>
  </si>
  <si>
    <t>CESAR-51</t>
  </si>
  <si>
    <t>CESAR-50</t>
  </si>
  <si>
    <t>CESAR-49</t>
  </si>
  <si>
    <t>CESAR-48</t>
  </si>
  <si>
    <t>CESAR-47</t>
  </si>
  <si>
    <t>CESAR-46</t>
  </si>
  <si>
    <t>CESAR-45</t>
  </si>
  <si>
    <t>CESAR-44</t>
  </si>
  <si>
    <t>CESAR-43</t>
  </si>
  <si>
    <t>CESAR-42</t>
  </si>
  <si>
    <t>CESAR-41</t>
  </si>
  <si>
    <t>CESAR-40</t>
  </si>
  <si>
    <t>CESAR-39</t>
  </si>
  <si>
    <t>CESAR-38</t>
  </si>
  <si>
    <t>CESAR-37</t>
  </si>
  <si>
    <t>CESAR-36</t>
  </si>
  <si>
    <t>CESAR-35</t>
  </si>
  <si>
    <t>CESAR-34</t>
  </si>
  <si>
    <t>CESAR-33</t>
  </si>
  <si>
    <t>CESAR-32</t>
  </si>
  <si>
    <t>CESAR-31</t>
  </si>
  <si>
    <t>CESAR-30</t>
  </si>
  <si>
    <t>CESAR-29</t>
  </si>
  <si>
    <t>CESAR-28</t>
  </si>
  <si>
    <t>CESAR-27</t>
  </si>
  <si>
    <t>CESAR-26</t>
  </si>
  <si>
    <t>CESAR-25</t>
  </si>
  <si>
    <t>CESAR-24</t>
  </si>
  <si>
    <t>CESAR-23</t>
  </si>
  <si>
    <t>CESAR-22</t>
  </si>
  <si>
    <t>CESAR-21</t>
  </si>
  <si>
    <t>CESAR-18</t>
  </si>
  <si>
    <t>CESAR-17</t>
  </si>
  <si>
    <t>CESAR-16</t>
  </si>
  <si>
    <t>CESAR-15</t>
  </si>
  <si>
    <t>CESAR-14</t>
  </si>
  <si>
    <t>CESAR-13</t>
  </si>
  <si>
    <t>CESAR-12</t>
  </si>
  <si>
    <t>CESAR-11</t>
  </si>
  <si>
    <t>CESAR-10</t>
  </si>
  <si>
    <t>CESAR-9</t>
  </si>
  <si>
    <t>CESAR-8</t>
  </si>
  <si>
    <t>CESAR-7</t>
  </si>
  <si>
    <t>CESAR-6</t>
  </si>
  <si>
    <t>CESAR-5</t>
  </si>
  <si>
    <t>CESAR-4</t>
  </si>
  <si>
    <t>CESAR-3</t>
  </si>
  <si>
    <t>CESAR-2</t>
  </si>
  <si>
    <t>CESAR-1</t>
  </si>
  <si>
    <t>Closed</t>
  </si>
  <si>
    <t>Initialisé</t>
  </si>
  <si>
    <t>Abandonné</t>
  </si>
  <si>
    <t>A valider</t>
  </si>
  <si>
    <t>Concatenation</t>
  </si>
  <si>
    <t>Cahier de tests exploitant / Recette Technique</t>
  </si>
  <si>
    <t>Nb jours Initialisé</t>
  </si>
  <si>
    <t>Nb de jours In progress</t>
  </si>
  <si>
    <t>Nb de jour A valider</t>
  </si>
  <si>
    <t>DEFF</t>
  </si>
  <si>
    <t>DMOY</t>
  </si>
  <si>
    <t>DMAX</t>
  </si>
  <si>
    <t>NB jours hors délais max</t>
  </si>
  <si>
    <t>NB jours hors délais moy</t>
  </si>
  <si>
    <t>CESAR-213</t>
  </si>
  <si>
    <t>CESAR-212</t>
  </si>
  <si>
    <t>CESAR-211</t>
  </si>
  <si>
    <t>CESAR-210</t>
  </si>
  <si>
    <t>CESAR-209</t>
  </si>
  <si>
    <t>CESAR-208</t>
  </si>
  <si>
    <t>CESAR-207</t>
  </si>
  <si>
    <t>Intermédiaire</t>
  </si>
  <si>
    <t>CESAR-204</t>
  </si>
  <si>
    <t>CESAR-203</t>
  </si>
  <si>
    <t>CESAR-202</t>
  </si>
  <si>
    <t>CESAR-201</t>
  </si>
  <si>
    <t>CESAR-200</t>
  </si>
  <si>
    <t>CESAR-197</t>
  </si>
  <si>
    <t>CESAR-196</t>
  </si>
  <si>
    <t>CESAR-195</t>
  </si>
  <si>
    <t>CESAR-194</t>
  </si>
  <si>
    <t>CESAR-193</t>
  </si>
  <si>
    <t>CESAR-190</t>
  </si>
  <si>
    <t>CESAR-187</t>
  </si>
  <si>
    <t>CESAR-186</t>
  </si>
  <si>
    <t>CESAR-185</t>
  </si>
  <si>
    <t>CESAR-184</t>
  </si>
  <si>
    <t>CESAR-183</t>
  </si>
  <si>
    <t>CESAR-182</t>
  </si>
  <si>
    <t>CESAR-181</t>
  </si>
  <si>
    <t>CESAR-180</t>
  </si>
  <si>
    <t>CESAR-165</t>
  </si>
  <si>
    <t>CESAR-152</t>
  </si>
  <si>
    <t>CESAR-150</t>
  </si>
  <si>
    <t>CESAR-149</t>
  </si>
  <si>
    <t>CESAR-111</t>
  </si>
  <si>
    <t>CESAR-19</t>
  </si>
  <si>
    <t>CESAR-219</t>
  </si>
  <si>
    <t>CESAR-218</t>
  </si>
  <si>
    <t>CESAR-215</t>
  </si>
  <si>
    <t>CESAR-214</t>
  </si>
  <si>
    <t>CESAR-188</t>
  </si>
  <si>
    <t>CESAR-141</t>
  </si>
  <si>
    <t>CESAR-140</t>
  </si>
  <si>
    <t/>
  </si>
  <si>
    <t>CESAR-230</t>
  </si>
  <si>
    <t>CESAR-229</t>
  </si>
  <si>
    <t>CESAR-228</t>
  </si>
  <si>
    <t>CESAR-227</t>
  </si>
  <si>
    <t>CESAR-226</t>
  </si>
  <si>
    <t>CESAR-223</t>
  </si>
  <si>
    <t>CESAR-222</t>
  </si>
  <si>
    <t>CESAR-220</t>
  </si>
  <si>
    <t>CESAR-175</t>
  </si>
  <si>
    <t>CESAR-20</t>
  </si>
  <si>
    <t>CESAR-205</t>
  </si>
  <si>
    <t>CESAR-206</t>
  </si>
  <si>
    <t>CESAR-216</t>
  </si>
  <si>
    <t>CESAR-231</t>
  </si>
  <si>
    <t>CESAR-234</t>
  </si>
  <si>
    <t>CESAR-235</t>
  </si>
  <si>
    <t>CESAR-236</t>
  </si>
  <si>
    <t>CESAR-237</t>
  </si>
  <si>
    <t>CESAR-238</t>
  </si>
  <si>
    <t>CESAR-240</t>
  </si>
  <si>
    <t>CESAR-242</t>
  </si>
  <si>
    <t>CESAR-244</t>
  </si>
  <si>
    <t>CESAR-245</t>
  </si>
  <si>
    <t>CESAR-246</t>
  </si>
  <si>
    <t>CESAR-248</t>
  </si>
  <si>
    <t>CESAR-249</t>
  </si>
  <si>
    <t>KPI Charges</t>
  </si>
  <si>
    <t>Duree depassement charge</t>
  </si>
  <si>
    <t>Date fin moy</t>
  </si>
  <si>
    <t>Date fin max</t>
  </si>
  <si>
    <t>Date de livraison souhaitée</t>
  </si>
  <si>
    <t>Date de livraison prévisionnelle</t>
  </si>
  <si>
    <t>Date de livraison prévisionnelle révisée</t>
  </si>
  <si>
    <t>Fermé</t>
  </si>
  <si>
    <t>SOW - Exindus</t>
  </si>
  <si>
    <t>GDD8620</t>
  </si>
  <si>
    <t>GDD 8620 - SOW</t>
  </si>
  <si>
    <t>GDD 10587 - SOW - Web dispatcher pour améliorer les performances de SAP PLM7</t>
  </si>
  <si>
    <t>SOW - GDD-10616 Remédiation ORTEMS</t>
  </si>
  <si>
    <t>SOW - GDD 8931 - Livelink TR6</t>
  </si>
  <si>
    <t>SOW - GDD 10638 - BDDP Obsolescence logiciels SAG</t>
  </si>
  <si>
    <t>Environnement de développement PUPPET</t>
  </si>
  <si>
    <t>[EF23] : Connexion Citrix Linux</t>
  </si>
  <si>
    <t>GDD 10525 - Construction du futur SI Imprimerie Nationale</t>
  </si>
  <si>
    <t>SOW - GDD 10617 - COTS Center</t>
  </si>
  <si>
    <t>GDD-9571 - 3859055 - Demande_Essai_Virtualisation_banc_Dash8</t>
  </si>
  <si>
    <t>GDD 12538 - Environnement DOORS-NG</t>
  </si>
  <si>
    <t>GDD 12473 - Cadrage</t>
  </si>
  <si>
    <t>GDD-6689 3829633 - DRP MNW CD</t>
  </si>
  <si>
    <t>Cadrage - GDD - 12583</t>
  </si>
  <si>
    <t>Build support TAV Valence</t>
  </si>
  <si>
    <t>Projet CX500 (GDD-9457) - Lot 2 - TUSBDD02</t>
  </si>
  <si>
    <t>RDY Pessac - GDD-9495</t>
  </si>
  <si>
    <t>Besoin de 2 serveurs de calcul Linux Red Hat entreprise version 7.2 sur Campus Bordeaux et sur Valence</t>
  </si>
  <si>
    <t>RDY Pesac - GDD-9495</t>
  </si>
  <si>
    <t>En Cours</t>
  </si>
  <si>
    <t>GDD 8620 - Cadrage</t>
  </si>
  <si>
    <t>GDD 12470 - Cadrage</t>
  </si>
  <si>
    <t>GDD-12566 - POC #2 Hyperfréquence sur EFbox Centrale</t>
  </si>
  <si>
    <t>GDD 10567 - Serious Game, fraude au président - Cadrage</t>
  </si>
  <si>
    <t>UO AAT Capture Projet SI Saturne</t>
  </si>
  <si>
    <t>GDD 8599 &gt; TAV VAL (Lot 2) &gt; 07/2017 &gt; CoProj</t>
  </si>
  <si>
    <t>GDD 8599 &gt; TAV VAL (Lot 2) &gt; 08/2017 &gt; CoProj</t>
  </si>
  <si>
    <t>GDD-10571 - RITM0605190 - Serveur RedHat 7.2 intégrité de signal et hyperfréquence pour Campus Thales Bordeaux</t>
  </si>
  <si>
    <t>GDD 8599 &gt; TAV VAL (Lot 2) &gt; 09/2017 &gt; CoProj</t>
  </si>
  <si>
    <t>GDD 8599 &gt; TAV VAL (Lot 2) &gt; 10/2017 &gt; CoProj</t>
  </si>
  <si>
    <t>VDI</t>
  </si>
  <si>
    <t>TSA - Rafale Inde - Lot Obso / Vulnérabilités - Solaris</t>
  </si>
  <si>
    <t>SOW - Ordonnanceur ADL</t>
  </si>
  <si>
    <t>Rafale INDE - Serveur Hyper</t>
  </si>
  <si>
    <t>TASKFORCE-DECOM-AAT-2017</t>
  </si>
  <si>
    <t>TASKFORCE-DECOM-AAT-Juin-2017</t>
  </si>
  <si>
    <t>TASKFORCE-DECOM-AAT-Juillet-2017</t>
  </si>
  <si>
    <t>TASKFORCE-DECOM-AAT-Aout-2017</t>
  </si>
  <si>
    <t>TASKFORCE-DECOM-AAT-Sept-2017</t>
  </si>
  <si>
    <t>GDD-4355 3808760 - Ferme Matlab - MAJ du serveur de calcul GPP thsalgoapp02p pour STI</t>
  </si>
  <si>
    <t>Uo sur devis</t>
  </si>
  <si>
    <t>UO sur devis</t>
  </si>
  <si>
    <t>Cadrage - GDD 12660 - Etude traitement obso W2003 de l'application CALIF</t>
  </si>
  <si>
    <t>GDD-10571 - Serveur intégrité de signal et hyperfréquence pour Campus Thales Bordeaux</t>
  </si>
  <si>
    <t>GDD-6324-[TSA-TAV] Mutualisation Ateliers Bdx_SPARC_SOLARIS</t>
  </si>
  <si>
    <t>CESAR-78</t>
  </si>
  <si>
    <t>CESAR-79</t>
  </si>
  <si>
    <t>Ouvert</t>
  </si>
  <si>
    <t>CESAR-80</t>
  </si>
  <si>
    <t>CESAR-81</t>
  </si>
  <si>
    <t>UO AAT - Capture Cristal Nato Restricted</t>
  </si>
  <si>
    <t>GDD 10248 - EF30 SIDR - TCS - Git Stash Klocwork Sonar</t>
  </si>
  <si>
    <t>SOW - GDD-6979 - Qbes</t>
  </si>
  <si>
    <t>[TOSA] Livraison poste technique SIC</t>
  </si>
  <si>
    <t>GDD 8599 &gt; TAV VAL (Lot 2) &gt; 06-07/2017 &gt; Support Stéphane Abt</t>
  </si>
  <si>
    <t>GDD 12750 : EF7 - Déploiement de PTS Linux virtualisés - Cadrage</t>
  </si>
  <si>
    <t>Complément - GDD 12538 - Environnement DOORS-NG</t>
  </si>
  <si>
    <t>Complément - GDD 12538 - Environnement DOORS-NG - Capture</t>
  </si>
  <si>
    <t>SOW - GDD-9247 - SIS²</t>
  </si>
  <si>
    <t>GDD 3770 : REC-DTE Etude d'obsolescence serveurs Solaris - Solution perf et redondance</t>
  </si>
  <si>
    <t>[TOSA] Support à l'installation de SLURM</t>
  </si>
  <si>
    <t>GDD 10525 - Construction du futur SI Imprimerie Nationale - Renfort ClearCase</t>
  </si>
  <si>
    <t>GDD 8599 &gt; TAV VAL (Lot 2) &gt; Accompagnement IVVQ (S27-S36)</t>
  </si>
  <si>
    <t>GDD 8599 &gt; TAV VAL (Lot 2) &gt; Accompagnement VSR (S37-S40)"</t>
  </si>
  <si>
    <t>Support Niveau 3 pour traitement INC0308727</t>
  </si>
  <si>
    <t>[TOSA] Accès extérieur vers postes techniques SIC</t>
  </si>
  <si>
    <t>[TOSA] Rénovation NSx - Phase 1 - Lot 205 - NS2 Matlab</t>
  </si>
  <si>
    <t>[TOSA] Rénovation NSx - Phase 1 - Lot 310 - NS3 Installation Solaris S7</t>
  </si>
  <si>
    <t>[TOSA] Rénovation NSx - Phase 1 - Lot 210 - NS2 installation Solaris S7</t>
  </si>
  <si>
    <t>[TOSA] Rénovation NSx - Phase 1 - Lot 305 - NS3 new Cluster Atelier</t>
  </si>
  <si>
    <t>[TOSA] Rénovation NSx - Phase 1 - Lot 204 - NS2 new Cluster Atelier</t>
  </si>
  <si>
    <t>[TOSA] Rénovation NSx - Phase 1- Lot 202 - NS2 AD DNS</t>
  </si>
  <si>
    <t>[TOSA] Rénovation NSx - Phase 1- Lot 303 - NS3 AD DNS</t>
  </si>
  <si>
    <t>GDD 12682 - UO SOW</t>
  </si>
  <si>
    <t>CESAR-113</t>
  </si>
  <si>
    <t>CESAR-114</t>
  </si>
  <si>
    <t>SOW - GDD 7678 - Passage en RedHat 4 de l'OS de Oap TTS FR</t>
  </si>
  <si>
    <t>TCS - ZDFR - service WATT</t>
  </si>
  <si>
    <t>TCS - ZDFR - Notifications depuis SIDR</t>
  </si>
  <si>
    <t>Support - Solman VM Alcea</t>
  </si>
  <si>
    <t>Projet CX500 (GDD-9457) - Lot 2 - TUSBDD02 - Juillet</t>
  </si>
  <si>
    <t>Serious Game, fraude au président - SOW</t>
  </si>
  <si>
    <t>SOW - Montée de version Smartfleet</t>
  </si>
  <si>
    <t>GDD 8571 - SOW - LL TR6</t>
  </si>
  <si>
    <t>GDD-12827 Création d'une VM pour le projet GeoMaps</t>
  </si>
  <si>
    <t>GDD-12827 Création d'une VM pour le projet GeoMaps - Capture</t>
  </si>
  <si>
    <t>TSA - Rafale Inde - Lot obso/vulnerabilités - Solaris</t>
  </si>
  <si>
    <t>Serveur hyperfrequence Bordeaux</t>
  </si>
  <si>
    <t>[E2 TCS] : L'EF23</t>
  </si>
  <si>
    <t>Rafale Inde - Rénovation des moyens de production AM RAFALE</t>
  </si>
  <si>
    <t>[SI SATURNE] Demande cahiers de tests fonctionnels complexité faible</t>
  </si>
  <si>
    <t>Obso : étude transverse remédiation de l'obsolescence RedHat</t>
  </si>
  <si>
    <t>[TOSA] GDD12618 NS2 installation PDMLink</t>
  </si>
  <si>
    <t>[CASPR] ClearCase Proxy</t>
  </si>
  <si>
    <t>RAFALE INDE / WP07 Obso Vulnérabilité : Mise en forme des résulats de l'audit pour passage en CO-TECH</t>
  </si>
  <si>
    <t>SOW - GDD 9380 PDMLINK</t>
  </si>
  <si>
    <t>SOW - GDD10281 Readsoft Usine ULM</t>
  </si>
  <si>
    <t>SOW - GDD 8850 - Kermeet GCRM</t>
  </si>
  <si>
    <t>SOW - GDD-7106- PARISSI</t>
  </si>
  <si>
    <t>SOW - GDD-9638- Optim'FEC</t>
  </si>
  <si>
    <t>CESAR-155</t>
  </si>
  <si>
    <t>Expert Netscaler</t>
  </si>
  <si>
    <t>Migration clearcase v8 TAV lot 2</t>
  </si>
  <si>
    <t>TSA - Rafale Inde - Lot Obso / Vulnérabilités - WS / Linux</t>
  </si>
  <si>
    <t>SOW - ATDM TED</t>
  </si>
  <si>
    <t>TAV - Rénovation des moyens de production</t>
  </si>
  <si>
    <t>SOW - GDD 12631 - Infocentre MCS</t>
  </si>
  <si>
    <t>[TAO-EFX] Cadrage de la connexion des utilisateurs sur la Centrale pour le projet REPL1</t>
  </si>
  <si>
    <t>UO AAT - Cahier de Tests Cristal Nato Restricted</t>
  </si>
  <si>
    <t>CESAR-170</t>
  </si>
  <si>
    <t>GDD-6324 [TSA-TAV] Mutualisation &amp; Rationalisation Ateliers Bdx _FPGA</t>
  </si>
  <si>
    <t>CESAR-171</t>
  </si>
  <si>
    <t>GDD-6324 [TSA-TAV] Mutualisation &amp; Rationalisation Ateliers Bdx _DOORS</t>
  </si>
  <si>
    <t>CESAR-172</t>
  </si>
  <si>
    <t>GDD-6324 [TSA-TAV] Mutualisation &amp; Rationalisation Ateliers Bdx _ORACLE</t>
  </si>
  <si>
    <t>CESAR-173</t>
  </si>
  <si>
    <t>GDD-6324 [TSA-TAV] Mutualisation &amp; Rationalisation Ateliers Bdx _LICENCES</t>
  </si>
  <si>
    <t>CESAR-174</t>
  </si>
  <si>
    <t>GDD-6324 [TSA-TAV] Mutualisation &amp; Rationalisation Ateliers Bdx _SMARTEAM</t>
  </si>
  <si>
    <t>GDD-6324 [TSA-TAV] Mutualisation &amp; Rationalisation Ateliers Bdx _VMWARE</t>
  </si>
  <si>
    <t>CESAR-176</t>
  </si>
  <si>
    <t>GDD-6324 [TSA-TAV] Mutualisation &amp; Rationalisation Ateliers Bdx _CLEARCASE</t>
  </si>
  <si>
    <t>[EF29] Support à la VSR</t>
  </si>
  <si>
    <t>Accompagnement - Wifi Visiteur</t>
  </si>
  <si>
    <t>Support - BDDPi</t>
  </si>
  <si>
    <t>Besoin de 2 serveurs de calcul Linux Red Hat entreprise version 7.2</t>
  </si>
  <si>
    <t>OBSO 2003 Septembre 2017</t>
  </si>
  <si>
    <t>OBSO 2003 Octobre 2017</t>
  </si>
  <si>
    <t>OBSO 2003 Novembre 2017</t>
  </si>
  <si>
    <t>OBSO 2003 Décembre 2017</t>
  </si>
  <si>
    <t>Migration des environnements EFX</t>
  </si>
  <si>
    <t>OBSO 2003 Août 2017</t>
  </si>
  <si>
    <t>CESAR-189</t>
  </si>
  <si>
    <t>SOW - CONEX</t>
  </si>
  <si>
    <t>CESAR-191</t>
  </si>
  <si>
    <t>CESAR-192</t>
  </si>
  <si>
    <t>SOW - GDD 8622 VidéoSurveillance TSA</t>
  </si>
  <si>
    <t>GDD 8599 &gt; TAV VAL (Lot 2) &gt; Capture Enrichie</t>
  </si>
  <si>
    <t>GDD 3770 : REC-DTE Etude d'obsolescence serveurs Solaris - Massy</t>
  </si>
  <si>
    <t>Visview - remise à niveau de l'architecture</t>
  </si>
  <si>
    <t>CESAR-198</t>
  </si>
  <si>
    <t>CESAR-199</t>
  </si>
  <si>
    <t>SOW - GDD12876 - Cache Thales Live Streaming</t>
  </si>
  <si>
    <t>[Support] Remédiation audit licence TCIS</t>
  </si>
  <si>
    <t>GDD 8599 &gt; TAV VAL (Lot 2) &gt; Evolution Design</t>
  </si>
  <si>
    <t>incident PRB0041301 - SRM 539369 : reboots non planifiés /plantages intempestifs des VM de TAV Valence</t>
  </si>
  <si>
    <t>SOW - GDD-10620 Installation d'une application de veille réglementaire</t>
  </si>
  <si>
    <t>Citrix comme portail d'accès aux applications atelier</t>
  </si>
  <si>
    <t>DD-10633-besoin de 2 serveurs de calcul Linux Red Hat entreprise version 7.2 : Accompagnement Build</t>
  </si>
  <si>
    <t>Capture pour Demande "Environnement pour les Simulations / Algorithme B1NT"</t>
  </si>
  <si>
    <t>RAFALE INDE / WP07 Obso Vulnérabilité ; Mise en forme des résulats de l'audit pour passage en CO-TECH-BREST</t>
  </si>
  <si>
    <t>CESAR-217</t>
  </si>
  <si>
    <t>SOW - GDD-12736 Virtualisation serveur Cosmos, Videosurveillance, Intrusion</t>
  </si>
  <si>
    <t>Support - IES</t>
  </si>
  <si>
    <t>Rafale Inde - Serveur Hyper</t>
  </si>
  <si>
    <t>CESAR-221</t>
  </si>
  <si>
    <t>Expertise Clearcase</t>
  </si>
  <si>
    <t>EF30 SIDR - Création univers DMS</t>
  </si>
  <si>
    <t>CESAR-224</t>
  </si>
  <si>
    <t>GDD-6324 [TSA-TAV] Mutualisation &amp; Rationalisation Ateliers Bdx _SPARC</t>
  </si>
  <si>
    <t>CESAR-225</t>
  </si>
  <si>
    <t>Obsolescence Sun Solaris TAV TLS</t>
  </si>
  <si>
    <t>En attente d'informations</t>
  </si>
  <si>
    <t>UO Support - PDMLINK TED</t>
  </si>
  <si>
    <t>GDD-12976 (Projet SWAN : fournir à RCS une application NOVA (Astea) hébergée en SaaS)</t>
  </si>
  <si>
    <t>CESAR-232</t>
  </si>
  <si>
    <t>CESAR-233</t>
  </si>
  <si>
    <t>SOW - GDD 12927 : Environnement de DEV / INT pour JIRA ALEF</t>
  </si>
  <si>
    <t>Support - GDD-9247 - SIS²</t>
  </si>
  <si>
    <t>Intervention sur serveur yoko</t>
  </si>
  <si>
    <t>SOW - Migration Push2Palma TUS</t>
  </si>
  <si>
    <t>CESAR-239</t>
  </si>
  <si>
    <t>CESAR-241</t>
  </si>
  <si>
    <t>CESAR-243</t>
  </si>
  <si>
    <t>SOW - Remédiation audit licence TCIS</t>
  </si>
  <si>
    <t>CESAR-247</t>
  </si>
  <si>
    <t>TAO : étude migration des BDD Sparcs vers ESX - Capture</t>
  </si>
  <si>
    <t>CESAR-250</t>
  </si>
  <si>
    <t>CESAR-251</t>
  </si>
  <si>
    <t>SOW - SUSI : migration en SaaS</t>
  </si>
  <si>
    <t>CESAR-252</t>
  </si>
  <si>
    <t>CESAR-253</t>
  </si>
  <si>
    <t>SOW - TOMM</t>
  </si>
  <si>
    <t>CESAR-254</t>
  </si>
  <si>
    <t>CESAR-255</t>
  </si>
  <si>
    <t>CESAR-256</t>
  </si>
  <si>
    <t>GDD 8599 &gt; TAV VAL (Lot 2) &gt; Migration ClearCase, Thales Control et Repository GIT</t>
  </si>
  <si>
    <t>CESAR-257</t>
  </si>
  <si>
    <t>CESAR-258</t>
  </si>
  <si>
    <t>CESAR-259</t>
  </si>
  <si>
    <t>[TOSA] Rénovation NSx - Phase 1 - Lot 209 - NS2 Investigate Calcul STI</t>
  </si>
  <si>
    <t>CESAR-260</t>
  </si>
  <si>
    <t>Prolongation SCOM et build multi-tenant DMS</t>
  </si>
  <si>
    <t>CESAR-261</t>
  </si>
  <si>
    <t>Support - SIS²</t>
  </si>
  <si>
    <t>CESAR-262</t>
  </si>
  <si>
    <t>Cadrage - GDD 13030 SAGA</t>
  </si>
  <si>
    <t>CESAR-263</t>
  </si>
  <si>
    <t>Support - COTS Center</t>
  </si>
  <si>
    <t>Depassement date moy</t>
  </si>
  <si>
    <t>Code UO imputation</t>
  </si>
  <si>
    <t>CESAR-264</t>
  </si>
  <si>
    <t>CESAR-267</t>
  </si>
  <si>
    <t>UO Capture - Analyse capacitaire du RIE et R2 TAV Toulouse</t>
  </si>
  <si>
    <t>CESAR-266</t>
  </si>
  <si>
    <t>GDD-13180 Traitement obso ESX / vCenter sur TAV TLS - Capture</t>
  </si>
  <si>
    <t>CESAR-265</t>
  </si>
  <si>
    <t>Support - Optim'FEC</t>
  </si>
  <si>
    <t>RAF</t>
  </si>
  <si>
    <t>CESAR-270</t>
  </si>
  <si>
    <t>CESAR-269</t>
  </si>
  <si>
    <t>UO Support - GDD-6777 - Migration Clearcase V8</t>
  </si>
  <si>
    <t>CESAR-268</t>
  </si>
  <si>
    <t>GDD-13180 Traitement obso ESX / vCenter sur TAV TLS - Design</t>
  </si>
  <si>
    <t>CESAR-274</t>
  </si>
  <si>
    <t>CESAR-273</t>
  </si>
  <si>
    <t>CESAR-271</t>
  </si>
  <si>
    <t>CESAR-277</t>
  </si>
  <si>
    <t>Accompagnement MEP Clearcase TAV</t>
  </si>
  <si>
    <t>CESAR-276</t>
  </si>
  <si>
    <t>iObeya - SOW CIRRUS</t>
  </si>
  <si>
    <t>CESAR-275</t>
  </si>
  <si>
    <t>[TOSA] Rénovation NSx - Phase 1 - Lot 208 - NS2 Investigate Ferme de Calcul</t>
  </si>
  <si>
    <t>UO Support - GI SAML pour SUSI</t>
  </si>
  <si>
    <t>CESAR-272</t>
  </si>
  <si>
    <t>INCIDENT CITRIX SUR LA CENTRALE</t>
  </si>
  <si>
    <t>CESAR-289</t>
  </si>
  <si>
    <t>CESAR-288</t>
  </si>
  <si>
    <t>CESAR-287</t>
  </si>
  <si>
    <t>CESAR-286</t>
  </si>
  <si>
    <t>CESAR-285</t>
  </si>
  <si>
    <t>CESAR-284</t>
  </si>
  <si>
    <t>CESAR-283</t>
  </si>
  <si>
    <t>CESAR-282</t>
  </si>
  <si>
    <t>CESAR-281</t>
  </si>
  <si>
    <t>CESAR-280</t>
  </si>
  <si>
    <t>CESAR-279</t>
  </si>
  <si>
    <t>CESAR-278</t>
  </si>
  <si>
    <t>CESAR-290</t>
  </si>
  <si>
    <t>CESAR-291</t>
  </si>
  <si>
    <t>CESAR-292</t>
  </si>
  <si>
    <t>CESAR-293</t>
  </si>
  <si>
    <t>CESAR-294</t>
  </si>
  <si>
    <t>CESAR-295</t>
  </si>
  <si>
    <t>CESAR-296</t>
  </si>
  <si>
    <t>CESAR-297</t>
  </si>
  <si>
    <t>CESAR-298</t>
  </si>
  <si>
    <t>CESAR-299</t>
  </si>
  <si>
    <t>CESAR-300</t>
  </si>
  <si>
    <t>CESAR-301</t>
  </si>
  <si>
    <t>CESAR-302</t>
  </si>
  <si>
    <t>CESAR-303</t>
  </si>
  <si>
    <t>CESAR-304</t>
  </si>
  <si>
    <t>CESAR-305</t>
  </si>
  <si>
    <t>CESAR-306</t>
  </si>
  <si>
    <t>CESAR-307</t>
  </si>
  <si>
    <t>CESAR-308</t>
  </si>
  <si>
    <t>CESAR-309</t>
  </si>
  <si>
    <t>CESAR-310</t>
  </si>
  <si>
    <t>CESAR-311</t>
  </si>
  <si>
    <t>CESAR-312</t>
  </si>
  <si>
    <t>CESAR-313</t>
  </si>
  <si>
    <t>CESAR-314</t>
  </si>
  <si>
    <t>CESAR-315</t>
  </si>
  <si>
    <t>CESAR-316</t>
  </si>
  <si>
    <t>CESAR-317</t>
  </si>
  <si>
    <t>CESAR-318</t>
  </si>
  <si>
    <t>CESAR-319</t>
  </si>
  <si>
    <t>CESAR-321</t>
  </si>
  <si>
    <t>CESAR-322</t>
  </si>
  <si>
    <t>SOW - Manet : modification d'infrastrucutre</t>
  </si>
  <si>
    <t>Mise à disposition d'une infrastructure virtuelle d'ingénierie pour les besoins d'un projet</t>
  </si>
  <si>
    <t>Support - Prise en charge mise à jour application Manet</t>
  </si>
  <si>
    <t>Traitement de l'obsolescence infrastructure applications atelier/ingénierie R&amp;D Software &amp; IVVQ de Moirans</t>
  </si>
  <si>
    <t>CentralEF &gt; TechPub &gt; Configuration SQL (accompagnement à TS)</t>
  </si>
  <si>
    <t>GDD-13212 Support : Mise à jour CSA pré production 13i vers 16c</t>
  </si>
  <si>
    <t>Rédaction ASD</t>
  </si>
  <si>
    <t>Rédaction TASD</t>
  </si>
  <si>
    <t>Rédaction ESD (Engineering Solution Design)</t>
  </si>
  <si>
    <t>Cahier de tests fonctionnel / Recette fonctionnelle</t>
  </si>
  <si>
    <t>Accompagnement à la rédaction de l'expression de besoin</t>
  </si>
  <si>
    <t>GDD-13030 - SOW</t>
  </si>
  <si>
    <t>Accompagnement technique à la mise en production</t>
  </si>
  <si>
    <t>GDD-13030 - TASD faible</t>
  </si>
  <si>
    <t>GDD-13030 - ASD faible</t>
  </si>
  <si>
    <t>Cadrage - Mise à jour du TASD Portail MCS</t>
  </si>
  <si>
    <t>RAFALE INDE / WP07 Obso Vulnérabilité ; Relecture des l'ESD WP7 Obso vulnérabilité Windows Linux</t>
  </si>
  <si>
    <t>ASD - GDD 13211 -Confinement Application Divalto (Data room Sophia)</t>
  </si>
  <si>
    <t>ASD - GDD 13204 -Confinement Application Référentiel de TS</t>
  </si>
  <si>
    <t>ASD - GDD 13202 - Confinement application GCOM de TS</t>
  </si>
  <si>
    <t>ASD - GDD 13201 - Application Main d'Oeuvre de TS</t>
  </si>
  <si>
    <t>ASD - GDD 13200 - Confinement Application TEC de TS</t>
  </si>
  <si>
    <t>ASD - GDD 12868 - Confinement serveur BOTCSNOVAPP03P (ITN1257) utilisé par l'appli NOVA (INT355).</t>
  </si>
  <si>
    <t>ASD- Confinement Obso 2k3 DocAdvance RIE</t>
  </si>
  <si>
    <t>RAFALE INDE / WP07 Obso Vulnérabilité ; Réécriture des schémas visio pour l'ESD WP7 Obso vulnérabilité Windows Linux</t>
  </si>
  <si>
    <t>ASD - SUSI : migration en SaaS</t>
  </si>
  <si>
    <t>GDD-12976 - ASD faible</t>
  </si>
  <si>
    <t>[TOSA] Rénovation NSx - Phase 1 - NS3 TASD: Lot 305 - NS3 new Cluster Atelier</t>
  </si>
  <si>
    <t>[TOSA] Rénovation NSx - Phase 1 - NS2 TASD: Lot 204 - NS2 new Cluster Atelier + Lot 205 - NS2 Matlab</t>
  </si>
  <si>
    <t>Mig ISSAM - TASD Faible</t>
  </si>
  <si>
    <t>Mig ISSAM - ASD Faible</t>
  </si>
  <si>
    <t>ASD - GDD 13025 -Qubes MES, mise en place du SSO</t>
  </si>
  <si>
    <t>GDD 8599 &gt; TAV VAL (Lot 2) &gt; MAJ TASD</t>
  </si>
  <si>
    <t>iObeya - TASD faible</t>
  </si>
  <si>
    <t>iObeya - ASD faible</t>
  </si>
  <si>
    <t>GDD-13046 - UO TASD Moyen</t>
  </si>
  <si>
    <t>GDD-13046 - UO ASD Moyen</t>
  </si>
  <si>
    <t>GDD-13045 - UO TASD Moyen</t>
  </si>
  <si>
    <t>GDD-13045 - UO ASD Moyen</t>
  </si>
  <si>
    <t>GDD-13044 - UO TASD Moyen</t>
  </si>
  <si>
    <t>GDD-13044 - UO ASD Moyen</t>
  </si>
  <si>
    <t>ASD - ESIS</t>
  </si>
  <si>
    <t>TASD - GDD 12927 : Environnement de DEV / INT pour JIRA ALEF</t>
  </si>
  <si>
    <t>ASD - GDD 12927 : Environnement de DEV / INT pour JIRA ALEF</t>
  </si>
  <si>
    <t>Kremeet GCRM - Mise à jour TASD GCRM pour intégration flux vers Eloqua</t>
  </si>
  <si>
    <t>ESD-Migration des environnements EFX</t>
  </si>
  <si>
    <t>TASD - TOMM</t>
  </si>
  <si>
    <t>TASD - GDD-12736 Virtualisation serveur Cosmos, Videosurveillance, Intrusion</t>
  </si>
  <si>
    <t>ASD - GDD-12736 Virtualisation serveur Cosmos, Videosurveillance, Intrusion</t>
  </si>
  <si>
    <t>VOL - Maj TASD pour récupération extract eDir</t>
  </si>
  <si>
    <t>OBSO 2003 - TAV - Mise à jour TASD VAX Valence</t>
  </si>
  <si>
    <t>CentralEF &gt; CSE Workbench &gt; TASD</t>
  </si>
  <si>
    <t>TASD - GDD-10620 Installation d'une application de veille réglementaire</t>
  </si>
  <si>
    <t>ASD - GDD-10620 Installation d'une application de veille réglementaire</t>
  </si>
  <si>
    <t>[SI SATURNE] Demande de mise à jour ESD suite modif. périmètre</t>
  </si>
  <si>
    <t>TASD - GDD12876 - Cache Thales Live Streaming</t>
  </si>
  <si>
    <t>ASD - GDD12876 - Cache Thales Live Streaming</t>
  </si>
  <si>
    <t>TASD - GDD 8622 VidéoSurveillance TSA</t>
  </si>
  <si>
    <t>ASD - GDD 8622 VidéoSurveillance TSA</t>
  </si>
  <si>
    <t>TASD - CONEX</t>
  </si>
  <si>
    <t>ASD - TOMM</t>
  </si>
  <si>
    <t>TASD - Migration Push2Palma TUS</t>
  </si>
  <si>
    <t>UO AAT - TASD Cristal Nato Restricted</t>
  </si>
  <si>
    <t>TASD - GDD 12631 - Infocentre MCS</t>
  </si>
  <si>
    <t>ASD - GDD 12631 - Infocentre MCS</t>
  </si>
  <si>
    <t>TASD - ATDM TED</t>
  </si>
  <si>
    <t>CentralEF &gt; TechPub &gt; ESD</t>
  </si>
  <si>
    <t>ASD - GDD 8850 - Kermeet GCRM</t>
  </si>
  <si>
    <t>TASD - GDD10281 Readsoft Usine ULM</t>
  </si>
  <si>
    <t>ASD - GDD10281 Readsoft Usine ULM</t>
  </si>
  <si>
    <t>TASD - GDD 9380 PDMLINK</t>
  </si>
  <si>
    <t>ASD - GDD 9380 PDMLINK</t>
  </si>
  <si>
    <t>[SI SATURNE] Demande TASD ateliers complexité moyenne</t>
  </si>
  <si>
    <t>ASD - Migration Push2Palma TUS</t>
  </si>
  <si>
    <t>GDD 8571 - TASD - LL TR6</t>
  </si>
  <si>
    <t>GDD 8571 - ASD - LL TR6</t>
  </si>
  <si>
    <t>Réalisation TASD Univers - multitenant EF30</t>
  </si>
  <si>
    <t>Obso 2003 - SunAccount - ASD</t>
  </si>
  <si>
    <t>TASD - GDD 7678 - Passage en RedHat 4 de l'OS de Oap TTS FR</t>
  </si>
  <si>
    <t>ASD - GDD 7678 - Passage en RedHat 4 de l'OS de Oap TTS FR</t>
  </si>
  <si>
    <t>GDD 12682 - UO TASD</t>
  </si>
  <si>
    <t>GDD 12682 - UO ASD</t>
  </si>
  <si>
    <t>UO AAT - ESD Cristal Nato Restricted</t>
  </si>
  <si>
    <t>TASD - Montée de version Smartfleet</t>
  </si>
  <si>
    <t>Demande d'UO ESD Ateliers pour le projet SI Saturne</t>
  </si>
  <si>
    <t>Serious Game, fraude au président - TASD</t>
  </si>
  <si>
    <t>TASD - GDD-9247 - SIS²</t>
  </si>
  <si>
    <t>GDD 8599 &gt; TAV VAL (Lot 2) &gt; 06/2017 &gt; CoProj + Evolutions TASD</t>
  </si>
  <si>
    <t>GDD 10567 - Serious Game, fraude au président - ASD</t>
  </si>
  <si>
    <t>ASD - Montée de version Smartfleet</t>
  </si>
  <si>
    <t>UO ESD - (GDD-10289) Doors NEXT GEN</t>
  </si>
  <si>
    <t>TASD - GDD 10617 - COTS Center</t>
  </si>
  <si>
    <t>ASD - GDD 10617 - COTS Center</t>
  </si>
  <si>
    <t>TASD - GDD 10638 - BDDP Obsolescence logiciels SAG</t>
  </si>
  <si>
    <t>ASD - GDD 10638 - BDDP Obsolescence logiciels SAG</t>
  </si>
  <si>
    <t>TASD - GDD 8931 - Livelink TR6</t>
  </si>
  <si>
    <t>ASD - GDD 8931 - Livelink TR6</t>
  </si>
  <si>
    <t>ASD - GDD-9247 - SIS²</t>
  </si>
  <si>
    <t>TASD - GDD 9637 - Outillage seervice téléphonie</t>
  </si>
  <si>
    <t>ASD - CONEX</t>
  </si>
  <si>
    <t>TASD - GDD-10616 Remédiation ORTEMS</t>
  </si>
  <si>
    <t>ASD - GDD-10616 Remédiation ORTEMS</t>
  </si>
  <si>
    <t>GDD 10587 - TASD - Web dispatcher pour améliorer les performances de SAP PLM7</t>
  </si>
  <si>
    <t>GDD 10587 - ASD - Web dispatcher pour améliorer les performances de SAP PLM7</t>
  </si>
  <si>
    <t>GDD 8620 - ASD</t>
  </si>
  <si>
    <t>GDD-8620 - TASD</t>
  </si>
  <si>
    <t>TASD - Exindus</t>
  </si>
  <si>
    <t>ASD - Exindus</t>
  </si>
  <si>
    <t>GDD 12459 - Ajout d'un environnement d'intégration sur le TASD e-TAQ</t>
  </si>
  <si>
    <t>UO Support - GDD-13076 - Ajout d'un environnement PLM TAV</t>
  </si>
  <si>
    <t>SOW - GDD - 13144 - Archivage gros volume Manet / R2</t>
  </si>
  <si>
    <t>TASD - GDD - 13144 - Archivage gros volume Manet / R2</t>
  </si>
  <si>
    <t>ASD - GDD - 13144 - Archivage gros volume Manet / R2</t>
  </si>
  <si>
    <t>SOW - Cleopatra : Obsolescence ECM</t>
  </si>
  <si>
    <t>TASD - Cleopatra : Obsolescence ECM</t>
  </si>
  <si>
    <t>ASD - Cleopatra : Obsolescence ECM</t>
  </si>
  <si>
    <t>GDD-13339 - Confinement Infocentre PeopleSoft</t>
  </si>
  <si>
    <t>GDD-13220 Confinement PeopleSoft (ITN 402)</t>
  </si>
  <si>
    <t>GDD-13272 Confinement Gestion Documentaire TR6</t>
  </si>
  <si>
    <t>GDD-13288 Confinement OCEAN</t>
  </si>
  <si>
    <t>GDD-13287 Confinement OLYMPE</t>
  </si>
  <si>
    <t>GDD-13289 Serveur PALMA SR TR6</t>
  </si>
  <si>
    <t>GDD-13317 Confinement DMAFAC TCS</t>
  </si>
  <si>
    <t>Mig ISSAM - SOW</t>
  </si>
  <si>
    <t xml:space="preserve">Suspendu </t>
  </si>
  <si>
    <t>TASD EFBox locale Bordeaux (EF32)</t>
  </si>
  <si>
    <t>TR6 - GDD 13395 - Capture - Accroissement de capacité de calcul EF3.2</t>
  </si>
  <si>
    <t>Support - Mise à jour du TASD Portail MCS</t>
  </si>
  <si>
    <t>TAO - GDD 3770 : REC-DTE Etude d'obsolescence serveurs Solaris (Massy)</t>
  </si>
  <si>
    <t>Tester le proxy ClearCase pour MLS</t>
  </si>
  <si>
    <t>CESAR-323</t>
  </si>
  <si>
    <t>CESAR-324</t>
  </si>
  <si>
    <t>CESAR-325</t>
  </si>
  <si>
    <t>CESAR-326</t>
  </si>
  <si>
    <t>CESAR-327</t>
  </si>
  <si>
    <t>SOW - GDD-13212 : Mise à jour CSA pré production 13i vers 16c</t>
  </si>
  <si>
    <t>GDD-13380 Upgrade Infra Citrix sur DMZ Coflight - capture</t>
  </si>
  <si>
    <t>UO Support - Markeys / DJMAR étude d'impact</t>
  </si>
  <si>
    <t>CESAR-328</t>
  </si>
  <si>
    <t xml:space="preserve">Nb de jours Suspendu </t>
  </si>
  <si>
    <t>Connecteur Puppet - vRA/vRO</t>
  </si>
  <si>
    <t>Cadrage : GDD-13177 (LIEN_TOSA_DIGITAL_PLATFORM)</t>
  </si>
  <si>
    <t>Date ouverture</t>
  </si>
  <si>
    <t>Date Initialisé</t>
  </si>
  <si>
    <t>Date A valider</t>
  </si>
  <si>
    <t>Date Fermé</t>
  </si>
  <si>
    <t>Nb de jours ouvert</t>
  </si>
  <si>
    <t>Nb de jours En cours</t>
  </si>
  <si>
    <t>Nb de jours Suspend</t>
  </si>
  <si>
    <t>Mois Initialisé</t>
  </si>
  <si>
    <t>Mois Fermé</t>
  </si>
  <si>
    <t>Montant commande</t>
  </si>
  <si>
    <t>Charge commandée</t>
  </si>
  <si>
    <t>Depassement date max</t>
  </si>
  <si>
    <t>UO TAO Rédaction ASD Moyenne</t>
  </si>
  <si>
    <t>avril</t>
  </si>
  <si>
    <t>juin</t>
  </si>
  <si>
    <t>UO TAO Enoncé de travaux de chiffrage</t>
  </si>
  <si>
    <t>septembre</t>
  </si>
  <si>
    <t>UO AAT Rédaction ESD (Engineering Solution Design) Moyenne</t>
  </si>
  <si>
    <t>juillet</t>
  </si>
  <si>
    <t>UO AAT Rédaction ESD (Engineering Solution Design) Faible</t>
  </si>
  <si>
    <t>novembre</t>
  </si>
  <si>
    <t>UO AAT Rédaction ESD (Engineering Solution Design) Intermédiaire</t>
  </si>
  <si>
    <t>UO TAO Rédaction ASD Faible</t>
  </si>
  <si>
    <t>août</t>
  </si>
  <si>
    <t>UO TAO Rédaction TASD Faible</t>
  </si>
  <si>
    <t>UO TAO Rédaction TASD Moyenne</t>
  </si>
  <si>
    <t>UO AAT Capture Faible</t>
  </si>
  <si>
    <t>UO TAO Accompagnement technique à la mise en production</t>
  </si>
  <si>
    <t>UO AAT Accompagnement technique à la mise en production</t>
  </si>
  <si>
    <t>octobre</t>
  </si>
  <si>
    <t>UO AAT Capture Moyenne</t>
  </si>
  <si>
    <t>UO AAT Rédaction ESD (Engineering Solution Design) Importante</t>
  </si>
  <si>
    <t>UO AAT Cahier de tests fonctionnel / Recette fonctionnelle Moyenne</t>
  </si>
  <si>
    <t>décembre</t>
  </si>
  <si>
    <t>UO AAT Rédaction TASD Moyenne</t>
  </si>
  <si>
    <t>UO AAT Capture Importante</t>
  </si>
  <si>
    <t>UO AAT Capture Intermédiaire</t>
  </si>
  <si>
    <t>mai</t>
  </si>
  <si>
    <t>UO AAT Rédaction TASD Importante</t>
  </si>
  <si>
    <t>UO AAT Rédaction TASD Intermédiaire</t>
  </si>
  <si>
    <t>UO TAO Cadrage</t>
  </si>
  <si>
    <t xml:space="preserve">UO AAT Capture </t>
  </si>
  <si>
    <t>0 Accompagnement technique à la mise en production</t>
  </si>
  <si>
    <t>UO TAO Accompagnement à la rédaction de l'expression de besoin</t>
  </si>
  <si>
    <t>UO AAT Rédaction TASD Faible</t>
  </si>
  <si>
    <t>UO AAT Cahier de tests fonctionnel / Recette fonctionnelle Importante</t>
  </si>
  <si>
    <t>UO AAT Cahier de tests exploitant / Recette Technique</t>
  </si>
  <si>
    <t>KO</t>
  </si>
  <si>
    <t>GDD-13243 - Mise à disposition d'une VM Linux RHE 7.X pour développement FPGA - capture</t>
  </si>
  <si>
    <t>r</t>
  </si>
  <si>
    <t>Analyse de conformité sur incident projet</t>
  </si>
  <si>
    <t>UO AAT Analyse de conformité sur incident projet</t>
  </si>
  <si>
    <t>UO TAO Rédaction TASD</t>
  </si>
  <si>
    <t>UO TAO Rédaction ASD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</si>
</sst>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-40C]d\-mmm;@"/>
    <numFmt numFmtId="167" formatCode="0.0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color indexed="81"/>
      <name val="Tahoma"/>
      <family val="2"/>
    </font>
    <font>
      <sz val="9"/>
      <name val="Arial"/>
      <family val="2"/>
    </font>
    <font>
      <sz val="9"/>
      <color indexed="81"/>
      <name val="Tahoma"/>
      <family val="2"/>
    </font>
    <font>
      <sz val="9"/>
      <name val="Arial"/>
      <family val="2"/>
    </font>
    <font>
      <sz val="9"/>
      <name val="Arial"/>
      <family val="2"/>
    </font>
    <font>
      <sz val="9"/>
      <name val="Arial"/>
      <family val="2"/>
    </font>
    <font>
      <b/>
      <sz val="11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</borders>
  <cellStyleXfs count="110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2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8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6" borderId="0" applyNumberFormat="0" applyBorder="0" applyAlignment="0" applyProtection="0"/>
    <xf numFmtId="0" fontId="10" fillId="17" borderId="1" applyNumberFormat="0" applyAlignment="0" applyProtection="0"/>
    <xf numFmtId="0" fontId="11" fillId="18" borderId="2" applyNumberFormat="0" applyAlignment="0" applyProtection="0"/>
    <xf numFmtId="0" fontId="12" fillId="0" borderId="0" applyNumberFormat="0" applyFill="0" applyBorder="0" applyAlignment="0" applyProtection="0"/>
    <xf numFmtId="0" fontId="13" fillId="19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11" borderId="1" applyNumberFormat="0" applyAlignment="0" applyProtection="0"/>
    <xf numFmtId="0" fontId="18" fillId="0" borderId="6" applyNumberFormat="0" applyFill="0" applyAlignment="0" applyProtection="0"/>
    <xf numFmtId="0" fontId="19" fillId="5" borderId="0" applyNumberFormat="0" applyBorder="0" applyAlignment="0" applyProtection="0"/>
    <xf numFmtId="0" fontId="5" fillId="5" borderId="7" applyNumberFormat="0" applyFont="0" applyAlignment="0" applyProtection="0"/>
    <xf numFmtId="0" fontId="20" fillId="17" borderId="8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4" fillId="5" borderId="7" applyNumberFormat="0" applyFont="0" applyAlignment="0" applyProtection="0"/>
    <xf numFmtId="0" fontId="4" fillId="0" borderId="0"/>
    <xf numFmtId="0" fontId="4" fillId="0" borderId="0"/>
    <xf numFmtId="0" fontId="24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2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8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6" borderId="0" applyNumberFormat="0" applyBorder="0" applyAlignment="0" applyProtection="0"/>
    <xf numFmtId="0" fontId="10" fillId="17" borderId="1" applyNumberFormat="0" applyAlignment="0" applyProtection="0"/>
    <xf numFmtId="0" fontId="11" fillId="18" borderId="2" applyNumberFormat="0" applyAlignment="0" applyProtection="0"/>
    <xf numFmtId="0" fontId="12" fillId="0" borderId="0" applyNumberFormat="0" applyFill="0" applyBorder="0" applyAlignment="0" applyProtection="0"/>
    <xf numFmtId="0" fontId="13" fillId="19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11" borderId="1" applyNumberFormat="0" applyAlignment="0" applyProtection="0"/>
    <xf numFmtId="0" fontId="18" fillId="0" borderId="6" applyNumberFormat="0" applyFill="0" applyAlignment="0" applyProtection="0"/>
    <xf numFmtId="0" fontId="19" fillId="5" borderId="0" applyNumberFormat="0" applyBorder="0" applyAlignment="0" applyProtection="0"/>
    <xf numFmtId="0" fontId="4" fillId="5" borderId="7" applyNumberFormat="0" applyFont="0" applyAlignment="0" applyProtection="0"/>
    <xf numFmtId="0" fontId="20" fillId="17" borderId="8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10" fillId="17" borderId="1" applyNumberFormat="0" applyAlignment="0" applyProtection="0"/>
    <xf numFmtId="0" fontId="17" fillId="11" borderId="1" applyNumberFormat="0" applyAlignment="0" applyProtection="0"/>
    <xf numFmtId="0" fontId="4" fillId="5" borderId="7" applyNumberFormat="0" applyFont="0" applyAlignment="0" applyProtection="0"/>
    <xf numFmtId="0" fontId="20" fillId="17" borderId="8" applyNumberFormat="0" applyAlignment="0" applyProtection="0"/>
    <xf numFmtId="0" fontId="22" fillId="0" borderId="9" applyNumberFormat="0" applyFill="0" applyAlignment="0" applyProtection="0"/>
    <xf numFmtId="0" fontId="4" fillId="5" borderId="7" applyNumberFormat="0" applyFont="0" applyAlignment="0" applyProtection="0"/>
    <xf numFmtId="0" fontId="10" fillId="17" borderId="1" applyNumberFormat="0" applyAlignment="0" applyProtection="0"/>
    <xf numFmtId="0" fontId="17" fillId="11" borderId="1" applyNumberFormat="0" applyAlignment="0" applyProtection="0"/>
    <xf numFmtId="0" fontId="4" fillId="5" borderId="7" applyNumberFormat="0" applyFont="0" applyAlignment="0" applyProtection="0"/>
    <xf numFmtId="0" fontId="20" fillId="17" borderId="8" applyNumberFormat="0" applyAlignment="0" applyProtection="0"/>
    <xf numFmtId="0" fontId="22" fillId="0" borderId="9" applyNumberFormat="0" applyFill="0" applyAlignment="0" applyProtection="0"/>
    <xf numFmtId="0" fontId="4" fillId="5" borderId="7" applyNumberFormat="0" applyFont="0" applyAlignment="0" applyProtection="0"/>
    <xf numFmtId="0" fontId="10" fillId="17" borderId="1" applyNumberFormat="0" applyAlignment="0" applyProtection="0"/>
    <xf numFmtId="0" fontId="17" fillId="11" borderId="1" applyNumberFormat="0" applyAlignment="0" applyProtection="0"/>
    <xf numFmtId="0" fontId="4" fillId="5" borderId="7" applyNumberFormat="0" applyFont="0" applyAlignment="0" applyProtection="0"/>
    <xf numFmtId="0" fontId="20" fillId="17" borderId="8" applyNumberFormat="0" applyAlignment="0" applyProtection="0"/>
    <xf numFmtId="0" fontId="22" fillId="0" borderId="9" applyNumberFormat="0" applyFill="0" applyAlignment="0" applyProtection="0"/>
    <xf numFmtId="0" fontId="4" fillId="5" borderId="7" applyNumberFormat="0" applyFont="0" applyAlignment="0" applyProtection="0"/>
    <xf numFmtId="0" fontId="3" fillId="0" borderId="0"/>
    <xf numFmtId="9" fontId="26" fillId="0" borderId="0" applyFont="0" applyFill="0" applyBorder="0" applyAlignment="0" applyProtection="0"/>
    <xf numFmtId="0" fontId="2" fillId="0" borderId="0"/>
    <xf numFmtId="0" fontId="1" fillId="0" borderId="0"/>
    <xf numFmtId="0" fontId="4" fillId="0" borderId="0"/>
  </cellStyleXfs>
  <cellXfs count="76">
    <xf numFmtId="0" fontId="0" fillId="0" borderId="0" xfId="0"/>
    <xf numFmtId="0" fontId="0" fillId="0" borderId="0" xfId="0"/>
    <xf numFmtId="0" fontId="6" fillId="0" borderId="0" xfId="43" applyNumberFormat="1" applyFont="1" applyAlignment="1">
      <alignment horizontal="center" vertical="center" wrapText="1"/>
    </xf>
    <xf numFmtId="0" fontId="6" fillId="0" borderId="0" xfId="43" applyNumberFormat="1" applyFont="1" applyAlignment="1">
      <alignment vertical="center"/>
    </xf>
    <xf numFmtId="0" fontId="6" fillId="0" borderId="0" xfId="43" applyNumberFormat="1" applyFont="1" applyFill="1" applyAlignment="1">
      <alignment horizontal="center" vertical="center" wrapText="1"/>
    </xf>
    <xf numFmtId="0" fontId="27" fillId="0" borderId="0" xfId="43" applyNumberFormat="1" applyFont="1" applyFill="1" applyAlignment="1">
      <alignment vertical="center"/>
    </xf>
    <xf numFmtId="165" fontId="6" fillId="0" borderId="0" xfId="43" applyNumberFormat="1" applyFont="1" applyFill="1" applyAlignment="1">
      <alignment vertical="center"/>
    </xf>
    <xf numFmtId="165" fontId="6" fillId="0" borderId="0" xfId="43" applyNumberFormat="1" applyFont="1" applyAlignment="1">
      <alignment vertical="center"/>
    </xf>
    <xf numFmtId="165" fontId="27" fillId="0" borderId="0" xfId="43" applyNumberFormat="1" applyFont="1" applyFill="1" applyAlignment="1">
      <alignment vertical="center"/>
    </xf>
    <xf numFmtId="165" fontId="6" fillId="0" borderId="0" xfId="43" applyNumberFormat="1" applyFont="1" applyAlignment="1">
      <alignment horizontal="center" vertical="center" wrapText="1"/>
    </xf>
    <xf numFmtId="0" fontId="29" fillId="0" borderId="0" xfId="43" applyNumberFormat="1" applyFont="1" applyFill="1" applyAlignment="1">
      <alignment vertical="center"/>
    </xf>
    <xf numFmtId="165" fontId="29" fillId="0" borderId="0" xfId="43" applyNumberFormat="1" applyFont="1" applyFill="1" applyAlignment="1">
      <alignment vertical="center"/>
    </xf>
    <xf numFmtId="0" fontId="6" fillId="0" borderId="0" xfId="43" applyNumberFormat="1" applyFont="1" applyFill="1" applyAlignment="1">
      <alignment vertical="center"/>
    </xf>
    <xf numFmtId="0" fontId="6" fillId="0" borderId="0" xfId="43" applyNumberFormat="1" applyFont="1" applyFill="1" applyAlignment="1">
      <alignment horizontal="center" vertical="center"/>
    </xf>
    <xf numFmtId="0" fontId="27" fillId="0" borderId="0" xfId="43" applyNumberFormat="1" applyFont="1" applyFill="1" applyAlignment="1">
      <alignment horizontal="center" vertical="center"/>
    </xf>
    <xf numFmtId="0" fontId="29" fillId="0" borderId="0" xfId="43" applyNumberFormat="1" applyFont="1" applyFill="1" applyAlignment="1">
      <alignment horizontal="center" vertical="center"/>
    </xf>
    <xf numFmtId="0" fontId="6" fillId="0" borderId="0" xfId="43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0" fontId="6" fillId="0" borderId="0" xfId="43" applyNumberFormat="1" applyFont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2" fontId="6" fillId="0" borderId="0" xfId="43" applyNumberFormat="1" applyFont="1" applyAlignment="1">
      <alignment vertical="center"/>
    </xf>
    <xf numFmtId="0" fontId="31" fillId="0" borderId="0" xfId="43" applyNumberFormat="1" applyFont="1" applyFill="1" applyAlignment="1">
      <alignment vertical="center"/>
    </xf>
    <xf numFmtId="165" fontId="31" fillId="0" borderId="0" xfId="43" applyNumberFormat="1" applyFont="1" applyFill="1" applyAlignment="1">
      <alignment vertical="center"/>
    </xf>
    <xf numFmtId="0" fontId="31" fillId="0" borderId="0" xfId="43" applyNumberFormat="1" applyFont="1" applyFill="1" applyAlignment="1">
      <alignment horizontal="center" vertical="center"/>
    </xf>
    <xf numFmtId="165" fontId="32" fillId="0" borderId="0" xfId="43" applyNumberFormat="1" applyFont="1" applyFill="1" applyAlignment="1">
      <alignment vertical="center"/>
    </xf>
    <xf numFmtId="0" fontId="32" fillId="0" borderId="0" xfId="43" applyNumberFormat="1" applyFont="1" applyFill="1" applyAlignment="1">
      <alignment vertical="center"/>
    </xf>
    <xf numFmtId="0" fontId="32" fillId="0" borderId="0" xfId="43" applyNumberFormat="1" applyFont="1" applyFill="1" applyAlignment="1">
      <alignment horizontal="center" vertical="center"/>
    </xf>
    <xf numFmtId="1" fontId="0" fillId="0" borderId="0" xfId="0" applyNumberFormat="1" applyFill="1" applyAlignment="1">
      <alignment horizontal="center" vertical="center" wrapText="1"/>
    </xf>
    <xf numFmtId="165" fontId="4" fillId="21" borderId="0" xfId="0" applyNumberFormat="1" applyFont="1" applyFill="1" applyAlignment="1">
      <alignment horizontal="center" vertical="center" wrapText="1"/>
    </xf>
    <xf numFmtId="165" fontId="4" fillId="20" borderId="0" xfId="0" applyNumberFormat="1" applyFont="1" applyFill="1" applyAlignment="1">
      <alignment horizontal="center" vertical="center" wrapText="1"/>
    </xf>
    <xf numFmtId="165" fontId="6" fillId="24" borderId="0" xfId="43" applyNumberFormat="1" applyFont="1" applyFill="1" applyAlignment="1">
      <alignment horizontal="center" vertical="center" wrapText="1"/>
    </xf>
    <xf numFmtId="165" fontId="6" fillId="22" borderId="0" xfId="43" applyNumberFormat="1" applyFont="1" applyFill="1" applyAlignment="1">
      <alignment horizontal="center" vertical="center" wrapText="1"/>
    </xf>
    <xf numFmtId="0" fontId="6" fillId="0" borderId="0" xfId="43" applyNumberFormat="1" applyFont="1" applyFill="1" applyBorder="1" applyAlignment="1">
      <alignment vertical="center"/>
    </xf>
    <xf numFmtId="165" fontId="6" fillId="0" borderId="0" xfId="43" applyNumberFormat="1" applyFont="1" applyFill="1" applyAlignment="1">
      <alignment horizontal="center" vertical="center"/>
    </xf>
    <xf numFmtId="1" fontId="6" fillId="0" borderId="0" xfId="43" applyNumberFormat="1" applyFont="1" applyFill="1" applyAlignment="1">
      <alignment horizontal="center" vertical="center"/>
    </xf>
    <xf numFmtId="167" fontId="6" fillId="0" borderId="0" xfId="43" applyNumberFormat="1" applyFont="1" applyFill="1" applyAlignment="1">
      <alignment horizontal="center" vertical="center"/>
    </xf>
    <xf numFmtId="165" fontId="31" fillId="0" borderId="0" xfId="43" applyNumberFormat="1" applyFont="1" applyFill="1" applyAlignment="1">
      <alignment horizontal="center" vertical="center"/>
    </xf>
    <xf numFmtId="1" fontId="31" fillId="0" borderId="0" xfId="43" applyNumberFormat="1" applyFont="1" applyFill="1" applyAlignment="1">
      <alignment horizontal="center" vertical="center"/>
    </xf>
    <xf numFmtId="167" fontId="31" fillId="0" borderId="0" xfId="43" applyNumberFormat="1" applyFont="1" applyFill="1" applyAlignment="1">
      <alignment horizontal="center" vertical="center"/>
    </xf>
    <xf numFmtId="165" fontId="32" fillId="0" borderId="0" xfId="43" applyNumberFormat="1" applyFont="1" applyFill="1" applyAlignment="1">
      <alignment horizontal="center" vertical="center"/>
    </xf>
    <xf numFmtId="1" fontId="32" fillId="0" borderId="0" xfId="43" applyNumberFormat="1" applyFont="1" applyFill="1" applyAlignment="1">
      <alignment horizontal="center" vertical="center"/>
    </xf>
    <xf numFmtId="167" fontId="32" fillId="0" borderId="0" xfId="43" applyNumberFormat="1" applyFont="1" applyFill="1" applyAlignment="1">
      <alignment horizontal="center" vertical="center"/>
    </xf>
    <xf numFmtId="0" fontId="32" fillId="0" borderId="0" xfId="43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center" vertical="center" wrapText="1"/>
    </xf>
    <xf numFmtId="0" fontId="4" fillId="20" borderId="0" xfId="0" applyNumberFormat="1" applyFont="1" applyFill="1" applyAlignment="1">
      <alignment horizontal="center" vertical="center" wrapText="1"/>
    </xf>
    <xf numFmtId="0" fontId="33" fillId="0" borderId="0" xfId="43" applyNumberFormat="1" applyFont="1" applyFill="1" applyAlignment="1">
      <alignment vertical="center"/>
    </xf>
    <xf numFmtId="165" fontId="33" fillId="0" borderId="0" xfId="43" applyNumberFormat="1" applyFont="1" applyFill="1" applyAlignment="1">
      <alignment vertical="center"/>
    </xf>
    <xf numFmtId="0" fontId="33" fillId="0" borderId="0" xfId="43" applyNumberFormat="1" applyFont="1" applyFill="1" applyAlignment="1">
      <alignment horizontal="center" vertical="center"/>
    </xf>
    <xf numFmtId="165" fontId="33" fillId="0" borderId="0" xfId="43" applyNumberFormat="1" applyFont="1" applyFill="1" applyAlignment="1">
      <alignment horizontal="center" vertical="center"/>
    </xf>
    <xf numFmtId="1" fontId="33" fillId="0" borderId="0" xfId="43" applyNumberFormat="1" applyFont="1" applyFill="1" applyAlignment="1">
      <alignment horizontal="center" vertical="center"/>
    </xf>
    <xf numFmtId="167" fontId="33" fillId="0" borderId="0" xfId="43" applyNumberFormat="1" applyFont="1" applyFill="1" applyAlignment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165" fontId="6" fillId="0" borderId="0" xfId="43" applyNumberFormat="1" applyFont="1" applyFill="1" applyAlignment="1">
      <alignment horizontal="center" vertical="center" wrapText="1"/>
    </xf>
    <xf numFmtId="1" fontId="0" fillId="0" borderId="0" xfId="0" applyNumberFormat="1" applyFill="1" applyAlignment="1">
      <alignment horizontal="center" vertical="center"/>
    </xf>
    <xf numFmtId="167" fontId="0" fillId="0" borderId="0" xfId="0" applyNumberFormat="1" applyFill="1" applyAlignment="1">
      <alignment horizontal="center" vertical="center"/>
    </xf>
    <xf numFmtId="0" fontId="25" fillId="0" borderId="0" xfId="43" applyNumberFormat="1" applyFont="1" applyFill="1" applyBorder="1" applyAlignment="1">
      <alignment vertical="center"/>
    </xf>
    <xf numFmtId="0" fontId="0" fillId="0" borderId="0" xfId="0" applyFill="1"/>
    <xf numFmtId="2" fontId="6" fillId="0" borderId="0" xfId="43" applyNumberFormat="1" applyFont="1" applyFill="1" applyAlignment="1">
      <alignment vertical="center"/>
    </xf>
    <xf numFmtId="10" fontId="6" fillId="0" borderId="0" xfId="43" applyNumberFormat="1" applyFont="1" applyFill="1" applyAlignment="1">
      <alignment vertical="center"/>
    </xf>
    <xf numFmtId="0" fontId="0" fillId="0" borderId="0" xfId="0" applyNumberFormat="1" applyFill="1" applyAlignment="1">
      <alignment horizontal="center" vertical="center"/>
    </xf>
    <xf numFmtId="165" fontId="6" fillId="0" borderId="0" xfId="0" applyNumberFormat="1" applyFont="1" applyFill="1" applyBorder="1" applyAlignment="1" applyProtection="1">
      <alignment horizontal="center" vertical="center"/>
    </xf>
    <xf numFmtId="1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Font="1" applyFill="1"/>
    <xf numFmtId="0" fontId="6" fillId="0" borderId="0" xfId="43" applyNumberFormat="1" applyFont="1" applyFill="1" applyAlignment="1">
      <alignment vertical="center"/>
    </xf>
    <xf numFmtId="165" fontId="6" fillId="25" borderId="0" xfId="43" applyNumberFormat="1" applyFont="1" applyFill="1" applyAlignment="1">
      <alignment horizontal="center" vertical="center" wrapText="1"/>
    </xf>
    <xf numFmtId="0" fontId="6" fillId="26" borderId="0" xfId="43" applyNumberFormat="1" applyFont="1" applyFill="1" applyAlignment="1">
      <alignment horizontal="center" vertical="center" wrapText="1"/>
    </xf>
    <xf numFmtId="0" fontId="6" fillId="20" borderId="0" xfId="43" applyNumberFormat="1" applyFont="1" applyFill="1" applyAlignment="1">
      <alignment horizontal="center" vertical="center" wrapText="1"/>
    </xf>
    <xf numFmtId="0" fontId="6" fillId="23" borderId="0" xfId="0" applyNumberFormat="1" applyFont="1" applyFill="1" applyAlignment="1">
      <alignment horizontal="center" vertical="center" wrapText="1"/>
    </xf>
    <xf numFmtId="1" fontId="6" fillId="20" borderId="0" xfId="0" applyNumberFormat="1" applyFont="1" applyFill="1" applyAlignment="1">
      <alignment horizontal="center" vertical="center" wrapText="1"/>
    </xf>
    <xf numFmtId="165" fontId="6" fillId="0" borderId="0" xfId="43" applyNumberFormat="1" applyFont="1" applyFill="1" applyAlignment="1">
      <alignment horizontal="right" vertical="center"/>
    </xf>
    <xf numFmtId="165" fontId="31" fillId="0" borderId="0" xfId="43" applyNumberFormat="1" applyFont="1" applyFill="1" applyAlignment="1">
      <alignment horizontal="right" vertical="center"/>
    </xf>
    <xf numFmtId="165" fontId="32" fillId="0" borderId="0" xfId="43" applyNumberFormat="1" applyFont="1" applyFill="1" applyAlignment="1">
      <alignment horizontal="right" vertical="center"/>
    </xf>
    <xf numFmtId="165" fontId="33" fillId="0" borderId="0" xfId="43" applyNumberFormat="1" applyFont="1" applyFill="1" applyAlignment="1">
      <alignment horizontal="right" vertical="center"/>
    </xf>
    <xf numFmtId="165" fontId="29" fillId="0" borderId="0" xfId="43" applyNumberFormat="1" applyFont="1" applyFill="1" applyAlignment="1">
      <alignment horizontal="right" vertical="center"/>
    </xf>
    <xf numFmtId="165" fontId="27" fillId="0" borderId="0" xfId="43" applyNumberFormat="1" applyFont="1" applyFill="1" applyAlignment="1">
      <alignment horizontal="right" vertical="center"/>
    </xf>
    <xf numFmtId="165" fontId="6" fillId="0" borderId="0" xfId="0" applyNumberFormat="1" applyFont="1" applyFill="1" applyBorder="1" applyAlignment="1" applyProtection="1">
      <alignment horizontal="right" vertical="center"/>
    </xf>
  </cellXfs>
  <cellStyles count="110">
    <cellStyle name="20 % - Accent1" xfId="1" builtinId="30" customBuiltin="1"/>
    <cellStyle name="20 % - Accent1 2" xfId="46"/>
    <cellStyle name="20 % - Accent2" xfId="2" builtinId="34" customBuiltin="1"/>
    <cellStyle name="20 % - Accent2 2" xfId="47"/>
    <cellStyle name="20 % - Accent3" xfId="3" builtinId="38" customBuiltin="1"/>
    <cellStyle name="20 % - Accent3 2" xfId="48"/>
    <cellStyle name="20 % - Accent4" xfId="4" builtinId="42" customBuiltin="1"/>
    <cellStyle name="20 % - Accent4 2" xfId="49"/>
    <cellStyle name="20 % - Accent5" xfId="5" builtinId="46" customBuiltin="1"/>
    <cellStyle name="20 % - Accent5 2" xfId="50"/>
    <cellStyle name="20 % - Accent6" xfId="6" builtinId="50" customBuiltin="1"/>
    <cellStyle name="20 % - Accent6 2" xfId="51"/>
    <cellStyle name="40 % - Accent1" xfId="7" builtinId="31" customBuiltin="1"/>
    <cellStyle name="40 % - Accent1 2" xfId="52"/>
    <cellStyle name="40 % - Accent2" xfId="8" builtinId="35" customBuiltin="1"/>
    <cellStyle name="40 % - Accent2 2" xfId="53"/>
    <cellStyle name="40 % - Accent3" xfId="9" builtinId="39" customBuiltin="1"/>
    <cellStyle name="40 % - Accent3 2" xfId="54"/>
    <cellStyle name="40 % - Accent4" xfId="10" builtinId="43" customBuiltin="1"/>
    <cellStyle name="40 % - Accent4 2" xfId="55"/>
    <cellStyle name="40 % - Accent5" xfId="11" builtinId="47" customBuiltin="1"/>
    <cellStyle name="40 % - Accent5 2" xfId="56"/>
    <cellStyle name="40 % - Accent6" xfId="12" builtinId="51" customBuiltin="1"/>
    <cellStyle name="40 % - Accent6 2" xfId="57"/>
    <cellStyle name="60 % - Accent1" xfId="13" builtinId="32" customBuiltin="1"/>
    <cellStyle name="60 % - Accent1 2" xfId="58"/>
    <cellStyle name="60 % - Accent2" xfId="14" builtinId="36" customBuiltin="1"/>
    <cellStyle name="60 % - Accent2 2" xfId="59"/>
    <cellStyle name="60 % - Accent3" xfId="15" builtinId="40" customBuiltin="1"/>
    <cellStyle name="60 % - Accent3 2" xfId="60"/>
    <cellStyle name="60 % - Accent4" xfId="16" builtinId="44" customBuiltin="1"/>
    <cellStyle name="60 % - Accent4 2" xfId="61"/>
    <cellStyle name="60 % - Accent5" xfId="17" builtinId="48" customBuiltin="1"/>
    <cellStyle name="60 % - Accent5 2" xfId="62"/>
    <cellStyle name="60 % - Accent6" xfId="18" builtinId="52" customBuiltin="1"/>
    <cellStyle name="60 % - Accent6 2" xfId="63"/>
    <cellStyle name="Accent1" xfId="19" builtinId="29" customBuiltin="1"/>
    <cellStyle name="Accent1 2" xfId="64"/>
    <cellStyle name="Accent2" xfId="20" builtinId="33" customBuiltin="1"/>
    <cellStyle name="Accent2 2" xfId="65"/>
    <cellStyle name="Accent3" xfId="21" builtinId="37" customBuiltin="1"/>
    <cellStyle name="Accent3 2" xfId="66"/>
    <cellStyle name="Accent4" xfId="22" builtinId="41" customBuiltin="1"/>
    <cellStyle name="Accent4 2" xfId="67"/>
    <cellStyle name="Accent5" xfId="23" builtinId="45" customBuiltin="1"/>
    <cellStyle name="Accent5 2" xfId="68"/>
    <cellStyle name="Accent6" xfId="24" builtinId="49" customBuiltin="1"/>
    <cellStyle name="Accent6 2" xfId="69"/>
    <cellStyle name="Avertissement" xfId="41" builtinId="11" customBuiltin="1"/>
    <cellStyle name="Avertissement 2" xfId="86"/>
    <cellStyle name="Calcul" xfId="26"/>
    <cellStyle name="Calcul 2" xfId="71"/>
    <cellStyle name="Calcul 3" xfId="87"/>
    <cellStyle name="Calcul 4" xfId="93"/>
    <cellStyle name="Calcul 5" xfId="99"/>
    <cellStyle name="Cellule liée" xfId="35" builtinId="24" customBuiltin="1"/>
    <cellStyle name="Cellule liée 2" xfId="80"/>
    <cellStyle name="Commentaire" xfId="37"/>
    <cellStyle name="Commentaire 2" xfId="42"/>
    <cellStyle name="Commentaire 2 2" xfId="92"/>
    <cellStyle name="Commentaire 2 3" xfId="98"/>
    <cellStyle name="Commentaire 2 4" xfId="104"/>
    <cellStyle name="Commentaire 3" xfId="82"/>
    <cellStyle name="Commentaire 4" xfId="89"/>
    <cellStyle name="Commentaire 5" xfId="95"/>
    <cellStyle name="Commentaire 6" xfId="101"/>
    <cellStyle name="Entrée" xfId="34"/>
    <cellStyle name="Entrée 2" xfId="79"/>
    <cellStyle name="Entrée 3" xfId="88"/>
    <cellStyle name="Entrée 4" xfId="94"/>
    <cellStyle name="Entrée 5" xfId="100"/>
    <cellStyle name="Insatisfaisant" xfId="25" builtinId="27" customBuiltin="1"/>
    <cellStyle name="Insatisfaisant 2" xfId="70"/>
    <cellStyle name="Neutre" xfId="36" builtinId="28" customBuiltin="1"/>
    <cellStyle name="Neutre 2" xfId="81"/>
    <cellStyle name="Normal" xfId="0" builtinId="0"/>
    <cellStyle name="Normal 2" xfId="43"/>
    <cellStyle name="Normal 2 2" xfId="109"/>
    <cellStyle name="Normal 3" xfId="44"/>
    <cellStyle name="Normal 4" xfId="45"/>
    <cellStyle name="Normal 5" xfId="105"/>
    <cellStyle name="Normal 6" xfId="107"/>
    <cellStyle name="Normal 7" xfId="108"/>
    <cellStyle name="Pourcentage" xfId="106"/>
    <cellStyle name="Satisfaisant" xfId="29" builtinId="26" customBuiltin="1"/>
    <cellStyle name="Satisfaisant 2" xfId="74"/>
    <cellStyle name="Sortie" xfId="38"/>
    <cellStyle name="Sortie 2" xfId="83"/>
    <cellStyle name="Sortie 3" xfId="90"/>
    <cellStyle name="Sortie 4" xfId="96"/>
    <cellStyle name="Sortie 5" xfId="102"/>
    <cellStyle name="Texte explicatif" xfId="28" builtinId="53" customBuiltin="1"/>
    <cellStyle name="Texte explicatif 2" xfId="73"/>
    <cellStyle name="Titre" xfId="39" builtinId="15" customBuiltin="1"/>
    <cellStyle name="Titre 2" xfId="84"/>
    <cellStyle name="Titre 1" xfId="30" builtinId="16" customBuiltin="1"/>
    <cellStyle name="Titre 1 2" xfId="75"/>
    <cellStyle name="Titre 2" xfId="31" builtinId="17" customBuiltin="1"/>
    <cellStyle name="Titre 2 2" xfId="76"/>
    <cellStyle name="Titre 3" xfId="32" builtinId="18" customBuiltin="1"/>
    <cellStyle name="Titre 3 2" xfId="77"/>
    <cellStyle name="Titre 4" xfId="33" builtinId="19" customBuiltin="1"/>
    <cellStyle name="Titre 4 2" xfId="78"/>
    <cellStyle name="Total" xfId="40"/>
    <cellStyle name="Total 2" xfId="85"/>
    <cellStyle name="Total 3" xfId="91"/>
    <cellStyle name="Total 4" xfId="97"/>
    <cellStyle name="Total 5" xfId="103"/>
    <cellStyle name="Vérification" xfId="27" builtinId="23" customBuiltin="1"/>
    <cellStyle name="Vérification 2" xfId="72"/>
  </cellStyles>
  <dxfs count="153"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5" tint="-0.24994659260841701"/>
      </font>
    </dxf>
    <dxf>
      <font>
        <color rgb="FFFFFF00"/>
      </font>
      <fill>
        <gradientFill degree="90">
          <stop position="0">
            <color theme="5" tint="0.40000610370189521"/>
          </stop>
          <stop position="0.5">
            <color theme="5" tint="-0.49803155613879818"/>
          </stop>
          <stop position="1">
            <color theme="5" tint="0.40000610370189521"/>
          </stop>
        </gradientFill>
      </fill>
    </dxf>
    <dxf>
      <font>
        <color rgb="FFFF0000"/>
      </font>
      <fill>
        <patternFill patternType="solid">
          <fgColor auto="1"/>
          <bgColor rgb="FFFFFF00"/>
        </patternFill>
      </fill>
    </dxf>
    <dxf>
      <font>
        <color rgb="FFFFFF00"/>
      </font>
      <fill>
        <gradientFill degree="90">
          <stop position="0">
            <color theme="5" tint="0.40000610370189521"/>
          </stop>
          <stop position="0.5">
            <color theme="5" tint="-0.49803155613879818"/>
          </stop>
          <stop position="1">
            <color theme="5" tint="0.40000610370189521"/>
          </stop>
        </gradientFill>
      </fill>
    </dxf>
    <dxf>
      <font>
        <color auto="1"/>
      </font>
      <fill>
        <gradientFill degree="90">
          <stop position="0">
            <color theme="5" tint="0.59999389629810485"/>
          </stop>
          <stop position="0.5">
            <color theme="5" tint="0.40000610370189521"/>
          </stop>
          <stop position="1">
            <color theme="5" tint="0.59999389629810485"/>
          </stop>
        </gradientFill>
      </fill>
    </dxf>
    <dxf>
      <font>
        <color theme="0" tint="-0.499984740745262"/>
      </font>
      <fill>
        <patternFill patternType="solid">
          <bgColor theme="4" tint="0.79998168889431442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auto="1"/>
      </font>
      <fill>
        <gradientFill degree="90">
          <stop position="0">
            <color theme="5" tint="0.59999389629810485"/>
          </stop>
          <stop position="0.5">
            <color theme="5" tint="0.40000610370189521"/>
          </stop>
          <stop position="1">
            <color theme="5" tint="0.59999389629810485"/>
          </stop>
        </gradientFill>
      </fill>
    </dxf>
    <dxf>
      <font>
        <color theme="0" tint="-0.499984740745262"/>
      </font>
      <fill>
        <patternFill patternType="solid">
          <bgColor theme="4" tint="0.79998168889431442"/>
        </patternFill>
      </fill>
    </dxf>
    <dxf>
      <font>
        <color rgb="FFFF0000"/>
      </font>
      <fill>
        <patternFill patternType="solid">
          <fgColor auto="1"/>
          <bgColor rgb="FFFFFF00"/>
        </patternFill>
      </fill>
    </dxf>
    <dxf>
      <font>
        <color rgb="FFFF0000"/>
      </font>
      <fill>
        <patternFill patternType="solid">
          <fgColor auto="1"/>
          <bgColor rgb="FFFFFF00"/>
        </patternFill>
      </fill>
    </dxf>
    <dxf>
      <font>
        <color rgb="FFFFFF00"/>
      </font>
      <fill>
        <gradientFill degree="90">
          <stop position="0">
            <color theme="5" tint="0.40000610370189521"/>
          </stop>
          <stop position="0.5">
            <color theme="5" tint="-0.49803155613879818"/>
          </stop>
          <stop position="1">
            <color theme="5" tint="0.40000610370189521"/>
          </stop>
        </gradientFill>
      </fill>
    </dxf>
    <dxf>
      <font>
        <color theme="5" tint="-0.2499465926084170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7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7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rgb="FF000000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[$-40C]d\-mmm;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rgb="FF000000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border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 style="thin">
          <color theme="4" tint="0.79998168889431442"/>
        </bottom>
        <vertical style="thin">
          <color theme="4" tint="0.79998168889431442"/>
        </vertical>
        <horizontal style="thin">
          <color theme="4" tint="0.79998168889431442"/>
        </horizontal>
      </border>
    </dxf>
    <dxf>
      <fill>
        <patternFill>
          <bgColor rgb="FFEDEAF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theme="0"/>
      </font>
      <fill>
        <patternFill>
          <bgColor theme="7" tint="0.39994506668294322"/>
        </patternFill>
      </fill>
    </dxf>
    <dxf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 style="thin">
          <color theme="0" tint="-4.9989318521683403E-2"/>
        </vertical>
        <horizontal style="thin">
          <color theme="0" tint="-4.9989318521683403E-2"/>
        </horizontal>
      </border>
    </dxf>
  </dxfs>
  <tableStyles count="3" defaultTableStyle="TableStyleMedium2" defaultPivotStyle="PivotStyleLight16">
    <tableStyle name="Style de tableau 1" pivot="0" count="5">
      <tableStyleElement type="wholeTable" dxfId="152"/>
      <tableStyleElement type="headerRow" dxfId="151"/>
      <tableStyleElement type="totalRow" dxfId="150"/>
      <tableStyleElement type="firstRowStripe" dxfId="149"/>
      <tableStyleElement type="secondRowStripe" dxfId="148"/>
    </tableStyle>
    <tableStyle name="Style de tableau 2" pivot="0" count="0"/>
    <tableStyle name="Style de tableau 3" pivot="0" count="5">
      <tableStyleElement type="wholeTable" dxfId="147"/>
      <tableStyleElement type="headerRow" dxfId="146"/>
      <tableStyleElement type="totalRow" dxfId="145"/>
      <tableStyleElement type="firstRowStripe" dxfId="144"/>
      <tableStyleElement type="secondRowStripe" dxfId="143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99FF99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6699FF"/>
      <rgbColor rgb="00CCECFF"/>
      <rgbColor rgb="00D6F4D9"/>
      <rgbColor rgb="00FFFFCC"/>
      <rgbColor rgb="0099CCFF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FFFF66"/>
      <color rgb="FFB7423F"/>
      <color rgb="FFF1F5F9"/>
      <color rgb="FFFFFFFF"/>
      <color rgb="FF5DB763"/>
      <color rgb="FFF9B073"/>
      <color rgb="FFCF7977"/>
      <color rgb="FFD38583"/>
      <color rgb="FFA53C3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38100</xdr:rowOff>
        </xdr:from>
        <xdr:to>
          <xdr:col>0</xdr:col>
          <xdr:colOff>1104900</xdr:colOff>
          <xdr:row>0</xdr:row>
          <xdr:rowOff>285750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code UO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5" name="Tableau_Liste_UO" displayName="Tableau_Liste_UO" ref="A1:X17" totalsRowShown="0" headerRowDxfId="142" dataDxfId="141" totalsRowDxfId="140" headerRowCellStyle="Normal 2" totalsRowCellStyle="Normal 2">
  <autoFilter ref="A1:X17"/>
  <sortState ref="A2:X17">
    <sortCondition ref="B1:B17"/>
  </sortState>
  <tableColumns count="24">
    <tableColumn id="31" name="Code UO imputation" dataDxfId="17" totalsRowDxfId="139" dataCellStyle="Normal 2">
      <calculatedColumnFormula>CONCATENATE(Tableau_Liste_UO[[#This Row],[Code UO]]," ","-"," ")</calculatedColumnFormula>
    </tableColumn>
    <tableColumn id="1" name="Code UO" dataDxfId="138" totalsRowDxfId="137" dataCellStyle="Normal 2"/>
    <tableColumn id="3" name="Description de la demande" dataDxfId="136" totalsRowDxfId="135" dataCellStyle="Normal 2">
      <calculatedColumnFormula>IFERROR(VLOOKUP(Tableau_Liste_UO[[#This Row],[Code UO]],Tableau_Liste_KPI[],COLUMN(Tableau_Liste_KPI[Description de la demande]),FALSE),"")</calculatedColumnFormula>
    </tableColumn>
    <tableColumn id="8" name="Statut" dataDxfId="134" totalsRowDxfId="133" dataCellStyle="Normal 2">
      <calculatedColumnFormula>IFERROR(VLOOKUP(Tableau_Liste_UO[[#This Row],[Code UO]],Tableau_Liste_KPI[],COLUMN(Tableau_Liste_KPI[Statut]),FALSE),"")</calculatedColumnFormula>
    </tableColumn>
    <tableColumn id="12" name="Service" dataDxfId="132" totalsRowDxfId="131" dataCellStyle="Normal 2">
      <calculatedColumnFormula>IFERROR(VLOOKUP(Tableau_Liste_UO[[#This Row],[Code UO]],Tableau_Liste_KPI[],COLUMN(Tableau_Liste_KPI[Service]),FALSE),"")</calculatedColumnFormula>
    </tableColumn>
    <tableColumn id="16" name="Type UO" dataDxfId="130" totalsRowDxfId="129" dataCellStyle="Normal 2">
      <calculatedColumnFormula>IFERROR(VLOOKUP(Tableau_Liste_UO[[#This Row],[Code UO]],Tableau_Liste_KPI[],COLUMN(Tableau_Liste_KPI[Type UO]),FALSE),"")</calculatedColumnFormula>
    </tableColumn>
    <tableColumn id="6" name="Complexite UO" dataDxfId="128" totalsRowDxfId="127" dataCellStyle="Normal 2">
      <calculatedColumnFormula>IFERROR(VLOOKUP(Tableau_Liste_UO[[#This Row],[Code UO]],Tableau_Liste_KPI[],COLUMN(Tableau_Liste_KPI[Complexite UO]),FALSE),"")</calculatedColumnFormula>
    </tableColumn>
    <tableColumn id="20" name="Concatenation" dataDxfId="126" totalsRowDxfId="125" dataCellStyle="Normal 2">
      <calculatedColumnFormula>IFERROR(VLOOKUP(Tableau_Liste_UO[[#This Row],[Code UO]],Tableau_Liste_KPI[],COLUMN(Tableau_Liste_KPI[Concatenation]),FALSE),"")</calculatedColumnFormula>
    </tableColumn>
    <tableColumn id="5" name="Initialisé" dataDxfId="124" totalsRowDxfId="123" dataCellStyle="Normal 2">
      <calculatedColumnFormula>IFERROR(VLOOKUP(Tableau_Liste_UO[[#This Row],[Code UO]],Tableau_Liste_KPI[],COLUMN(Tableau_Liste_KPI[Date Initialisé]),FALSE),"")</calculatedColumnFormula>
    </tableColumn>
    <tableColumn id="19" name="A valider" dataDxfId="122" totalsRowDxfId="121" dataCellStyle="Normal 2">
      <calculatedColumnFormula>IFERROR(VLOOKUP(Tableau_Liste_UO[[#This Row],[Code UO]],Tableau_Liste_KPI[],COLUMN(Tableau_Liste_KPI[Date A valider]),FALSE),"")</calculatedColumnFormula>
    </tableColumn>
    <tableColumn id="2" name="Closed" dataDxfId="120" totalsRowDxfId="119" dataCellStyle="Normal 2">
      <calculatedColumnFormula>IFERROR(VLOOKUP(Tableau_Liste_UO[[#This Row],[Code UO]],Tableau_Liste_KPI[],COLUMN(Tableau_Liste_KPI[Date Fermé]),FALSE),"")</calculatedColumnFormula>
    </tableColumn>
    <tableColumn id="7" name="Nb jours Initialisé" dataDxfId="118" totalsRowDxfId="117" dataCellStyle="Normal 2">
      <calculatedColumnFormula>IFERROR(VLOOKUP(Tableau_Liste_UO[[#This Row],[Code UO]],Tableau_Liste_KPI[],COLUMN(Tableau_Liste_KPI[Nb jours Initialisé]),FALSE),"")</calculatedColumnFormula>
    </tableColumn>
    <tableColumn id="11" name="Nb de jours In progress" dataDxfId="116" totalsRowDxfId="115" dataCellStyle="Normal 2">
      <calculatedColumnFormula>IFERROR(VLOOKUP(Tableau_Liste_UO[[#This Row],[Code UO]],Tableau_Liste_KPI[],COLUMN(Tableau_Liste_KPI[Nb de jours En cours]),FALSE),"")</calculatedColumnFormula>
    </tableColumn>
    <tableColumn id="13" name="Nb de jours Suspendu " dataDxfId="114" totalsRowDxfId="113" dataCellStyle="Normal 2">
      <calculatedColumnFormula>IFERROR(VLOOKUP(Tableau_Liste_UO[[#This Row],[Code UO]],Tableau_Liste_KPI[],COLUMN(Tableau_Liste_KPI[Nb de jours Suspend]),FALSE),"")</calculatedColumnFormula>
    </tableColumn>
    <tableColumn id="14" name="Nb de jour A valider" dataDxfId="112" totalsRowDxfId="111" dataCellStyle="Normal 2">
      <calculatedColumnFormula>IFERROR(VLOOKUP(Tableau_Liste_UO[[#This Row],[Code UO]],Tableau_Liste_KPI[],COLUMN(Tableau_Liste_KPI[Nb de jour A valider]),FALSE),"")</calculatedColumnFormula>
    </tableColumn>
    <tableColumn id="15" name="DEFF" dataDxfId="110" totalsRowDxfId="109" dataCellStyle="Normal 2">
      <calculatedColumnFormula>IFERROR(VLOOKUP(Tableau_Liste_UO[[#This Row],[Code UO]],Tableau_Liste_KPI[],COLUMN(Tableau_Liste_KPI[DEFF]),FALSE),"")</calculatedColumnFormula>
    </tableColumn>
    <tableColumn id="17" name="DMOY" dataDxfId="108" totalsRowDxfId="107" dataCellStyle="Normal 2">
      <calculatedColumnFormula>IFERROR(VLOOKUP(Tableau_Liste_UO[[#This Row],[Code UO]],Tableau_Liste_KPI[],COLUMN(Tableau_Liste_KPI[DMOY]),FALSE),"")</calculatedColumnFormula>
    </tableColumn>
    <tableColumn id="18" name="DMAX" dataDxfId="106" totalsRowDxfId="105" dataCellStyle="Normal 2">
      <calculatedColumnFormula>IFERROR(VLOOKUP(Tableau_Liste_UO[[#This Row],[Code UO]],Tableau_Liste_KPI[],COLUMN(Tableau_Liste_KPI[DMAX]),FALSE),"")</calculatedColumnFormula>
    </tableColumn>
    <tableColumn id="22" name="Date de livraison souhaitée" dataDxfId="104" totalsRowDxfId="103" dataCellStyle="Normal 2">
      <calculatedColumnFormula>IFERROR(VLOOKUP(Tableau_Liste_UO[[#This Row],[Code UO]],Tableau_Liste_KPI[],COLUMN(Tableau_Liste_KPI[Date de livraison souhaitée]),FALSE),"")</calculatedColumnFormula>
    </tableColumn>
    <tableColumn id="23" name="Date de livraison prévisionnelle" dataDxfId="102" totalsRowDxfId="101" dataCellStyle="Normal 2">
      <calculatedColumnFormula>IFERROR(VLOOKUP(Tableau_Liste_UO[[#This Row],[Code UO]],Tableau_Liste_KPI[],COLUMN(Tableau_Liste_KPI[Date de livraison prévisionnelle]),FALSE),"")</calculatedColumnFormula>
    </tableColumn>
    <tableColumn id="21" name="Date de livraison prévisionnelle révisée" dataDxfId="100" totalsRowDxfId="99" dataCellStyle="Normal 2">
      <calculatedColumnFormula>IFERROR(VLOOKUP(Tableau_Liste_UO[[#This Row],[Code UO]],Tableau_Liste_KPI[],COLUMN(Tableau_Liste_KPI[Date de livraison prévisionnelle révisée]),FALSE),"")</calculatedColumnFormula>
    </tableColumn>
    <tableColumn id="32" name="Date fin moy" dataDxfId="98" totalsRowDxfId="97" dataCellStyle="Normal 2">
      <calculatedColumnFormula>IFERROR(VLOOKUP(Tableau_Liste_UO[[#This Row],[Code UO]],Tableau_Liste_KPI[],COLUMN(Tableau_Liste_KPI[Date fin moy]),FALSE),"")</calculatedColumnFormula>
    </tableColumn>
    <tableColumn id="28" name="Date fin max" dataDxfId="96" totalsRowDxfId="95" dataCellStyle="Normal 2">
      <calculatedColumnFormula>IFERROR(VLOOKUP(Tableau_Liste_UO[[#This Row],[Code UO]],Tableau_Liste_KPI[],COLUMN(Tableau_Liste_KPI[Date fin max]),FALSE),"")</calculatedColumnFormula>
    </tableColumn>
    <tableColumn id="9" name="RAF" dataDxfId="94" totalsRowDxfId="93" dataCellStyle="Normal 2"/>
  </tableColumns>
  <tableStyleInfo name="Style de tableau 3" showFirstColumn="0" showLastColumn="0" showRowStripes="1" showColumnStripes="0"/>
</table>
</file>

<file path=xl/tables/table2.xml><?xml version="1.0" encoding="utf-8"?>
<table xmlns="http://schemas.openxmlformats.org/spreadsheetml/2006/main" id="4" name="Tableau_Liste_KPI" displayName="Tableau_Liste_KPI" ref="A1:AJ329" totalsRowCount="1" headerRowDxfId="92" dataDxfId="91" totalsRowDxfId="90" totalsRowCellStyle="Normal 2">
  <autoFilter ref="A1:AJ328"/>
  <tableColumns count="36">
    <tableColumn id="1" name="Code UO" totalsRowFunction="count" dataDxfId="89" totalsRowDxfId="88" dataCellStyle="Normal 2"/>
    <tableColumn id="3" name="Description de la demande" dataDxfId="87" totalsRowDxfId="86" dataCellStyle="Normal 2"/>
    <tableColumn id="8" name="Statut" totalsRowFunction="count" dataDxfId="85" totalsRowDxfId="84" dataCellStyle="Normal 2"/>
    <tableColumn id="12" name="Service" dataDxfId="83" totalsRowDxfId="82" dataCellStyle="Normal 2"/>
    <tableColumn id="16" name="Type UO" dataDxfId="81" totalsRowDxfId="80" dataCellStyle="Normal 2"/>
    <tableColumn id="6" name="Complexite UO" dataDxfId="79" totalsRowDxfId="78" dataCellStyle="Normal 2"/>
    <tableColumn id="20" name="Concatenation" dataDxfId="77" totalsRowDxfId="76" dataCellStyle="Normal 2"/>
    <tableColumn id="5" name="Date ouverture" totalsRowFunction="count" dataDxfId="75" totalsRowDxfId="74" dataCellStyle="Normal 2"/>
    <tableColumn id="19" name="Date Initialisé" totalsRowFunction="count" dataDxfId="73" totalsRowDxfId="72" dataCellStyle="Normal 2"/>
    <tableColumn id="2" name="Date A valider" totalsRowFunction="count" dataDxfId="71" totalsRowDxfId="70" dataCellStyle="Normal 2"/>
    <tableColumn id="7" name="Date Fermé" dataDxfId="69" totalsRowDxfId="68" dataCellStyle="Normal 2"/>
    <tableColumn id="11" name="Nb de jours ouvert" dataDxfId="67" totalsRowDxfId="66" dataCellStyle="Normal 2"/>
    <tableColumn id="13" name="Nb jours Initialisé" dataDxfId="65" totalsRowDxfId="64" dataCellStyle="Normal 2"/>
    <tableColumn id="14" name="Nb de jours En cours" totalsRowFunction="average" dataDxfId="63" totalsRowDxfId="62" dataCellStyle="Normal 2"/>
    <tableColumn id="15" name="Nb de jours Suspend" totalsRowFunction="countNums" dataDxfId="61" totalsRowDxfId="60" dataCellStyle="Normal 2"/>
    <tableColumn id="17" name="Nb de jour A valider" totalsRowFunction="countNums" dataDxfId="59" totalsRowDxfId="58" dataCellStyle="Normal 2"/>
    <tableColumn id="18" name="DEFF" totalsRowFunction="countNums" dataDxfId="57" totalsRowDxfId="56" dataCellStyle="Normal 2"/>
    <tableColumn id="22" name="DMOY" dataDxfId="55" totalsRowDxfId="54" dataCellStyle="Normal 2"/>
    <tableColumn id="4" name="DMAX" dataDxfId="53" totalsRowDxfId="52" dataCellStyle="Normal 2"/>
    <tableColumn id="26" name="Date de livraison souhaitée" dataDxfId="51" totalsRowDxfId="50" dataCellStyle="Normal 2"/>
    <tableColumn id="31" name="Date de livraison prévisionnelle" dataDxfId="49" totalsRowDxfId="48" dataCellStyle="Normal 2"/>
    <tableColumn id="33" name="Date de livraison prévisionnelle révisée" dataDxfId="47" totalsRowDxfId="46" dataCellStyle="Normal 2"/>
    <tableColumn id="23" name="Mois Initialisé" dataDxfId="45" totalsRowDxfId="44" dataCellStyle="Normal 2"/>
    <tableColumn id="21" name="Mois Fermé" dataDxfId="43" totalsRowDxfId="42" dataCellStyle="Normal 2"/>
    <tableColumn id="32" name="Date fin moy" dataDxfId="41" totalsRowDxfId="40" dataCellStyle="Normal 2"/>
    <tableColumn id="28" name="Date fin max" totalsRowFunction="count" dataDxfId="39" totalsRowDxfId="38" dataCellStyle="Normal 2"/>
    <tableColumn id="10" name="Montant commande" totalsRowFunction="sum" dataDxfId="37" totalsRowDxfId="36" dataCellStyle="Normal 2"/>
    <tableColumn id="29" name="Charge commandée" totalsRowFunction="sum" dataDxfId="35" totalsRowDxfId="34" dataCellStyle="Normal 2"/>
    <tableColumn id="9" name="RAF" totalsRowFunction="sum" dataDxfId="33" totalsRowDxfId="32" dataCellStyle="Normal 2">
      <calculatedColumnFormula>SUMIF(Tableau_Liste_UO[[Code UO]:[Code UO]],Tableau_Liste_KPI[[#This Row],[Code UO]], Tableau_Liste_UO[RAF])</calculatedColumnFormula>
    </tableColumn>
    <tableColumn id="39" name="Total" totalsRowFunction="sum" dataDxfId="31" totalsRowDxfId="30" dataCellStyle="Normal 2">
      <calculatedColumnFormula>SUMIF(Tableau_Liste_UO[[Code UO]:[Code UO]],Tableau_Liste_KPI[[#This Row],[Code UO]], #REF!)</calculatedColumnFormula>
    </tableColumn>
    <tableColumn id="48" name="NB jours hors délais moy" totalsRowFunction="sum" dataDxfId="29" totalsRowDxfId="28" dataCellStyle="Normal 2"/>
    <tableColumn id="50" name="NB jours hors délais max" totalsRowFunction="count" dataDxfId="27" totalsRowDxfId="26" dataCellStyle="Normal 2"/>
    <tableColumn id="27" name="Depassement date moy" totalsRowFunction="count" dataDxfId="25" totalsRowDxfId="24" dataCellStyle="Normal 2"/>
    <tableColumn id="30" name="Depassement date max" dataDxfId="23" totalsRowDxfId="22" dataCellStyle="Normal 2"/>
    <tableColumn id="51" name="KPI Charges" dataDxfId="21" totalsRowDxfId="20" dataCellStyle="Normal 2">
      <calculatedColumnFormula>IF(Tableau_Liste_KPI[[#This Row],[Charge commandée]]="","",IF(Tableau_Liste_KPI[[#This Row],[Total]]&gt;Tableau_Liste_KPI[[#This Row],[Charge commandée]],"KO",""))</calculatedColumnFormula>
    </tableColumn>
    <tableColumn id="52" name="Duree depassement charge" dataDxfId="19" totalsRowDxfId="18" dataCellStyle="Normal 2">
      <calculatedColumnFormula>IF(Tableau_Liste_KPI[[#This Row],[KPI Charges]]="KO",Tableau_Liste_KPI[[#This Row],[Charge commandée]]-Tableau_Liste_KPI[[#This Row],[Total]],"")</calculatedColumnFormula>
    </tableColumn>
  </tableColumns>
  <tableStyleInfo name="Style de tableau 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v42-Gantt">
      <a:dk1>
        <a:sysClr val="windowText" lastClr="000000"/>
      </a:dk1>
      <a:lt1>
        <a:sysClr val="window" lastClr="FFFFFF"/>
      </a:lt1>
      <a:dk2>
        <a:srgbClr val="3B8741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horzOverflow="clip" wrap="square" rtlCol="0" anchor="t"/>
      <a:lstStyle>
        <a:defPPr rtl="0">
          <a:defRPr sz="1000" b="1" i="0" baseline="0">
            <a:solidFill>
              <a:schemeClr val="dk1"/>
            </a:solidFill>
            <a:effectLst/>
            <a:latin typeface="+mn-lt"/>
            <a:ea typeface="+mn-ea"/>
            <a:cs typeface="+mn-cs"/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70C0"/>
  </sheetPr>
  <dimension ref="A1:X17"/>
  <sheetViews>
    <sheetView tabSelected="1" zoomScale="80" zoomScaleNormal="80" workbookViewId="0">
      <pane xSplit="5" ySplit="1" topLeftCell="F2" activePane="bottomRight" state="frozen"/>
      <selection activeCell="D337" sqref="D337"/>
      <selection pane="topRight" activeCell="D337" sqref="D337"/>
      <selection pane="bottomLeft" activeCell="D337" sqref="D337"/>
      <selection pane="bottomRight" activeCell="B17" sqref="B17"/>
    </sheetView>
  </sheetViews>
  <sheetFormatPr baseColWidth="10" defaultRowHeight="12.75" outlineLevelCol="1" x14ac:dyDescent="0.2"/>
  <cols>
    <col min="1" max="1" width="19" style="1" customWidth="1"/>
    <col min="2" max="2" width="13.28515625" style="1" customWidth="1"/>
    <col min="3" max="3" width="60.42578125" customWidth="1"/>
    <col min="4" max="5" width="10.7109375" style="3" customWidth="1"/>
    <col min="6" max="6" width="17" style="3" customWidth="1"/>
    <col min="7" max="7" width="10.7109375" style="3" customWidth="1"/>
    <col min="8" max="8" width="10.7109375" style="16" customWidth="1"/>
    <col min="9" max="9" width="10.7109375" style="17" customWidth="1"/>
    <col min="10" max="10" width="10.7109375" style="3" customWidth="1"/>
    <col min="11" max="11" width="10.7109375" customWidth="1" outlineLevel="1"/>
    <col min="12" max="13" width="10.7109375" style="3" customWidth="1" outlineLevel="1"/>
    <col min="14" max="14" width="10.7109375" style="20" customWidth="1" outlineLevel="1"/>
    <col min="15" max="15" width="10.7109375" style="18" customWidth="1" outlineLevel="1"/>
    <col min="16" max="17" width="10.7109375" style="3" customWidth="1" outlineLevel="1"/>
    <col min="18" max="21" width="10.7109375" style="7" customWidth="1"/>
    <col min="22" max="23" width="10.7109375" style="3" customWidth="1"/>
    <col min="24" max="24" width="9" style="20" customWidth="1"/>
    <col min="25" max="16384" width="11.42578125" style="3"/>
  </cols>
  <sheetData>
    <row r="1" spans="1:24" ht="76.5" customHeight="1" x14ac:dyDescent="0.2">
      <c r="A1" s="2" t="s">
        <v>462</v>
      </c>
      <c r="B1" s="2" t="s">
        <v>1</v>
      </c>
      <c r="C1" s="2" t="s">
        <v>3</v>
      </c>
      <c r="D1" s="2" t="s">
        <v>2</v>
      </c>
      <c r="E1" s="2" t="s">
        <v>29</v>
      </c>
      <c r="F1" s="2" t="s">
        <v>31</v>
      </c>
      <c r="G1" s="2" t="s">
        <v>30</v>
      </c>
      <c r="H1" s="2" t="s">
        <v>175</v>
      </c>
      <c r="I1" s="9" t="s">
        <v>172</v>
      </c>
      <c r="J1" s="9" t="s">
        <v>174</v>
      </c>
      <c r="K1" s="9" t="s">
        <v>171</v>
      </c>
      <c r="L1" s="2" t="s">
        <v>177</v>
      </c>
      <c r="M1" s="2" t="s">
        <v>178</v>
      </c>
      <c r="N1" s="2" t="s">
        <v>671</v>
      </c>
      <c r="O1" s="2" t="s">
        <v>179</v>
      </c>
      <c r="P1" s="2" t="s">
        <v>180</v>
      </c>
      <c r="Q1" s="2" t="s">
        <v>181</v>
      </c>
      <c r="R1" s="2" t="s">
        <v>182</v>
      </c>
      <c r="S1" s="9" t="s">
        <v>256</v>
      </c>
      <c r="T1" s="30" t="s">
        <v>257</v>
      </c>
      <c r="U1" s="31" t="s">
        <v>258</v>
      </c>
      <c r="V1" s="28" t="s">
        <v>254</v>
      </c>
      <c r="W1" s="29" t="s">
        <v>255</v>
      </c>
      <c r="X1" s="44" t="s">
        <v>470</v>
      </c>
    </row>
    <row r="2" spans="1:24" ht="12" x14ac:dyDescent="0.2">
      <c r="A2" s="25" t="str">
        <f>CONCATENATE(Tableau_Liste_UO[[#This Row],[Code UO]]," ","-"," ")</f>
        <v xml:space="preserve">CESAR-1 - </v>
      </c>
      <c r="B2" s="42" t="s">
        <v>170</v>
      </c>
      <c r="C2" s="25" t="str">
        <f>IFERROR(VLOOKUP(Tableau_Liste_UO[[#This Row],[Code UO]],Tableau_Liste_KPI[],COLUMN(Tableau_Liste_KPI[Description de la demande]),FALSE),"")</f>
        <v>ASD - Exindus</v>
      </c>
      <c r="D2" s="25" t="str">
        <f>IFERROR(VLOOKUP(Tableau_Liste_UO[[#This Row],[Code UO]],Tableau_Liste_KPI[],COLUMN(Tableau_Liste_KPI[Statut]),FALSE),"")</f>
        <v>Fermé</v>
      </c>
      <c r="E2" s="25" t="str">
        <f>IFERROR(VLOOKUP(Tableau_Liste_UO[[#This Row],[Code UO]],Tableau_Liste_KPI[],COLUMN(Tableau_Liste_KPI[Service]),FALSE),"")</f>
        <v>UO TAO</v>
      </c>
      <c r="F2" s="25" t="str">
        <f>IFERROR(VLOOKUP(Tableau_Liste_UO[[#This Row],[Code UO]],Tableau_Liste_KPI[],COLUMN(Tableau_Liste_KPI[Type UO]),FALSE),"")</f>
        <v>Rédaction ASD</v>
      </c>
      <c r="G2" s="25" t="str">
        <f>IFERROR(VLOOKUP(Tableau_Liste_UO[[#This Row],[Code UO]],Tableau_Liste_KPI[],COLUMN(Tableau_Liste_KPI[Complexite UO]),FALSE),"")</f>
        <v>Moyenne</v>
      </c>
      <c r="H2" s="25" t="str">
        <f>IFERROR(VLOOKUP(Tableau_Liste_UO[[#This Row],[Code UO]],Tableau_Liste_KPI[],COLUMN(Tableau_Liste_KPI[Concatenation]),FALSE),"")</f>
        <v>UO TAO Rédaction ASD Moyenne</v>
      </c>
      <c r="I2" s="24">
        <f>IFERROR(VLOOKUP(Tableau_Liste_UO[[#This Row],[Code UO]],Tableau_Liste_KPI[],COLUMN(Tableau_Liste_KPI[Date Initialisé]),FALSE),"")</f>
        <v>42828.421979166669</v>
      </c>
      <c r="J2" s="24">
        <f>IFERROR(VLOOKUP(Tableau_Liste_UO[[#This Row],[Code UO]],Tableau_Liste_KPI[],COLUMN(Tableau_Liste_KPI[Date A valider]),FALSE),"")</f>
        <v>42874.689791666664</v>
      </c>
      <c r="K2" s="24">
        <f>IFERROR(VLOOKUP(Tableau_Liste_UO[[#This Row],[Code UO]],Tableau_Liste_KPI[],COLUMN(Tableau_Liste_KPI[Date Fermé]),FALSE),"")</f>
        <v>42888.565069444441</v>
      </c>
      <c r="L2" s="26">
        <f>IFERROR(VLOOKUP(Tableau_Liste_UO[[#This Row],[Code UO]],Tableau_Liste_KPI[],COLUMN(Tableau_Liste_KPI[Nb jours Initialisé]),FALSE),"")</f>
        <v>15</v>
      </c>
      <c r="M2" s="26">
        <f>IFERROR(VLOOKUP(Tableau_Liste_UO[[#This Row],[Code UO]],Tableau_Liste_KPI[],COLUMN(Tableau_Liste_KPI[Nb de jours En cours]),FALSE),"")</f>
        <v>17</v>
      </c>
      <c r="N2" s="26">
        <f>IFERROR(VLOOKUP(Tableau_Liste_UO[[#This Row],[Code UO]],Tableau_Liste_KPI[],COLUMN(Tableau_Liste_KPI[Nb de jours Suspend]),FALSE),"")</f>
        <v>0</v>
      </c>
      <c r="O2" s="26">
        <f>IFERROR(VLOOKUP(Tableau_Liste_UO[[#This Row],[Code UO]],Tableau_Liste_KPI[],COLUMN(Tableau_Liste_KPI[Nb de jour A valider]),FALSE),"")</f>
        <v>9</v>
      </c>
      <c r="P2" s="25">
        <f>IFERROR(VLOOKUP(Tableau_Liste_UO[[#This Row],[Code UO]],Tableau_Liste_KPI[],COLUMN(Tableau_Liste_KPI[DEFF]),FALSE),"")</f>
        <v>32</v>
      </c>
      <c r="Q2" s="26">
        <f>IFERROR(VLOOKUP(Tableau_Liste_UO[[#This Row],[Code UO]],Tableau_Liste_KPI[],COLUMN(Tableau_Liste_KPI[DMOY]),FALSE),"")</f>
        <v>16</v>
      </c>
      <c r="R2" s="26">
        <f>IFERROR(VLOOKUP(Tableau_Liste_UO[[#This Row],[Code UO]],Tableau_Liste_KPI[],COLUMN(Tableau_Liste_KPI[DMAX]),FALSE),"")</f>
        <v>24</v>
      </c>
      <c r="S2" s="39" t="str">
        <f>IFERROR(VLOOKUP(Tableau_Liste_UO[[#This Row],[Code UO]],Tableau_Liste_KPI[],COLUMN(Tableau_Liste_KPI[Date de livraison souhaitée]),FALSE),"")</f>
        <v/>
      </c>
      <c r="T2" s="39">
        <f>IFERROR(VLOOKUP(Tableau_Liste_UO[[#This Row],[Code UO]],Tableau_Liste_KPI[],COLUMN(Tableau_Liste_KPI[Date de livraison prévisionnelle]),FALSE),"")</f>
        <v>42853.579861111109</v>
      </c>
      <c r="U2" s="39" t="str">
        <f>IFERROR(VLOOKUP(Tableau_Liste_UO[[#This Row],[Code UO]],Tableau_Liste_KPI[],COLUMN(Tableau_Liste_KPI[Date de livraison prévisionnelle révisée]),FALSE),"")</f>
        <v/>
      </c>
      <c r="V2" s="39">
        <f>IFERROR(VLOOKUP(Tableau_Liste_UO[[#This Row],[Code UO]],Tableau_Liste_KPI[],COLUMN(Tableau_Liste_KPI[Date fin moy]),FALSE),"")</f>
        <v>42851</v>
      </c>
      <c r="W2" s="39">
        <f>IFERROR(VLOOKUP(Tableau_Liste_UO[[#This Row],[Code UO]],Tableau_Liste_KPI[],COLUMN(Tableau_Liste_KPI[Date fin max]),FALSE),"")</f>
        <v>42865</v>
      </c>
      <c r="X2" s="26"/>
    </row>
    <row r="3" spans="1:24" ht="12" x14ac:dyDescent="0.2">
      <c r="A3" s="63" t="str">
        <f>CONCATENATE(Tableau_Liste_UO[[#This Row],[Code UO]]," ","-"," ")</f>
        <v xml:space="preserve">CESAR-11 - </v>
      </c>
      <c r="B3" s="63" t="s">
        <v>160</v>
      </c>
      <c r="C3" s="63" t="str">
        <f>IFERROR(VLOOKUP(Tableau_Liste_UO[[#This Row],[Code UO]],Tableau_Liste_KPI[],COLUMN(Tableau_Liste_KPI[Description de la demande]),FALSE),"")</f>
        <v>ASD - GDD-10616 Remédiation ORTEMS</v>
      </c>
      <c r="D3" s="63" t="str">
        <f>IFERROR(VLOOKUP(Tableau_Liste_UO[[#This Row],[Code UO]],Tableau_Liste_KPI[],COLUMN(Tableau_Liste_KPI[Statut]),FALSE),"")</f>
        <v>Fermé</v>
      </c>
      <c r="E3" s="63" t="str">
        <f>IFERROR(VLOOKUP(Tableau_Liste_UO[[#This Row],[Code UO]],Tableau_Liste_KPI[],COLUMN(Tableau_Liste_KPI[Service]),FALSE),"")</f>
        <v>UO TAO</v>
      </c>
      <c r="F3" s="63" t="str">
        <f>IFERROR(VLOOKUP(Tableau_Liste_UO[[#This Row],[Code UO]],Tableau_Liste_KPI[],COLUMN(Tableau_Liste_KPI[Type UO]),FALSE),"")</f>
        <v>Rédaction ASD</v>
      </c>
      <c r="G3" s="63" t="str">
        <f>IFERROR(VLOOKUP(Tableau_Liste_UO[[#This Row],[Code UO]],Tableau_Liste_KPI[],COLUMN(Tableau_Liste_KPI[Complexite UO]),FALSE),"")</f>
        <v>Faible</v>
      </c>
      <c r="H3" s="63" t="str">
        <f>IFERROR(VLOOKUP(Tableau_Liste_UO[[#This Row],[Code UO]],Tableau_Liste_KPI[],COLUMN(Tableau_Liste_KPI[Concatenation]),FALSE),"")</f>
        <v>UO TAO Rédaction ASD Faible</v>
      </c>
      <c r="I3" s="6">
        <f>IFERROR(VLOOKUP(Tableau_Liste_UO[[#This Row],[Code UO]],Tableau_Liste_KPI[],COLUMN(Tableau_Liste_KPI[Date Initialisé]),FALSE),"")</f>
        <v>42844.441504629627</v>
      </c>
      <c r="J3" s="6">
        <f>IFERROR(VLOOKUP(Tableau_Liste_UO[[#This Row],[Code UO]],Tableau_Liste_KPI[],COLUMN(Tableau_Liste_KPI[Date A valider]),FALSE),"")</f>
        <v>42915.513923611114</v>
      </c>
      <c r="K3" s="6">
        <f>IFERROR(VLOOKUP(Tableau_Liste_UO[[#This Row],[Code UO]],Tableau_Liste_KPI[],COLUMN(Tableau_Liste_KPI[Date Fermé]),FALSE),"")</f>
        <v>42915.61478009259</v>
      </c>
      <c r="L3" s="13">
        <f>IFERROR(VLOOKUP(Tableau_Liste_UO[[#This Row],[Code UO]],Tableau_Liste_KPI[],COLUMN(Tableau_Liste_KPI[Nb jours Initialisé]),FALSE),"")</f>
        <v>4</v>
      </c>
      <c r="M3" s="13">
        <f>IFERROR(VLOOKUP(Tableau_Liste_UO[[#This Row],[Code UO]],Tableau_Liste_KPI[],COLUMN(Tableau_Liste_KPI[Nb de jours En cours]),FALSE),"")</f>
        <v>25</v>
      </c>
      <c r="N3" s="13">
        <f>IFERROR(VLOOKUP(Tableau_Liste_UO[[#This Row],[Code UO]],Tableau_Liste_KPI[],COLUMN(Tableau_Liste_KPI[Nb de jours Suspend]),FALSE),"")</f>
        <v>14</v>
      </c>
      <c r="O3" s="13">
        <f>IFERROR(VLOOKUP(Tableau_Liste_UO[[#This Row],[Code UO]],Tableau_Liste_KPI[],COLUMN(Tableau_Liste_KPI[Nb de jour A valider]),FALSE),"")</f>
        <v>4</v>
      </c>
      <c r="P3" s="63">
        <f>IFERROR(VLOOKUP(Tableau_Liste_UO[[#This Row],[Code UO]],Tableau_Liste_KPI[],COLUMN(Tableau_Liste_KPI[DEFF]),FALSE),"")</f>
        <v>29</v>
      </c>
      <c r="Q3" s="13">
        <f>IFERROR(VLOOKUP(Tableau_Liste_UO[[#This Row],[Code UO]],Tableau_Liste_KPI[],COLUMN(Tableau_Liste_KPI[DMOY]),FALSE),"")</f>
        <v>10</v>
      </c>
      <c r="R3" s="13">
        <f>IFERROR(VLOOKUP(Tableau_Liste_UO[[#This Row],[Code UO]],Tableau_Liste_KPI[],COLUMN(Tableau_Liste_KPI[DMAX]),FALSE),"")</f>
        <v>15</v>
      </c>
      <c r="S3" s="33" t="str">
        <f>IFERROR(VLOOKUP(Tableau_Liste_UO[[#This Row],[Code UO]],Tableau_Liste_KPI[],COLUMN(Tableau_Liste_KPI[Date de livraison souhaitée]),FALSE),"")</f>
        <v/>
      </c>
      <c r="T3" s="33">
        <f>IFERROR(VLOOKUP(Tableau_Liste_UO[[#This Row],[Code UO]],Tableau_Liste_KPI[],COLUMN(Tableau_Liste_KPI[Date de livraison prévisionnelle]),FALSE),"")</f>
        <v>42880.578472222223</v>
      </c>
      <c r="U3" s="33" t="str">
        <f>IFERROR(VLOOKUP(Tableau_Liste_UO[[#This Row],[Code UO]],Tableau_Liste_KPI[],COLUMN(Tableau_Liste_KPI[Date de livraison prévisionnelle révisée]),FALSE),"")</f>
        <v/>
      </c>
      <c r="V3" s="33">
        <f>IFERROR(VLOOKUP(Tableau_Liste_UO[[#This Row],[Code UO]],Tableau_Liste_KPI[],COLUMN(Tableau_Liste_KPI[Date fin moy]),FALSE),"")</f>
        <v>42881</v>
      </c>
      <c r="W3" s="33">
        <f>IFERROR(VLOOKUP(Tableau_Liste_UO[[#This Row],[Code UO]],Tableau_Liste_KPI[],COLUMN(Tableau_Liste_KPI[Date fin max]),FALSE),"")</f>
        <v>42888</v>
      </c>
      <c r="X3" s="13"/>
    </row>
    <row r="4" spans="1:24" ht="12" x14ac:dyDescent="0.2">
      <c r="A4" s="63" t="str">
        <f>CONCATENATE(Tableau_Liste_UO[[#This Row],[Code UO]]," ","-"," ")</f>
        <v xml:space="preserve">CESAR-110 - </v>
      </c>
      <c r="B4" s="63" t="s">
        <v>75</v>
      </c>
      <c r="C4" s="63" t="str">
        <f>IFERROR(VLOOKUP(Tableau_Liste_UO[[#This Row],[Code UO]],Tableau_Liste_KPI[],COLUMN(Tableau_Liste_KPI[Description de la demande]),FALSE),"")</f>
        <v>GDD 12682 - UO TASD</v>
      </c>
      <c r="D4" s="63" t="str">
        <f>IFERROR(VLOOKUP(Tableau_Liste_UO[[#This Row],[Code UO]],Tableau_Liste_KPI[],COLUMN(Tableau_Liste_KPI[Statut]),FALSE),"")</f>
        <v>Fermé</v>
      </c>
      <c r="E4" s="63" t="str">
        <f>IFERROR(VLOOKUP(Tableau_Liste_UO[[#This Row],[Code UO]],Tableau_Liste_KPI[],COLUMN(Tableau_Liste_KPI[Service]),FALSE),"")</f>
        <v>UO TAO</v>
      </c>
      <c r="F4" s="63" t="str">
        <f>IFERROR(VLOOKUP(Tableau_Liste_UO[[#This Row],[Code UO]],Tableau_Liste_KPI[],COLUMN(Tableau_Liste_KPI[Type UO]),FALSE),"")</f>
        <v>Rédaction TASD</v>
      </c>
      <c r="G4" s="63" t="str">
        <f>IFERROR(VLOOKUP(Tableau_Liste_UO[[#This Row],[Code UO]],Tableau_Liste_KPI[],COLUMN(Tableau_Liste_KPI[Complexite UO]),FALSE),"")</f>
        <v>Faible</v>
      </c>
      <c r="H4" s="63" t="str">
        <f>IFERROR(VLOOKUP(Tableau_Liste_UO[[#This Row],[Code UO]],Tableau_Liste_KPI[],COLUMN(Tableau_Liste_KPI[Concatenation]),FALSE),"")</f>
        <v>UO TAO Rédaction TASD Faible</v>
      </c>
      <c r="I4" s="6">
        <f>IFERROR(VLOOKUP(Tableau_Liste_UO[[#This Row],[Code UO]],Tableau_Liste_KPI[],COLUMN(Tableau_Liste_KPI[Date Initialisé]),FALSE),"")</f>
        <v>42969.677499999998</v>
      </c>
      <c r="J4" s="6">
        <f>IFERROR(VLOOKUP(Tableau_Liste_UO[[#This Row],[Code UO]],Tableau_Liste_KPI[],COLUMN(Tableau_Liste_KPI[Date A valider]),FALSE),"")</f>
        <v>42989.538784722223</v>
      </c>
      <c r="K4" s="6">
        <f>IFERROR(VLOOKUP(Tableau_Liste_UO[[#This Row],[Code UO]],Tableau_Liste_KPI[],COLUMN(Tableau_Liste_KPI[Date Fermé]),FALSE),"")</f>
        <v>42997.684687499997</v>
      </c>
      <c r="L4" s="13">
        <f>IFERROR(VLOOKUP(Tableau_Liste_UO[[#This Row],[Code UO]],Tableau_Liste_KPI[],COLUMN(Tableau_Liste_KPI[Nb jours Initialisé]),FALSE),"")</f>
        <v>3</v>
      </c>
      <c r="M4" s="13">
        <f>IFERROR(VLOOKUP(Tableau_Liste_UO[[#This Row],[Code UO]],Tableau_Liste_KPI[],COLUMN(Tableau_Liste_KPI[Nb de jours En cours]),FALSE),"")</f>
        <v>5</v>
      </c>
      <c r="N4" s="13">
        <f>IFERROR(VLOOKUP(Tableau_Liste_UO[[#This Row],[Code UO]],Tableau_Liste_KPI[],COLUMN(Tableau_Liste_KPI[Nb de jours Suspend]),FALSE),"")</f>
        <v>6</v>
      </c>
      <c r="O4" s="13">
        <f>IFERROR(VLOOKUP(Tableau_Liste_UO[[#This Row],[Code UO]],Tableau_Liste_KPI[],COLUMN(Tableau_Liste_KPI[Nb de jour A valider]),FALSE),"")</f>
        <v>6</v>
      </c>
      <c r="P4" s="63">
        <f>IFERROR(VLOOKUP(Tableau_Liste_UO[[#This Row],[Code UO]],Tableau_Liste_KPI[],COLUMN(Tableau_Liste_KPI[DEFF]),FALSE),"")</f>
        <v>8</v>
      </c>
      <c r="Q4" s="13">
        <f>IFERROR(VLOOKUP(Tableau_Liste_UO[[#This Row],[Code UO]],Tableau_Liste_KPI[],COLUMN(Tableau_Liste_KPI[DMOY]),FALSE),"")</f>
        <v>5</v>
      </c>
      <c r="R4" s="13">
        <f>IFERROR(VLOOKUP(Tableau_Liste_UO[[#This Row],[Code UO]],Tableau_Liste_KPI[],COLUMN(Tableau_Liste_KPI[DMAX]),FALSE),"")</f>
        <v>8</v>
      </c>
      <c r="S4" s="33" t="str">
        <f>IFERROR(VLOOKUP(Tableau_Liste_UO[[#This Row],[Code UO]],Tableau_Liste_KPI[],COLUMN(Tableau_Liste_KPI[Date de livraison souhaitée]),FALSE),"")</f>
        <v/>
      </c>
      <c r="T4" s="33">
        <f>IFERROR(VLOOKUP(Tableau_Liste_UO[[#This Row],[Code UO]],Tableau_Liste_KPI[],COLUMN(Tableau_Liste_KPI[Date de livraison prévisionnelle]),FALSE),"")</f>
        <v>42977.424305555556</v>
      </c>
      <c r="U4" s="33" t="str">
        <f>IFERROR(VLOOKUP(Tableau_Liste_UO[[#This Row],[Code UO]],Tableau_Liste_KPI[],COLUMN(Tableau_Liste_KPI[Date de livraison prévisionnelle révisée]),FALSE),"")</f>
        <v/>
      </c>
      <c r="V4" s="33">
        <f>IFERROR(VLOOKUP(Tableau_Liste_UO[[#This Row],[Code UO]],Tableau_Liste_KPI[],COLUMN(Tableau_Liste_KPI[Date fin moy]),FALSE),"")</f>
        <v>42984</v>
      </c>
      <c r="W4" s="33">
        <f>IFERROR(VLOOKUP(Tableau_Liste_UO[[#This Row],[Code UO]],Tableau_Liste_KPI[],COLUMN(Tableau_Liste_KPI[Date fin max]),FALSE),"")</f>
        <v>42989</v>
      </c>
      <c r="X4" s="13"/>
    </row>
    <row r="5" spans="1:24" ht="12" customHeight="1" x14ac:dyDescent="0.2">
      <c r="A5" s="63" t="str">
        <f>CONCATENATE(Tableau_Liste_UO[[#This Row],[Code UO]]," ","-"," ")</f>
        <v xml:space="preserve">CESAR-111 - </v>
      </c>
      <c r="B5" s="63" t="s">
        <v>216</v>
      </c>
      <c r="C5" s="63" t="str">
        <f>IFERROR(VLOOKUP(Tableau_Liste_UO[[#This Row],[Code UO]],Tableau_Liste_KPI[],COLUMN(Tableau_Liste_KPI[Description de la demande]),FALSE),"")</f>
        <v>GDD 12682 - UO SOW</v>
      </c>
      <c r="D5" s="63" t="str">
        <f>IFERROR(VLOOKUP(Tableau_Liste_UO[[#This Row],[Code UO]],Tableau_Liste_KPI[],COLUMN(Tableau_Liste_KPI[Statut]),FALSE),"")</f>
        <v>Fermé</v>
      </c>
      <c r="E5" s="63" t="str">
        <f>IFERROR(VLOOKUP(Tableau_Liste_UO[[#This Row],[Code UO]],Tableau_Liste_KPI[],COLUMN(Tableau_Liste_KPI[Service]),FALSE),"")</f>
        <v>UO TAO</v>
      </c>
      <c r="F5" s="63" t="str">
        <f>IFERROR(VLOOKUP(Tableau_Liste_UO[[#This Row],[Code UO]],Tableau_Liste_KPI[],COLUMN(Tableau_Liste_KPI[Type UO]),FALSE),"")</f>
        <v>Enoncé de travaux de chiffrage</v>
      </c>
      <c r="G5" s="63" t="str">
        <f>IFERROR(VLOOKUP(Tableau_Liste_UO[[#This Row],[Code UO]],Tableau_Liste_KPI[],COLUMN(Tableau_Liste_KPI[Complexite UO]),FALSE),"")</f>
        <v>Faible</v>
      </c>
      <c r="H5" s="63" t="str">
        <f>IFERROR(VLOOKUP(Tableau_Liste_UO[[#This Row],[Code UO]],Tableau_Liste_KPI[],COLUMN(Tableau_Liste_KPI[Concatenation]),FALSE),"")</f>
        <v>UO TAO Enoncé de travaux de chiffrage</v>
      </c>
      <c r="I5" s="6">
        <f>IFERROR(VLOOKUP(Tableau_Liste_UO[[#This Row],[Code UO]],Tableau_Liste_KPI[],COLUMN(Tableau_Liste_KPI[Date Initialisé]),FALSE),"")</f>
        <v>42985.625787037039</v>
      </c>
      <c r="J5" s="6">
        <f>IFERROR(VLOOKUP(Tableau_Liste_UO[[#This Row],[Code UO]],Tableau_Liste_KPI[],COLUMN(Tableau_Liste_KPI[Date A valider]),FALSE),"")</f>
        <v>43062.352488425924</v>
      </c>
      <c r="K5" s="6">
        <f>IFERROR(VLOOKUP(Tableau_Liste_UO[[#This Row],[Code UO]],Tableau_Liste_KPI[],COLUMN(Tableau_Liste_KPI[Date Fermé]),FALSE),"")</f>
        <v>43069.438888888886</v>
      </c>
      <c r="L5" s="13">
        <f>IFERROR(VLOOKUP(Tableau_Liste_UO[[#This Row],[Code UO]],Tableau_Liste_KPI[],COLUMN(Tableau_Liste_KPI[Nb jours Initialisé]),FALSE),"")</f>
        <v>0</v>
      </c>
      <c r="M5" s="13">
        <f>IFERROR(VLOOKUP(Tableau_Liste_UO[[#This Row],[Code UO]],Tableau_Liste_KPI[],COLUMN(Tableau_Liste_KPI[Nb de jours En cours]),FALSE),"")</f>
        <v>2</v>
      </c>
      <c r="N5" s="13">
        <f>IFERROR(VLOOKUP(Tableau_Liste_UO[[#This Row],[Code UO]],Tableau_Liste_KPI[],COLUMN(Tableau_Liste_KPI[Nb de jours Suspend]),FALSE),"")</f>
        <v>51</v>
      </c>
      <c r="O5" s="13">
        <f>IFERROR(VLOOKUP(Tableau_Liste_UO[[#This Row],[Code UO]],Tableau_Liste_KPI[],COLUMN(Tableau_Liste_KPI[Nb de jour A valider]),FALSE),"")</f>
        <v>5</v>
      </c>
      <c r="P5" s="63">
        <f>IFERROR(VLOOKUP(Tableau_Liste_UO[[#This Row],[Code UO]],Tableau_Liste_KPI[],COLUMN(Tableau_Liste_KPI[DEFF]),FALSE),"")</f>
        <v>2</v>
      </c>
      <c r="Q5" s="13">
        <f>IFERROR(VLOOKUP(Tableau_Liste_UO[[#This Row],[Code UO]],Tableau_Liste_KPI[],COLUMN(Tableau_Liste_KPI[DMOY]),FALSE),"")</f>
        <v>10</v>
      </c>
      <c r="R5" s="13">
        <f>IFERROR(VLOOKUP(Tableau_Liste_UO[[#This Row],[Code UO]],Tableau_Liste_KPI[],COLUMN(Tableau_Liste_KPI[DMAX]),FALSE),"")</f>
        <v>15</v>
      </c>
      <c r="S5" s="33" t="str">
        <f>IFERROR(VLOOKUP(Tableau_Liste_UO[[#This Row],[Code UO]],Tableau_Liste_KPI[],COLUMN(Tableau_Liste_KPI[Date de livraison souhaitée]),FALSE),"")</f>
        <v/>
      </c>
      <c r="T5" s="33">
        <f>IFERROR(VLOOKUP(Tableau_Liste_UO[[#This Row],[Code UO]],Tableau_Liste_KPI[],COLUMN(Tableau_Liste_KPI[Date de livraison prévisionnelle]),FALSE),"")</f>
        <v>42991.640972222223</v>
      </c>
      <c r="U5" s="33">
        <f>IFERROR(VLOOKUP(Tableau_Liste_UO[[#This Row],[Code UO]],Tableau_Liste_KPI[],COLUMN(Tableau_Liste_KPI[Date de livraison prévisionnelle révisée]),FALSE),"")</f>
        <v>43069.63958333333</v>
      </c>
      <c r="V5" s="33">
        <f>IFERROR(VLOOKUP(Tableau_Liste_UO[[#This Row],[Code UO]],Tableau_Liste_KPI[],COLUMN(Tableau_Liste_KPI[Date fin moy]),FALSE),"")</f>
        <v>43073</v>
      </c>
      <c r="W5" s="33">
        <f>IFERROR(VLOOKUP(Tableau_Liste_UO[[#This Row],[Code UO]],Tableau_Liste_KPI[],COLUMN(Tableau_Liste_KPI[Date fin max]),FALSE),"")</f>
        <v>43080</v>
      </c>
      <c r="X5" s="13"/>
    </row>
    <row r="6" spans="1:24" ht="12" customHeight="1" x14ac:dyDescent="0.2">
      <c r="A6" s="63" t="str">
        <f>CONCATENATE(Tableau_Liste_UO[[#This Row],[Code UO]]," ","-"," ")</f>
        <v xml:space="preserve">CESAR-112 - </v>
      </c>
      <c r="B6" s="63" t="s">
        <v>14</v>
      </c>
      <c r="C6" s="63" t="str">
        <f>IFERROR(VLOOKUP(Tableau_Liste_UO[[#This Row],[Code UO]],Tableau_Liste_KPI[],COLUMN(Tableau_Liste_KPI[Description de la demande]),FALSE),"")</f>
        <v>ASD - GDD 7678 - Passage en RedHat 4 de l'OS de Oap TTS FR</v>
      </c>
      <c r="D6" s="63" t="str">
        <f>IFERROR(VLOOKUP(Tableau_Liste_UO[[#This Row],[Code UO]],Tableau_Liste_KPI[],COLUMN(Tableau_Liste_KPI[Statut]),FALSE),"")</f>
        <v>Fermé</v>
      </c>
      <c r="E6" s="63" t="str">
        <f>IFERROR(VLOOKUP(Tableau_Liste_UO[[#This Row],[Code UO]],Tableau_Liste_KPI[],COLUMN(Tableau_Liste_KPI[Service]),FALSE),"")</f>
        <v>UO TAO</v>
      </c>
      <c r="F6" s="63" t="str">
        <f>IFERROR(VLOOKUP(Tableau_Liste_UO[[#This Row],[Code UO]],Tableau_Liste_KPI[],COLUMN(Tableau_Liste_KPI[Type UO]),FALSE),"")</f>
        <v>Rédaction ASD</v>
      </c>
      <c r="G6" s="63" t="str">
        <f>IFERROR(VLOOKUP(Tableau_Liste_UO[[#This Row],[Code UO]],Tableau_Liste_KPI[],COLUMN(Tableau_Liste_KPI[Complexite UO]),FALSE),"")</f>
        <v>Moyenne</v>
      </c>
      <c r="H6" s="63" t="str">
        <f>IFERROR(VLOOKUP(Tableau_Liste_UO[[#This Row],[Code UO]],Tableau_Liste_KPI[],COLUMN(Tableau_Liste_KPI[Concatenation]),FALSE),"")</f>
        <v>UO TAO Rédaction ASD Moyenne</v>
      </c>
      <c r="I6" s="6">
        <f>IFERROR(VLOOKUP(Tableau_Liste_UO[[#This Row],[Code UO]],Tableau_Liste_KPI[],COLUMN(Tableau_Liste_KPI[Date Initialisé]),FALSE),"")</f>
        <v>42922.447638888887</v>
      </c>
      <c r="J6" s="6">
        <f>IFERROR(VLOOKUP(Tableau_Liste_UO[[#This Row],[Code UO]],Tableau_Liste_KPI[],COLUMN(Tableau_Liste_KPI[Date A valider]),FALSE),"")</f>
        <v>43045.428946759261</v>
      </c>
      <c r="K6" s="6">
        <f>IFERROR(VLOOKUP(Tableau_Liste_UO[[#This Row],[Code UO]],Tableau_Liste_KPI[],COLUMN(Tableau_Liste_KPI[Date Fermé]),FALSE),"")</f>
        <v>43048.716307870367</v>
      </c>
      <c r="L6" s="13">
        <f>IFERROR(VLOOKUP(Tableau_Liste_UO[[#This Row],[Code UO]],Tableau_Liste_KPI[],COLUMN(Tableau_Liste_KPI[Nb jours Initialisé]),FALSE),"")</f>
        <v>0</v>
      </c>
      <c r="M6" s="13">
        <f>IFERROR(VLOOKUP(Tableau_Liste_UO[[#This Row],[Code UO]],Tableau_Liste_KPI[],COLUMN(Tableau_Liste_KPI[Nb de jours En cours]),FALSE),"")</f>
        <v>26</v>
      </c>
      <c r="N6" s="13">
        <f>IFERROR(VLOOKUP(Tableau_Liste_UO[[#This Row],[Code UO]],Tableau_Liste_KPI[],COLUMN(Tableau_Liste_KPI[Nb de jours Suspend]),FALSE),"")</f>
        <v>56</v>
      </c>
      <c r="O6" s="13">
        <f>IFERROR(VLOOKUP(Tableau_Liste_UO[[#This Row],[Code UO]],Tableau_Liste_KPI[],COLUMN(Tableau_Liste_KPI[Nb de jour A valider]),FALSE),"")</f>
        <v>3</v>
      </c>
      <c r="P6" s="63">
        <f>IFERROR(VLOOKUP(Tableau_Liste_UO[[#This Row],[Code UO]],Tableau_Liste_KPI[],COLUMN(Tableau_Liste_KPI[DEFF]),FALSE),"")</f>
        <v>26</v>
      </c>
      <c r="Q6" s="13">
        <f>IFERROR(VLOOKUP(Tableau_Liste_UO[[#This Row],[Code UO]],Tableau_Liste_KPI[],COLUMN(Tableau_Liste_KPI[DMOY]),FALSE),"")</f>
        <v>16</v>
      </c>
      <c r="R6" s="13">
        <f>IFERROR(VLOOKUP(Tableau_Liste_UO[[#This Row],[Code UO]],Tableau_Liste_KPI[],COLUMN(Tableau_Liste_KPI[DMAX]),FALSE),"")</f>
        <v>24</v>
      </c>
      <c r="S6" s="33" t="str">
        <f>IFERROR(VLOOKUP(Tableau_Liste_UO[[#This Row],[Code UO]],Tableau_Liste_KPI[],COLUMN(Tableau_Liste_KPI[Date de livraison souhaitée]),FALSE),"")</f>
        <v/>
      </c>
      <c r="T6" s="33">
        <f>IFERROR(VLOOKUP(Tableau_Liste_UO[[#This Row],[Code UO]],Tableau_Liste_KPI[],COLUMN(Tableau_Liste_KPI[Date de livraison prévisionnelle]),FALSE),"")</f>
        <v>42935.677083333336</v>
      </c>
      <c r="U6" s="33">
        <f>IFERROR(VLOOKUP(Tableau_Liste_UO[[#This Row],[Code UO]],Tableau_Liste_KPI[],COLUMN(Tableau_Liste_KPI[Date de livraison prévisionnelle révisée]),FALSE),"")</f>
        <v>43039.648611111108</v>
      </c>
      <c r="V6" s="33">
        <f>IFERROR(VLOOKUP(Tableau_Liste_UO[[#This Row],[Code UO]],Tableau_Liste_KPI[],COLUMN(Tableau_Liste_KPI[Date fin moy]),FALSE),"")</f>
        <v>43027</v>
      </c>
      <c r="W6" s="33">
        <f>IFERROR(VLOOKUP(Tableau_Liste_UO[[#This Row],[Code UO]],Tableau_Liste_KPI[],COLUMN(Tableau_Liste_KPI[Date fin max]),FALSE),"")</f>
        <v>43039</v>
      </c>
      <c r="X6" s="13"/>
    </row>
    <row r="7" spans="1:24" ht="12" customHeight="1" x14ac:dyDescent="0.2">
      <c r="A7" s="63" t="str">
        <f>CONCATENATE(Tableau_Liste_UO[[#This Row],[Code UO]]," ","-"," ")</f>
        <v xml:space="preserve">CESAR-115 - </v>
      </c>
      <c r="B7" s="63" t="s">
        <v>74</v>
      </c>
      <c r="C7" s="63" t="str">
        <f>IFERROR(VLOOKUP(Tableau_Liste_UO[[#This Row],[Code UO]],Tableau_Liste_KPI[],COLUMN(Tableau_Liste_KPI[Description de la demande]),FALSE),"")</f>
        <v>TCS - ZDFR - service WATT</v>
      </c>
      <c r="D7" s="63" t="str">
        <f>IFERROR(VLOOKUP(Tableau_Liste_UO[[#This Row],[Code UO]],Tableau_Liste_KPI[],COLUMN(Tableau_Liste_KPI[Statut]),FALSE),"")</f>
        <v>Abandonné</v>
      </c>
      <c r="E7" s="63" t="str">
        <f>IFERROR(VLOOKUP(Tableau_Liste_UO[[#This Row],[Code UO]],Tableau_Liste_KPI[],COLUMN(Tableau_Liste_KPI[Service]),FALSE),"")</f>
        <v>UO AAT</v>
      </c>
      <c r="F7" s="63" t="str">
        <f>IFERROR(VLOOKUP(Tableau_Liste_UO[[#This Row],[Code UO]],Tableau_Liste_KPI[],COLUMN(Tableau_Liste_KPI[Type UO]),FALSE),"")</f>
        <v>Capture</v>
      </c>
      <c r="G7" s="63" t="str">
        <f>IFERROR(VLOOKUP(Tableau_Liste_UO[[#This Row],[Code UO]],Tableau_Liste_KPI[],COLUMN(Tableau_Liste_KPI[Complexite UO]),FALSE),"")</f>
        <v>Faible</v>
      </c>
      <c r="H7" s="63" t="str">
        <f>IFERROR(VLOOKUP(Tableau_Liste_UO[[#This Row],[Code UO]],Tableau_Liste_KPI[],COLUMN(Tableau_Liste_KPI[Concatenation]),FALSE),"")</f>
        <v>UO AAT Capture Faible</v>
      </c>
      <c r="I7" s="6">
        <f>IFERROR(VLOOKUP(Tableau_Liste_UO[[#This Row],[Code UO]],Tableau_Liste_KPI[],COLUMN(Tableau_Liste_KPI[Date Initialisé]),FALSE),"")</f>
        <v>42933.567291666666</v>
      </c>
      <c r="J7" s="6" t="str">
        <f>IFERROR(VLOOKUP(Tableau_Liste_UO[[#This Row],[Code UO]],Tableau_Liste_KPI[],COLUMN(Tableau_Liste_KPI[Date A valider]),FALSE),"")</f>
        <v/>
      </c>
      <c r="K7" s="6" t="str">
        <f>IFERROR(VLOOKUP(Tableau_Liste_UO[[#This Row],[Code UO]],Tableau_Liste_KPI[],COLUMN(Tableau_Liste_KPI[Date Fermé]),FALSE),"")</f>
        <v/>
      </c>
      <c r="L7" s="13">
        <f>IFERROR(VLOOKUP(Tableau_Liste_UO[[#This Row],[Code UO]],Tableau_Liste_KPI[],COLUMN(Tableau_Liste_KPI[Nb jours Initialisé]),FALSE),"")</f>
        <v>0</v>
      </c>
      <c r="M7" s="13">
        <f>IFERROR(VLOOKUP(Tableau_Liste_UO[[#This Row],[Code UO]],Tableau_Liste_KPI[],COLUMN(Tableau_Liste_KPI[Nb de jours En cours]),FALSE),"")</f>
        <v>0</v>
      </c>
      <c r="N7" s="13">
        <f>IFERROR(VLOOKUP(Tableau_Liste_UO[[#This Row],[Code UO]],Tableau_Liste_KPI[],COLUMN(Tableau_Liste_KPI[Nb de jours Suspend]),FALSE),"")</f>
        <v>0</v>
      </c>
      <c r="O7" s="13" t="str">
        <f>IFERROR(VLOOKUP(Tableau_Liste_UO[[#This Row],[Code UO]],Tableau_Liste_KPI[],COLUMN(Tableau_Liste_KPI[Nb de jour A valider]),FALSE),"")</f>
        <v/>
      </c>
      <c r="P7" s="63" t="str">
        <f>IFERROR(VLOOKUP(Tableau_Liste_UO[[#This Row],[Code UO]],Tableau_Liste_KPI[],COLUMN(Tableau_Liste_KPI[DEFF]),FALSE),"")</f>
        <v/>
      </c>
      <c r="Q7" s="13">
        <f>IFERROR(VLOOKUP(Tableau_Liste_UO[[#This Row],[Code UO]],Tableau_Liste_KPI[],COLUMN(Tableau_Liste_KPI[DMOY]),FALSE),"")</f>
        <v>2</v>
      </c>
      <c r="R7" s="13">
        <f>IFERROR(VLOOKUP(Tableau_Liste_UO[[#This Row],[Code UO]],Tableau_Liste_KPI[],COLUMN(Tableau_Liste_KPI[DMAX]),FALSE),"")</f>
        <v>5</v>
      </c>
      <c r="S7" s="33">
        <f>IFERROR(VLOOKUP(Tableau_Liste_UO[[#This Row],[Code UO]],Tableau_Liste_KPI[],COLUMN(Tableau_Liste_KPI[Date de livraison souhaitée]),FALSE),"")</f>
        <v>42985.675000000003</v>
      </c>
      <c r="T7" s="33" t="str">
        <f>IFERROR(VLOOKUP(Tableau_Liste_UO[[#This Row],[Code UO]],Tableau_Liste_KPI[],COLUMN(Tableau_Liste_KPI[Date de livraison prévisionnelle]),FALSE),"")</f>
        <v/>
      </c>
      <c r="U7" s="33" t="str">
        <f>IFERROR(VLOOKUP(Tableau_Liste_UO[[#This Row],[Code UO]],Tableau_Liste_KPI[],COLUMN(Tableau_Liste_KPI[Date de livraison prévisionnelle révisée]),FALSE),"")</f>
        <v/>
      </c>
      <c r="V7" s="33">
        <f>IFERROR(VLOOKUP(Tableau_Liste_UO[[#This Row],[Code UO]],Tableau_Liste_KPI[],COLUMN(Tableau_Liste_KPI[Date fin moy]),FALSE),"")</f>
        <v>42935</v>
      </c>
      <c r="W7" s="33">
        <f>IFERROR(VLOOKUP(Tableau_Liste_UO[[#This Row],[Code UO]],Tableau_Liste_KPI[],COLUMN(Tableau_Liste_KPI[Date fin max]),FALSE),"")</f>
        <v>42940</v>
      </c>
      <c r="X7" s="13"/>
    </row>
    <row r="8" spans="1:24" ht="12" customHeight="1" x14ac:dyDescent="0.2">
      <c r="A8" s="63" t="str">
        <f>CONCATENATE(Tableau_Liste_UO[[#This Row],[Code UO]]," ","-"," ")</f>
        <v xml:space="preserve">CESAR-116 - </v>
      </c>
      <c r="B8" s="63" t="s">
        <v>73</v>
      </c>
      <c r="C8" s="63" t="str">
        <f>IFERROR(VLOOKUP(Tableau_Liste_UO[[#This Row],[Code UO]],Tableau_Liste_KPI[],COLUMN(Tableau_Liste_KPI[Description de la demande]),FALSE),"")</f>
        <v>TCS - ZDFR - Notifications depuis SIDR</v>
      </c>
      <c r="D8" s="63" t="str">
        <f>IFERROR(VLOOKUP(Tableau_Liste_UO[[#This Row],[Code UO]],Tableau_Liste_KPI[],COLUMN(Tableau_Liste_KPI[Statut]),FALSE),"")</f>
        <v>Abandonné</v>
      </c>
      <c r="E8" s="63" t="str">
        <f>IFERROR(VLOOKUP(Tableau_Liste_UO[[#This Row],[Code UO]],Tableau_Liste_KPI[],COLUMN(Tableau_Liste_KPI[Service]),FALSE),"")</f>
        <v>UO AAT</v>
      </c>
      <c r="F8" s="63" t="str">
        <f>IFERROR(VLOOKUP(Tableau_Liste_UO[[#This Row],[Code UO]],Tableau_Liste_KPI[],COLUMN(Tableau_Liste_KPI[Type UO]),FALSE),"")</f>
        <v>Capture</v>
      </c>
      <c r="G8" s="63" t="str">
        <f>IFERROR(VLOOKUP(Tableau_Liste_UO[[#This Row],[Code UO]],Tableau_Liste_KPI[],COLUMN(Tableau_Liste_KPI[Complexite UO]),FALSE),"")</f>
        <v>Faible</v>
      </c>
      <c r="H8" s="63" t="str">
        <f>IFERROR(VLOOKUP(Tableau_Liste_UO[[#This Row],[Code UO]],Tableau_Liste_KPI[],COLUMN(Tableau_Liste_KPI[Concatenation]),FALSE),"")</f>
        <v>UO AAT Capture Faible</v>
      </c>
      <c r="I8" s="6">
        <f>IFERROR(VLOOKUP(Tableau_Liste_UO[[#This Row],[Code UO]],Tableau_Liste_KPI[],COLUMN(Tableau_Liste_KPI[Date Initialisé]),FALSE),"")</f>
        <v>42933.570057870369</v>
      </c>
      <c r="J8" s="6" t="str">
        <f>IFERROR(VLOOKUP(Tableau_Liste_UO[[#This Row],[Code UO]],Tableau_Liste_KPI[],COLUMN(Tableau_Liste_KPI[Date A valider]),FALSE),"")</f>
        <v/>
      </c>
      <c r="K8" s="6" t="str">
        <f>IFERROR(VLOOKUP(Tableau_Liste_UO[[#This Row],[Code UO]],Tableau_Liste_KPI[],COLUMN(Tableau_Liste_KPI[Date Fermé]),FALSE),"")</f>
        <v/>
      </c>
      <c r="L8" s="13">
        <f>IFERROR(VLOOKUP(Tableau_Liste_UO[[#This Row],[Code UO]],Tableau_Liste_KPI[],COLUMN(Tableau_Liste_KPI[Nb jours Initialisé]),FALSE),"")</f>
        <v>0</v>
      </c>
      <c r="M8" s="13">
        <f>IFERROR(VLOOKUP(Tableau_Liste_UO[[#This Row],[Code UO]],Tableau_Liste_KPI[],COLUMN(Tableau_Liste_KPI[Nb de jours En cours]),FALSE),"")</f>
        <v>0</v>
      </c>
      <c r="N8" s="13">
        <f>IFERROR(VLOOKUP(Tableau_Liste_UO[[#This Row],[Code UO]],Tableau_Liste_KPI[],COLUMN(Tableau_Liste_KPI[Nb de jours Suspend]),FALSE),"")</f>
        <v>0</v>
      </c>
      <c r="O8" s="13" t="str">
        <f>IFERROR(VLOOKUP(Tableau_Liste_UO[[#This Row],[Code UO]],Tableau_Liste_KPI[],COLUMN(Tableau_Liste_KPI[Nb de jour A valider]),FALSE),"")</f>
        <v/>
      </c>
      <c r="P8" s="63" t="str">
        <f>IFERROR(VLOOKUP(Tableau_Liste_UO[[#This Row],[Code UO]],Tableau_Liste_KPI[],COLUMN(Tableau_Liste_KPI[DEFF]),FALSE),"")</f>
        <v/>
      </c>
      <c r="Q8" s="13">
        <f>IFERROR(VLOOKUP(Tableau_Liste_UO[[#This Row],[Code UO]],Tableau_Liste_KPI[],COLUMN(Tableau_Liste_KPI[DMOY]),FALSE),"")</f>
        <v>2</v>
      </c>
      <c r="R8" s="13">
        <f>IFERROR(VLOOKUP(Tableau_Liste_UO[[#This Row],[Code UO]],Tableau_Liste_KPI[],COLUMN(Tableau_Liste_KPI[DMAX]),FALSE),"")</f>
        <v>5</v>
      </c>
      <c r="S8" s="33">
        <f>IFERROR(VLOOKUP(Tableau_Liste_UO[[#This Row],[Code UO]],Tableau_Liste_KPI[],COLUMN(Tableau_Liste_KPI[Date de livraison souhaitée]),FALSE),"")</f>
        <v>42993.677777777775</v>
      </c>
      <c r="T8" s="33" t="str">
        <f>IFERROR(VLOOKUP(Tableau_Liste_UO[[#This Row],[Code UO]],Tableau_Liste_KPI[],COLUMN(Tableau_Liste_KPI[Date de livraison prévisionnelle]),FALSE),"")</f>
        <v/>
      </c>
      <c r="U8" s="33" t="str">
        <f>IFERROR(VLOOKUP(Tableau_Liste_UO[[#This Row],[Code UO]],Tableau_Liste_KPI[],COLUMN(Tableau_Liste_KPI[Date de livraison prévisionnelle révisée]),FALSE),"")</f>
        <v/>
      </c>
      <c r="V8" s="33">
        <f>IFERROR(VLOOKUP(Tableau_Liste_UO[[#This Row],[Code UO]],Tableau_Liste_KPI[],COLUMN(Tableau_Liste_KPI[Date fin moy]),FALSE),"")</f>
        <v>42935</v>
      </c>
      <c r="W8" s="33">
        <f>IFERROR(VLOOKUP(Tableau_Liste_UO[[#This Row],[Code UO]],Tableau_Liste_KPI[],COLUMN(Tableau_Liste_KPI[Date fin max]),FALSE),"")</f>
        <v>42940</v>
      </c>
      <c r="X8" s="13"/>
    </row>
    <row r="9" spans="1:24" ht="12" customHeight="1" x14ac:dyDescent="0.2">
      <c r="A9" s="63" t="str">
        <f>CONCATENATE(Tableau_Liste_UO[[#This Row],[Code UO]]," ","-"," ")</f>
        <v xml:space="preserve">CESAR-117 - </v>
      </c>
      <c r="B9" s="63" t="s">
        <v>16</v>
      </c>
      <c r="C9" s="63" t="str">
        <f>IFERROR(VLOOKUP(Tableau_Liste_UO[[#This Row],[Code UO]],Tableau_Liste_KPI[],COLUMN(Tableau_Liste_KPI[Description de la demande]),FALSE),"")</f>
        <v>Obso 2003 - SunAccount - ASD</v>
      </c>
      <c r="D9" s="63" t="str">
        <f>IFERROR(VLOOKUP(Tableau_Liste_UO[[#This Row],[Code UO]],Tableau_Liste_KPI[],COLUMN(Tableau_Liste_KPI[Statut]),FALSE),"")</f>
        <v>A valider</v>
      </c>
      <c r="E9" s="63" t="str">
        <f>IFERROR(VLOOKUP(Tableau_Liste_UO[[#This Row],[Code UO]],Tableau_Liste_KPI[],COLUMN(Tableau_Liste_KPI[Service]),FALSE),"")</f>
        <v>UO TAO</v>
      </c>
      <c r="F9" s="63" t="str">
        <f>IFERROR(VLOOKUP(Tableau_Liste_UO[[#This Row],[Code UO]],Tableau_Liste_KPI[],COLUMN(Tableau_Liste_KPI[Type UO]),FALSE),"")</f>
        <v>Rédaction ASD</v>
      </c>
      <c r="G9" s="63" t="str">
        <f>IFERROR(VLOOKUP(Tableau_Liste_UO[[#This Row],[Code UO]],Tableau_Liste_KPI[],COLUMN(Tableau_Liste_KPI[Complexite UO]),FALSE),"")</f>
        <v>Moyenne</v>
      </c>
      <c r="H9" s="63" t="str">
        <f>IFERROR(VLOOKUP(Tableau_Liste_UO[[#This Row],[Code UO]],Tableau_Liste_KPI[],COLUMN(Tableau_Liste_KPI[Concatenation]),FALSE),"")</f>
        <v>UO TAO Rédaction ASD Moyenne</v>
      </c>
      <c r="I9" s="6">
        <f>IFERROR(VLOOKUP(Tableau_Liste_UO[[#This Row],[Code UO]],Tableau_Liste_KPI[],COLUMN(Tableau_Liste_KPI[Date Initialisé]),FALSE),"")</f>
        <v>42923.697337962964</v>
      </c>
      <c r="J9" s="6">
        <f>IFERROR(VLOOKUP(Tableau_Liste_UO[[#This Row],[Code UO]],Tableau_Liste_KPI[],COLUMN(Tableau_Liste_KPI[Date A valider]),FALSE),"")</f>
        <v>43082.647905092592</v>
      </c>
      <c r="K9" s="6" t="str">
        <f>IFERROR(VLOOKUP(Tableau_Liste_UO[[#This Row],[Code UO]],Tableau_Liste_KPI[],COLUMN(Tableau_Liste_KPI[Date Fermé]),FALSE),"")</f>
        <v/>
      </c>
      <c r="L9" s="13">
        <f>IFERROR(VLOOKUP(Tableau_Liste_UO[[#This Row],[Code UO]],Tableau_Liste_KPI[],COLUMN(Tableau_Liste_KPI[Nb jours Initialisé]),FALSE),"")</f>
        <v>3</v>
      </c>
      <c r="M9" s="13">
        <f>IFERROR(VLOOKUP(Tableau_Liste_UO[[#This Row],[Code UO]],Tableau_Liste_KPI[],COLUMN(Tableau_Liste_KPI[Nb de jours En cours]),FALSE),"")</f>
        <v>39</v>
      </c>
      <c r="N9" s="13">
        <f>IFERROR(VLOOKUP(Tableau_Liste_UO[[#This Row],[Code UO]],Tableau_Liste_KPI[],COLUMN(Tableau_Liste_KPI[Nb de jours Suspend]),FALSE),"")</f>
        <v>67</v>
      </c>
      <c r="O9" s="13">
        <f>IFERROR(VLOOKUP(Tableau_Liste_UO[[#This Row],[Code UO]],Tableau_Liste_KPI[],COLUMN(Tableau_Liste_KPI[Nb de jour A valider]),FALSE),"")</f>
        <v>7</v>
      </c>
      <c r="P9" s="63">
        <f>IFERROR(VLOOKUP(Tableau_Liste_UO[[#This Row],[Code UO]],Tableau_Liste_KPI[],COLUMN(Tableau_Liste_KPI[DEFF]),FALSE),"")</f>
        <v>42</v>
      </c>
      <c r="Q9" s="13">
        <f>IFERROR(VLOOKUP(Tableau_Liste_UO[[#This Row],[Code UO]],Tableau_Liste_KPI[],COLUMN(Tableau_Liste_KPI[DMOY]),FALSE),"")</f>
        <v>16</v>
      </c>
      <c r="R9" s="13">
        <f>IFERROR(VLOOKUP(Tableau_Liste_UO[[#This Row],[Code UO]],Tableau_Liste_KPI[],COLUMN(Tableau_Liste_KPI[DMAX]),FALSE),"")</f>
        <v>24</v>
      </c>
      <c r="S9" s="33" t="str">
        <f>IFERROR(VLOOKUP(Tableau_Liste_UO[[#This Row],[Code UO]],Tableau_Liste_KPI[],COLUMN(Tableau_Liste_KPI[Date de livraison souhaitée]),FALSE),"")</f>
        <v/>
      </c>
      <c r="T9" s="33">
        <f>IFERROR(VLOOKUP(Tableau_Liste_UO[[#This Row],[Code UO]],Tableau_Liste_KPI[],COLUMN(Tableau_Liste_KPI[Date de livraison prévisionnelle]),FALSE),"")</f>
        <v>43008.462500000001</v>
      </c>
      <c r="U9" s="33">
        <f>IFERROR(VLOOKUP(Tableau_Liste_UO[[#This Row],[Code UO]],Tableau_Liste_KPI[],COLUMN(Tableau_Liste_KPI[Date de livraison prévisionnelle révisée]),FALSE),"")</f>
        <v>43081.638888888891</v>
      </c>
      <c r="V9" s="33">
        <f>IFERROR(VLOOKUP(Tableau_Liste_UO[[#This Row],[Code UO]],Tableau_Liste_KPI[],COLUMN(Tableau_Liste_KPI[Date fin moy]),FALSE),"")</f>
        <v>43046</v>
      </c>
      <c r="W9" s="33">
        <f>IFERROR(VLOOKUP(Tableau_Liste_UO[[#This Row],[Code UO]],Tableau_Liste_KPI[],COLUMN(Tableau_Liste_KPI[Date fin max]),FALSE),"")</f>
        <v>43056</v>
      </c>
      <c r="X9" s="13"/>
    </row>
    <row r="10" spans="1:24" ht="12" customHeight="1" x14ac:dyDescent="0.2">
      <c r="A10" s="63" t="str">
        <f>CONCATENATE(Tableau_Liste_UO[[#This Row],[Code UO]]," ","-"," ")</f>
        <v xml:space="preserve">CESAR-117 - </v>
      </c>
      <c r="B10" s="63" t="s">
        <v>16</v>
      </c>
      <c r="C10" s="63" t="str">
        <f>IFERROR(VLOOKUP(Tableau_Liste_UO[[#This Row],[Code UO]],Tableau_Liste_KPI[],COLUMN(Tableau_Liste_KPI[Description de la demande]),FALSE),"")</f>
        <v>Obso 2003 - SunAccount - ASD</v>
      </c>
      <c r="D10" s="63" t="str">
        <f>IFERROR(VLOOKUP(Tableau_Liste_UO[[#This Row],[Code UO]],Tableau_Liste_KPI[],COLUMN(Tableau_Liste_KPI[Statut]),FALSE),"")</f>
        <v>A valider</v>
      </c>
      <c r="E10" s="63" t="str">
        <f>IFERROR(VLOOKUP(Tableau_Liste_UO[[#This Row],[Code UO]],Tableau_Liste_KPI[],COLUMN(Tableau_Liste_KPI[Service]),FALSE),"")</f>
        <v>UO TAO</v>
      </c>
      <c r="F10" s="63" t="str">
        <f>IFERROR(VLOOKUP(Tableau_Liste_UO[[#This Row],[Code UO]],Tableau_Liste_KPI[],COLUMN(Tableau_Liste_KPI[Type UO]),FALSE),"")</f>
        <v>Rédaction ASD</v>
      </c>
      <c r="G10" s="63" t="str">
        <f>IFERROR(VLOOKUP(Tableau_Liste_UO[[#This Row],[Code UO]],Tableau_Liste_KPI[],COLUMN(Tableau_Liste_KPI[Complexite UO]),FALSE),"")</f>
        <v>Moyenne</v>
      </c>
      <c r="H10" s="63" t="str">
        <f>IFERROR(VLOOKUP(Tableau_Liste_UO[[#This Row],[Code UO]],Tableau_Liste_KPI[],COLUMN(Tableau_Liste_KPI[Concatenation]),FALSE),"")</f>
        <v>UO TAO Rédaction ASD Moyenne</v>
      </c>
      <c r="I10" s="6">
        <f>IFERROR(VLOOKUP(Tableau_Liste_UO[[#This Row],[Code UO]],Tableau_Liste_KPI[],COLUMN(Tableau_Liste_KPI[Date Initialisé]),FALSE),"")</f>
        <v>42923.697337962964</v>
      </c>
      <c r="J10" s="6">
        <f>IFERROR(VLOOKUP(Tableau_Liste_UO[[#This Row],[Code UO]],Tableau_Liste_KPI[],COLUMN(Tableau_Liste_KPI[Date A valider]),FALSE),"")</f>
        <v>43082.647905092592</v>
      </c>
      <c r="K10" s="6" t="str">
        <f>IFERROR(VLOOKUP(Tableau_Liste_UO[[#This Row],[Code UO]],Tableau_Liste_KPI[],COLUMN(Tableau_Liste_KPI[Date Fermé]),FALSE),"")</f>
        <v/>
      </c>
      <c r="L10" s="13">
        <f>IFERROR(VLOOKUP(Tableau_Liste_UO[[#This Row],[Code UO]],Tableau_Liste_KPI[],COLUMN(Tableau_Liste_KPI[Nb jours Initialisé]),FALSE),"")</f>
        <v>3</v>
      </c>
      <c r="M10" s="13">
        <f>IFERROR(VLOOKUP(Tableau_Liste_UO[[#This Row],[Code UO]],Tableau_Liste_KPI[],COLUMN(Tableau_Liste_KPI[Nb de jours En cours]),FALSE),"")</f>
        <v>39</v>
      </c>
      <c r="N10" s="13">
        <f>IFERROR(VLOOKUP(Tableau_Liste_UO[[#This Row],[Code UO]],Tableau_Liste_KPI[],COLUMN(Tableau_Liste_KPI[Nb de jours Suspend]),FALSE),"")</f>
        <v>67</v>
      </c>
      <c r="O10" s="13">
        <f>IFERROR(VLOOKUP(Tableau_Liste_UO[[#This Row],[Code UO]],Tableau_Liste_KPI[],COLUMN(Tableau_Liste_KPI[Nb de jour A valider]),FALSE),"")</f>
        <v>7</v>
      </c>
      <c r="P10" s="63">
        <f>IFERROR(VLOOKUP(Tableau_Liste_UO[[#This Row],[Code UO]],Tableau_Liste_KPI[],COLUMN(Tableau_Liste_KPI[DEFF]),FALSE),"")</f>
        <v>42</v>
      </c>
      <c r="Q10" s="13">
        <f>IFERROR(VLOOKUP(Tableau_Liste_UO[[#This Row],[Code UO]],Tableau_Liste_KPI[],COLUMN(Tableau_Liste_KPI[DMOY]),FALSE),"")</f>
        <v>16</v>
      </c>
      <c r="R10" s="13">
        <f>IFERROR(VLOOKUP(Tableau_Liste_UO[[#This Row],[Code UO]],Tableau_Liste_KPI[],COLUMN(Tableau_Liste_KPI[DMAX]),FALSE),"")</f>
        <v>24</v>
      </c>
      <c r="S10" s="33" t="str">
        <f>IFERROR(VLOOKUP(Tableau_Liste_UO[[#This Row],[Code UO]],Tableau_Liste_KPI[],COLUMN(Tableau_Liste_KPI[Date de livraison souhaitée]),FALSE),"")</f>
        <v/>
      </c>
      <c r="T10" s="33">
        <f>IFERROR(VLOOKUP(Tableau_Liste_UO[[#This Row],[Code UO]],Tableau_Liste_KPI[],COLUMN(Tableau_Liste_KPI[Date de livraison prévisionnelle]),FALSE),"")</f>
        <v>43008.462500000001</v>
      </c>
      <c r="U10" s="33">
        <f>IFERROR(VLOOKUP(Tableau_Liste_UO[[#This Row],[Code UO]],Tableau_Liste_KPI[],COLUMN(Tableau_Liste_KPI[Date de livraison prévisionnelle révisée]),FALSE),"")</f>
        <v>43081.638888888891</v>
      </c>
      <c r="V10" s="33">
        <f>IFERROR(VLOOKUP(Tableau_Liste_UO[[#This Row],[Code UO]],Tableau_Liste_KPI[],COLUMN(Tableau_Liste_KPI[Date fin moy]),FALSE),"")</f>
        <v>43046</v>
      </c>
      <c r="W10" s="33">
        <f>IFERROR(VLOOKUP(Tableau_Liste_UO[[#This Row],[Code UO]],Tableau_Liste_KPI[],COLUMN(Tableau_Liste_KPI[Date fin max]),FALSE),"")</f>
        <v>43056</v>
      </c>
      <c r="X10" s="13">
        <v>0.5</v>
      </c>
    </row>
    <row r="11" spans="1:24" ht="12" customHeight="1" x14ac:dyDescent="0.2">
      <c r="A11" s="25" t="str">
        <f>CONCATENATE(Tableau_Liste_UO[[#This Row],[Code UO]]," ","-"," ")</f>
        <v xml:space="preserve">CESAR-118 - </v>
      </c>
      <c r="B11" s="25" t="s">
        <v>15</v>
      </c>
      <c r="C11" s="25" t="str">
        <f>IFERROR(VLOOKUP(Tableau_Liste_UO[[#This Row],[Code UO]],Tableau_Liste_KPI[],COLUMN(Tableau_Liste_KPI[Description de la demande]),FALSE),"")</f>
        <v>Support - Solman VM Alcea</v>
      </c>
      <c r="D11" s="25" t="str">
        <f>IFERROR(VLOOKUP(Tableau_Liste_UO[[#This Row],[Code UO]],Tableau_Liste_KPI[],COLUMN(Tableau_Liste_KPI[Statut]),FALSE),"")</f>
        <v>Fermé</v>
      </c>
      <c r="E11" s="25" t="str">
        <f>IFERROR(VLOOKUP(Tableau_Liste_UO[[#This Row],[Code UO]],Tableau_Liste_KPI[],COLUMN(Tableau_Liste_KPI[Service]),FALSE),"")</f>
        <v>UO TAO</v>
      </c>
      <c r="F11" s="25" t="str">
        <f>IFERROR(VLOOKUP(Tableau_Liste_UO[[#This Row],[Code UO]],Tableau_Liste_KPI[],COLUMN(Tableau_Liste_KPI[Type UO]),FALSE),"")</f>
        <v>Accompagnement technique à la mise en production</v>
      </c>
      <c r="G11" s="25" t="str">
        <f>IFERROR(VLOOKUP(Tableau_Liste_UO[[#This Row],[Code UO]],Tableau_Liste_KPI[],COLUMN(Tableau_Liste_KPI[Complexite UO]),FALSE),"")</f>
        <v>Moyenne</v>
      </c>
      <c r="H11" s="25" t="str">
        <f>IFERROR(VLOOKUP(Tableau_Liste_UO[[#This Row],[Code UO]],Tableau_Liste_KPI[],COLUMN(Tableau_Liste_KPI[Concatenation]),FALSE),"")</f>
        <v>UO TAO Accompagnement technique à la mise en production</v>
      </c>
      <c r="I11" s="24">
        <f>IFERROR(VLOOKUP(Tableau_Liste_UO[[#This Row],[Code UO]],Tableau_Liste_KPI[],COLUMN(Tableau_Liste_KPI[Date Initialisé]),FALSE),"")</f>
        <v>42926.661192129628</v>
      </c>
      <c r="J11" s="24" t="str">
        <f>IFERROR(VLOOKUP(Tableau_Liste_UO[[#This Row],[Code UO]],Tableau_Liste_KPI[],COLUMN(Tableau_Liste_KPI[Date A valider]),FALSE),"")</f>
        <v/>
      </c>
      <c r="K11" s="24">
        <f>IFERROR(VLOOKUP(Tableau_Liste_UO[[#This Row],[Code UO]],Tableau_Liste_KPI[],COLUMN(Tableau_Liste_KPI[Date Fermé]),FALSE),"")</f>
        <v>43048.686967592592</v>
      </c>
      <c r="L11" s="26">
        <f>IFERROR(VLOOKUP(Tableau_Liste_UO[[#This Row],[Code UO]],Tableau_Liste_KPI[],COLUMN(Tableau_Liste_KPI[Nb jours Initialisé]),FALSE),"")</f>
        <v>-1</v>
      </c>
      <c r="M11" s="26">
        <f>IFERROR(VLOOKUP(Tableau_Liste_UO[[#This Row],[Code UO]],Tableau_Liste_KPI[],COLUMN(Tableau_Liste_KPI[Nb de jours En cours]),FALSE),"")</f>
        <v>14</v>
      </c>
      <c r="N11" s="26">
        <f>IFERROR(VLOOKUP(Tableau_Liste_UO[[#This Row],[Code UO]],Tableau_Liste_KPI[],COLUMN(Tableau_Liste_KPI[Nb de jours Suspend]),FALSE),"")</f>
        <v>0</v>
      </c>
      <c r="O11" s="26" t="str">
        <f>IFERROR(VLOOKUP(Tableau_Liste_UO[[#This Row],[Code UO]],Tableau_Liste_KPI[],COLUMN(Tableau_Liste_KPI[Nb de jour A valider]),FALSE),"")</f>
        <v/>
      </c>
      <c r="P11" s="25">
        <f>IFERROR(VLOOKUP(Tableau_Liste_UO[[#This Row],[Code UO]],Tableau_Liste_KPI[],COLUMN(Tableau_Liste_KPI[DEFF]),FALSE),"")</f>
        <v>13</v>
      </c>
      <c r="Q11" s="26" t="str">
        <f>IFERROR(VLOOKUP(Tableau_Liste_UO[[#This Row],[Code UO]],Tableau_Liste_KPI[],COLUMN(Tableau_Liste_KPI[DMOY]),FALSE),"")</f>
        <v/>
      </c>
      <c r="R11" s="26" t="str">
        <f>IFERROR(VLOOKUP(Tableau_Liste_UO[[#This Row],[Code UO]],Tableau_Liste_KPI[],COLUMN(Tableau_Liste_KPI[DMAX]),FALSE),"")</f>
        <v/>
      </c>
      <c r="S11" s="39" t="str">
        <f>IFERROR(VLOOKUP(Tableau_Liste_UO[[#This Row],[Code UO]],Tableau_Liste_KPI[],COLUMN(Tableau_Liste_KPI[Date de livraison souhaitée]),FALSE),"")</f>
        <v/>
      </c>
      <c r="T11" s="39" t="str">
        <f>IFERROR(VLOOKUP(Tableau_Liste_UO[[#This Row],[Code UO]],Tableau_Liste_KPI[],COLUMN(Tableau_Liste_KPI[Date de livraison prévisionnelle]),FALSE),"")</f>
        <v/>
      </c>
      <c r="U11" s="39" t="str">
        <f>IFERROR(VLOOKUP(Tableau_Liste_UO[[#This Row],[Code UO]],Tableau_Liste_KPI[],COLUMN(Tableau_Liste_KPI[Date de livraison prévisionnelle révisée]),FALSE),"")</f>
        <v/>
      </c>
      <c r="V11" s="39">
        <f>IFERROR(VLOOKUP(Tableau_Liste_UO[[#This Row],[Code UO]],Tableau_Liste_KPI[],COLUMN(Tableau_Liste_KPI[Date fin moy]),FALSE),"")</f>
        <v>42978.660416666666</v>
      </c>
      <c r="W11" s="39">
        <f>IFERROR(VLOOKUP(Tableau_Liste_UO[[#This Row],[Code UO]],Tableau_Liste_KPI[],COLUMN(Tableau_Liste_KPI[Date fin max]),FALSE),"")</f>
        <v>42978.660416666666</v>
      </c>
      <c r="X11" s="26"/>
    </row>
    <row r="12" spans="1:24" ht="12" customHeight="1" x14ac:dyDescent="0.2">
      <c r="A12" s="25" t="str">
        <f>CONCATENATE(Tableau_Liste_UO[[#This Row],[Code UO]]," ","-"," ")</f>
        <v xml:space="preserve">CESAR-118 - </v>
      </c>
      <c r="B12" s="25" t="s">
        <v>15</v>
      </c>
      <c r="C12" s="25" t="str">
        <f>IFERROR(VLOOKUP(Tableau_Liste_UO[[#This Row],[Code UO]],Tableau_Liste_KPI[],COLUMN(Tableau_Liste_KPI[Description de la demande]),FALSE),"")</f>
        <v>Support - Solman VM Alcea</v>
      </c>
      <c r="D12" s="25" t="str">
        <f>IFERROR(VLOOKUP(Tableau_Liste_UO[[#This Row],[Code UO]],Tableau_Liste_KPI[],COLUMN(Tableau_Liste_KPI[Statut]),FALSE),"")</f>
        <v>Fermé</v>
      </c>
      <c r="E12" s="25" t="str">
        <f>IFERROR(VLOOKUP(Tableau_Liste_UO[[#This Row],[Code UO]],Tableau_Liste_KPI[],COLUMN(Tableau_Liste_KPI[Service]),FALSE),"")</f>
        <v>UO TAO</v>
      </c>
      <c r="F12" s="25" t="str">
        <f>IFERROR(VLOOKUP(Tableau_Liste_UO[[#This Row],[Code UO]],Tableau_Liste_KPI[],COLUMN(Tableau_Liste_KPI[Type UO]),FALSE),"")</f>
        <v>Accompagnement technique à la mise en production</v>
      </c>
      <c r="G12" s="25" t="str">
        <f>IFERROR(VLOOKUP(Tableau_Liste_UO[[#This Row],[Code UO]],Tableau_Liste_KPI[],COLUMN(Tableau_Liste_KPI[Complexite UO]),FALSE),"")</f>
        <v>Moyenne</v>
      </c>
      <c r="H12" s="25" t="str">
        <f>IFERROR(VLOOKUP(Tableau_Liste_UO[[#This Row],[Code UO]],Tableau_Liste_KPI[],COLUMN(Tableau_Liste_KPI[Concatenation]),FALSE),"")</f>
        <v>UO TAO Accompagnement technique à la mise en production</v>
      </c>
      <c r="I12" s="24">
        <f>IFERROR(VLOOKUP(Tableau_Liste_UO[[#This Row],[Code UO]],Tableau_Liste_KPI[],COLUMN(Tableau_Liste_KPI[Date Initialisé]),FALSE),"")</f>
        <v>42926.661192129628</v>
      </c>
      <c r="J12" s="24" t="str">
        <f>IFERROR(VLOOKUP(Tableau_Liste_UO[[#This Row],[Code UO]],Tableau_Liste_KPI[],COLUMN(Tableau_Liste_KPI[Date A valider]),FALSE),"")</f>
        <v/>
      </c>
      <c r="K12" s="24">
        <f>IFERROR(VLOOKUP(Tableau_Liste_UO[[#This Row],[Code UO]],Tableau_Liste_KPI[],COLUMN(Tableau_Liste_KPI[Date Fermé]),FALSE),"")</f>
        <v>43048.686967592592</v>
      </c>
      <c r="L12" s="26">
        <f>IFERROR(VLOOKUP(Tableau_Liste_UO[[#This Row],[Code UO]],Tableau_Liste_KPI[],COLUMN(Tableau_Liste_KPI[Nb jours Initialisé]),FALSE),"")</f>
        <v>-1</v>
      </c>
      <c r="M12" s="26">
        <f>IFERROR(VLOOKUP(Tableau_Liste_UO[[#This Row],[Code UO]],Tableau_Liste_KPI[],COLUMN(Tableau_Liste_KPI[Nb de jours En cours]),FALSE),"")</f>
        <v>14</v>
      </c>
      <c r="N12" s="26">
        <f>IFERROR(VLOOKUP(Tableau_Liste_UO[[#This Row],[Code UO]],Tableau_Liste_KPI[],COLUMN(Tableau_Liste_KPI[Nb de jours Suspend]),FALSE),"")</f>
        <v>0</v>
      </c>
      <c r="O12" s="26" t="str">
        <f>IFERROR(VLOOKUP(Tableau_Liste_UO[[#This Row],[Code UO]],Tableau_Liste_KPI[],COLUMN(Tableau_Liste_KPI[Nb de jour A valider]),FALSE),"")</f>
        <v/>
      </c>
      <c r="P12" s="25">
        <f>IFERROR(VLOOKUP(Tableau_Liste_UO[[#This Row],[Code UO]],Tableau_Liste_KPI[],COLUMN(Tableau_Liste_KPI[DEFF]),FALSE),"")</f>
        <v>13</v>
      </c>
      <c r="Q12" s="26" t="str">
        <f>IFERROR(VLOOKUP(Tableau_Liste_UO[[#This Row],[Code UO]],Tableau_Liste_KPI[],COLUMN(Tableau_Liste_KPI[DMOY]),FALSE),"")</f>
        <v/>
      </c>
      <c r="R12" s="26" t="str">
        <f>IFERROR(VLOOKUP(Tableau_Liste_UO[[#This Row],[Code UO]],Tableau_Liste_KPI[],COLUMN(Tableau_Liste_KPI[DMAX]),FALSE),"")</f>
        <v/>
      </c>
      <c r="S12" s="39" t="str">
        <f>IFERROR(VLOOKUP(Tableau_Liste_UO[[#This Row],[Code UO]],Tableau_Liste_KPI[],COLUMN(Tableau_Liste_KPI[Date de livraison souhaitée]),FALSE),"")</f>
        <v/>
      </c>
      <c r="T12" s="39" t="str">
        <f>IFERROR(VLOOKUP(Tableau_Liste_UO[[#This Row],[Code UO]],Tableau_Liste_KPI[],COLUMN(Tableau_Liste_KPI[Date de livraison prévisionnelle]),FALSE),"")</f>
        <v/>
      </c>
      <c r="U12" s="39" t="str">
        <f>IFERROR(VLOOKUP(Tableau_Liste_UO[[#This Row],[Code UO]],Tableau_Liste_KPI[],COLUMN(Tableau_Liste_KPI[Date de livraison prévisionnelle révisée]),FALSE),"")</f>
        <v/>
      </c>
      <c r="V12" s="39">
        <f>IFERROR(VLOOKUP(Tableau_Liste_UO[[#This Row],[Code UO]],Tableau_Liste_KPI[],COLUMN(Tableau_Liste_KPI[Date fin moy]),FALSE),"")</f>
        <v>42978.660416666666</v>
      </c>
      <c r="W12" s="39">
        <f>IFERROR(VLOOKUP(Tableau_Liste_UO[[#This Row],[Code UO]],Tableau_Liste_KPI[],COLUMN(Tableau_Liste_KPI[Date fin max]),FALSE),"")</f>
        <v>42978.660416666666</v>
      </c>
      <c r="X12" s="26"/>
    </row>
    <row r="13" spans="1:24" ht="12" customHeight="1" x14ac:dyDescent="0.2">
      <c r="A13" s="63" t="str">
        <f>CONCATENATE(Tableau_Liste_UO[[#This Row],[Code UO]]," ","-"," ")</f>
        <v xml:space="preserve">CESAR-119 - </v>
      </c>
      <c r="B13" s="63" t="s">
        <v>17</v>
      </c>
      <c r="C13" s="63" t="str">
        <f>IFERROR(VLOOKUP(Tableau_Liste_UO[[#This Row],[Code UO]],Tableau_Liste_KPI[],COLUMN(Tableau_Liste_KPI[Description de la demande]),FALSE),"")</f>
        <v>Réalisation TASD Univers - multitenant EF30</v>
      </c>
      <c r="D13" s="63" t="str">
        <f>IFERROR(VLOOKUP(Tableau_Liste_UO[[#This Row],[Code UO]],Tableau_Liste_KPI[],COLUMN(Tableau_Liste_KPI[Statut]),FALSE),"")</f>
        <v>Fermé</v>
      </c>
      <c r="E13" s="63" t="str">
        <f>IFERROR(VLOOKUP(Tableau_Liste_UO[[#This Row],[Code UO]],Tableau_Liste_KPI[],COLUMN(Tableau_Liste_KPI[Service]),FALSE),"")</f>
        <v>UO AAT</v>
      </c>
      <c r="F13" s="63" t="str">
        <f>IFERROR(VLOOKUP(Tableau_Liste_UO[[#This Row],[Code UO]],Tableau_Liste_KPI[],COLUMN(Tableau_Liste_KPI[Type UO]),FALSE),"")</f>
        <v>Accompagnement technique à la mise en production</v>
      </c>
      <c r="G13" s="63" t="str">
        <f>IFERROR(VLOOKUP(Tableau_Liste_UO[[#This Row],[Code UO]],Tableau_Liste_KPI[],COLUMN(Tableau_Liste_KPI[Complexite UO]),FALSE),"")</f>
        <v>Faible</v>
      </c>
      <c r="H13" s="63" t="str">
        <f>IFERROR(VLOOKUP(Tableau_Liste_UO[[#This Row],[Code UO]],Tableau_Liste_KPI[],COLUMN(Tableau_Liste_KPI[Concatenation]),FALSE),"")</f>
        <v>UO AAT Accompagnement technique à la mise en production</v>
      </c>
      <c r="I13" s="6">
        <f>IFERROR(VLOOKUP(Tableau_Liste_UO[[#This Row],[Code UO]],Tableau_Liste_KPI[],COLUMN(Tableau_Liste_KPI[Date Initialisé]),FALSE),"")</f>
        <v>42933.7190162037</v>
      </c>
      <c r="J13" s="6" t="str">
        <f>IFERROR(VLOOKUP(Tableau_Liste_UO[[#This Row],[Code UO]],Tableau_Liste_KPI[],COLUMN(Tableau_Liste_KPI[Date A valider]),FALSE),"")</f>
        <v/>
      </c>
      <c r="K13" s="6">
        <f>IFERROR(VLOOKUP(Tableau_Liste_UO[[#This Row],[Code UO]],Tableau_Liste_KPI[],COLUMN(Tableau_Liste_KPI[Date Fermé]),FALSE),"")</f>
        <v>43063.687604166669</v>
      </c>
      <c r="L13" s="13">
        <f>IFERROR(VLOOKUP(Tableau_Liste_UO[[#This Row],[Code UO]],Tableau_Liste_KPI[],COLUMN(Tableau_Liste_KPI[Nb jours Initialisé]),FALSE),"")</f>
        <v>-1</v>
      </c>
      <c r="M13" s="13">
        <f>IFERROR(VLOOKUP(Tableau_Liste_UO[[#This Row],[Code UO]],Tableau_Liste_KPI[],COLUMN(Tableau_Liste_KPI[Nb de jours En cours]),FALSE),"")</f>
        <v>68</v>
      </c>
      <c r="N13" s="13">
        <f>IFERROR(VLOOKUP(Tableau_Liste_UO[[#This Row],[Code UO]],Tableau_Liste_KPI[],COLUMN(Tableau_Liste_KPI[Nb de jours Suspend]),FALSE),"")</f>
        <v>0</v>
      </c>
      <c r="O13" s="13" t="str">
        <f>IFERROR(VLOOKUP(Tableau_Liste_UO[[#This Row],[Code UO]],Tableau_Liste_KPI[],COLUMN(Tableau_Liste_KPI[Nb de jour A valider]),FALSE),"")</f>
        <v/>
      </c>
      <c r="P13" s="63">
        <f>IFERROR(VLOOKUP(Tableau_Liste_UO[[#This Row],[Code UO]],Tableau_Liste_KPI[],COLUMN(Tableau_Liste_KPI[DEFF]),FALSE),"")</f>
        <v>67</v>
      </c>
      <c r="Q13" s="13" t="str">
        <f>IFERROR(VLOOKUP(Tableau_Liste_UO[[#This Row],[Code UO]],Tableau_Liste_KPI[],COLUMN(Tableau_Liste_KPI[DMOY]),FALSE),"")</f>
        <v/>
      </c>
      <c r="R13" s="13" t="str">
        <f>IFERROR(VLOOKUP(Tableau_Liste_UO[[#This Row],[Code UO]],Tableau_Liste_KPI[],COLUMN(Tableau_Liste_KPI[DMAX]),FALSE),"")</f>
        <v/>
      </c>
      <c r="S13" s="33">
        <f>IFERROR(VLOOKUP(Tableau_Liste_UO[[#This Row],[Code UO]],Tableau_Liste_KPI[],COLUMN(Tableau_Liste_KPI[Date de livraison souhaitée]),FALSE),"")</f>
        <v>42947.75</v>
      </c>
      <c r="T13" s="33" t="str">
        <f>IFERROR(VLOOKUP(Tableau_Liste_UO[[#This Row],[Code UO]],Tableau_Liste_KPI[],COLUMN(Tableau_Liste_KPI[Date de livraison prévisionnelle]),FALSE),"")</f>
        <v/>
      </c>
      <c r="U13" s="33" t="str">
        <f>IFERROR(VLOOKUP(Tableau_Liste_UO[[#This Row],[Code UO]],Tableau_Liste_KPI[],COLUMN(Tableau_Liste_KPI[Date de livraison prévisionnelle révisée]),FALSE),"")</f>
        <v/>
      </c>
      <c r="V13" s="33">
        <f>IFERROR(VLOOKUP(Tableau_Liste_UO[[#This Row],[Code UO]],Tableau_Liste_KPI[],COLUMN(Tableau_Liste_KPI[Date fin moy]),FALSE),"")</f>
        <v>42962.731249999997</v>
      </c>
      <c r="W13" s="33">
        <f>IFERROR(VLOOKUP(Tableau_Liste_UO[[#This Row],[Code UO]],Tableau_Liste_KPI[],COLUMN(Tableau_Liste_KPI[Date fin max]),FALSE),"")</f>
        <v>42962.731249999997</v>
      </c>
      <c r="X13" s="13"/>
    </row>
    <row r="14" spans="1:24" ht="12" customHeight="1" x14ac:dyDescent="0.2">
      <c r="A14" s="63" t="str">
        <f>CONCATENATE(Tableau_Liste_UO[[#This Row],[Code UO]]," ","-"," ")</f>
        <v xml:space="preserve">CESAR-328 - </v>
      </c>
      <c r="B14" s="63" t="s">
        <v>670</v>
      </c>
      <c r="C14" s="63" t="str">
        <f>IFERROR(VLOOKUP(Tableau_Liste_UO[[#This Row],[Code UO]],Tableau_Liste_KPI[],COLUMN(Tableau_Liste_KPI[Description de la demande]),FALSE),"")</f>
        <v>GDD-13243 - Mise à disposition d'une VM Linux RHE 7.X pour développement FPGA - capture</v>
      </c>
      <c r="D14" s="63" t="str">
        <f>IFERROR(VLOOKUP(Tableau_Liste_UO[[#This Row],[Code UO]],Tableau_Liste_KPI[],COLUMN(Tableau_Liste_KPI[Statut]),FALSE),"")</f>
        <v>Initialisé</v>
      </c>
      <c r="E14" s="63" t="str">
        <f>IFERROR(VLOOKUP(Tableau_Liste_UO[[#This Row],[Code UO]],Tableau_Liste_KPI[],COLUMN(Tableau_Liste_KPI[Service]),FALSE),"")</f>
        <v>UO AAT</v>
      </c>
      <c r="F14" s="63" t="str">
        <f>IFERROR(VLOOKUP(Tableau_Liste_UO[[#This Row],[Code UO]],Tableau_Liste_KPI[],COLUMN(Tableau_Liste_KPI[Type UO]),FALSE),"")</f>
        <v>Capture</v>
      </c>
      <c r="G14" s="63" t="str">
        <f>IFERROR(VLOOKUP(Tableau_Liste_UO[[#This Row],[Code UO]],Tableau_Liste_KPI[],COLUMN(Tableau_Liste_KPI[Complexite UO]),FALSE),"")</f>
        <v>Faible</v>
      </c>
      <c r="H14" s="63" t="str">
        <f>IFERROR(VLOOKUP(Tableau_Liste_UO[[#This Row],[Code UO]],Tableau_Liste_KPI[],COLUMN(Tableau_Liste_KPI[Concatenation]),FALSE),"")</f>
        <v>UO AAT Capture Faible</v>
      </c>
      <c r="I14" s="6" t="str">
        <f>IFERROR(VLOOKUP(Tableau_Liste_UO[[#This Row],[Code UO]],Tableau_Liste_KPI[],COLUMN(Tableau_Liste_KPI[Date Initialisé]),FALSE),"")</f>
        <v/>
      </c>
      <c r="J14" s="6" t="str">
        <f>IFERROR(VLOOKUP(Tableau_Liste_UO[[#This Row],[Code UO]],Tableau_Liste_KPI[],COLUMN(Tableau_Liste_KPI[Date A valider]),FALSE),"")</f>
        <v/>
      </c>
      <c r="K14" s="6" t="str">
        <f>IFERROR(VLOOKUP(Tableau_Liste_UO[[#This Row],[Code UO]],Tableau_Liste_KPI[],COLUMN(Tableau_Liste_KPI[Date Fermé]),FALSE),"")</f>
        <v/>
      </c>
      <c r="L14" s="13">
        <f>IFERROR(VLOOKUP(Tableau_Liste_UO[[#This Row],[Code UO]],Tableau_Liste_KPI[],COLUMN(Tableau_Liste_KPI[Nb jours Initialisé]),FALSE),"")</f>
        <v>0</v>
      </c>
      <c r="M14" s="13">
        <f>IFERROR(VLOOKUP(Tableau_Liste_UO[[#This Row],[Code UO]],Tableau_Liste_KPI[],COLUMN(Tableau_Liste_KPI[Nb de jours En cours]),FALSE),"")</f>
        <v>0</v>
      </c>
      <c r="N14" s="13">
        <f>IFERROR(VLOOKUP(Tableau_Liste_UO[[#This Row],[Code UO]],Tableau_Liste_KPI[],COLUMN(Tableau_Liste_KPI[Nb de jours Suspend]),FALSE),"")</f>
        <v>0</v>
      </c>
      <c r="O14" s="13" t="str">
        <f>IFERROR(VLOOKUP(Tableau_Liste_UO[[#This Row],[Code UO]],Tableau_Liste_KPI[],COLUMN(Tableau_Liste_KPI[Nb de jour A valider]),FALSE),"")</f>
        <v/>
      </c>
      <c r="P14" s="63" t="str">
        <f>IFERROR(VLOOKUP(Tableau_Liste_UO[[#This Row],[Code UO]],Tableau_Liste_KPI[],COLUMN(Tableau_Liste_KPI[DEFF]),FALSE),"")</f>
        <v/>
      </c>
      <c r="Q14" s="13">
        <f>IFERROR(VLOOKUP(Tableau_Liste_UO[[#This Row],[Code UO]],Tableau_Liste_KPI[],COLUMN(Tableau_Liste_KPI[DMOY]),FALSE),"")</f>
        <v>2</v>
      </c>
      <c r="R14" s="13">
        <f>IFERROR(VLOOKUP(Tableau_Liste_UO[[#This Row],[Code UO]],Tableau_Liste_KPI[],COLUMN(Tableau_Liste_KPI[DMAX]),FALSE),"")</f>
        <v>5</v>
      </c>
      <c r="S14" s="33" t="str">
        <f>IFERROR(VLOOKUP(Tableau_Liste_UO[[#This Row],[Code UO]],Tableau_Liste_KPI[],COLUMN(Tableau_Liste_KPI[Date de livraison souhaitée]),FALSE),"")</f>
        <v/>
      </c>
      <c r="T14" s="33" t="str">
        <f>IFERROR(VLOOKUP(Tableau_Liste_UO[[#This Row],[Code UO]],Tableau_Liste_KPI[],COLUMN(Tableau_Liste_KPI[Date de livraison prévisionnelle]),FALSE),"")</f>
        <v/>
      </c>
      <c r="U14" s="33" t="str">
        <f>IFERROR(VLOOKUP(Tableau_Liste_UO[[#This Row],[Code UO]],Tableau_Liste_KPI[],COLUMN(Tableau_Liste_KPI[Date de livraison prévisionnelle révisée]),FALSE),"")</f>
        <v/>
      </c>
      <c r="V14" s="33" t="str">
        <f>IFERROR(VLOOKUP(Tableau_Liste_UO[[#This Row],[Code UO]],Tableau_Liste_KPI[],COLUMN(Tableau_Liste_KPI[Date fin moy]),FALSE),"")</f>
        <v/>
      </c>
      <c r="W14" s="33" t="str">
        <f>IFERROR(VLOOKUP(Tableau_Liste_UO[[#This Row],[Code UO]],Tableau_Liste_KPI[],COLUMN(Tableau_Liste_KPI[Date fin max]),FALSE),"")</f>
        <v/>
      </c>
      <c r="X14" s="13"/>
    </row>
    <row r="15" spans="1:24" ht="12" customHeight="1" x14ac:dyDescent="0.2">
      <c r="A15" s="63" t="str">
        <f>CONCATENATE(Tableau_Liste_UO[[#This Row],[Code UO]]," ","-"," ")</f>
        <v xml:space="preserve">CESAR-327 - </v>
      </c>
      <c r="B15" s="63" t="s">
        <v>666</v>
      </c>
      <c r="C15" s="63" t="str">
        <f>IFERROR(VLOOKUP(Tableau_Liste_UO[[#This Row],[Code UO]],Tableau_Liste_KPI[],COLUMN(Tableau_Liste_KPI[Description de la demande]),FALSE),"")</f>
        <v>Connecteur Puppet - vRA/vRO</v>
      </c>
      <c r="D15" s="63" t="str">
        <f>IFERROR(VLOOKUP(Tableau_Liste_UO[[#This Row],[Code UO]],Tableau_Liste_KPI[],COLUMN(Tableau_Liste_KPI[Statut]),FALSE),"")</f>
        <v>En Cours</v>
      </c>
      <c r="E15" s="63" t="str">
        <f>IFERROR(VLOOKUP(Tableau_Liste_UO[[#This Row],[Code UO]],Tableau_Liste_KPI[],COLUMN(Tableau_Liste_KPI[Service]),FALSE),"")</f>
        <v>UO AAT</v>
      </c>
      <c r="F15" s="63" t="str">
        <f>IFERROR(VLOOKUP(Tableau_Liste_UO[[#This Row],[Code UO]],Tableau_Liste_KPI[],COLUMN(Tableau_Liste_KPI[Type UO]),FALSE),"")</f>
        <v>Accompagnement technique à la mise en production</v>
      </c>
      <c r="G15" s="63" t="str">
        <f>IFERROR(VLOOKUP(Tableau_Liste_UO[[#This Row],[Code UO]],Tableau_Liste_KPI[],COLUMN(Tableau_Liste_KPI[Complexite UO]),FALSE),"")</f>
        <v>Moyenne</v>
      </c>
      <c r="H15" s="63" t="str">
        <f>IFERROR(VLOOKUP(Tableau_Liste_UO[[#This Row],[Code UO]],Tableau_Liste_KPI[],COLUMN(Tableau_Liste_KPI[Concatenation]),FALSE),"")</f>
        <v>UO AAT Accompagnement technique à la mise en production</v>
      </c>
      <c r="I15" s="6">
        <f>IFERROR(VLOOKUP(Tableau_Liste_UO[[#This Row],[Code UO]],Tableau_Liste_KPI[],COLUMN(Tableau_Liste_KPI[Date Initialisé]),FALSE),"")</f>
        <v>43090.423298611109</v>
      </c>
      <c r="J15" s="6" t="str">
        <f>IFERROR(VLOOKUP(Tableau_Liste_UO[[#This Row],[Code UO]],Tableau_Liste_KPI[],COLUMN(Tableau_Liste_KPI[Date A valider]),FALSE),"")</f>
        <v/>
      </c>
      <c r="K15" s="6" t="str">
        <f>IFERROR(VLOOKUP(Tableau_Liste_UO[[#This Row],[Code UO]],Tableau_Liste_KPI[],COLUMN(Tableau_Liste_KPI[Date Fermé]),FALSE),"")</f>
        <v/>
      </c>
      <c r="L15" s="13">
        <f>IFERROR(VLOOKUP(Tableau_Liste_UO[[#This Row],[Code UO]],Tableau_Liste_KPI[],COLUMN(Tableau_Liste_KPI[Nb jours Initialisé]),FALSE),"")</f>
        <v>0</v>
      </c>
      <c r="M15" s="13">
        <f>IFERROR(VLOOKUP(Tableau_Liste_UO[[#This Row],[Code UO]],Tableau_Liste_KPI[],COLUMN(Tableau_Liste_KPI[Nb de jours En cours]),FALSE),"")</f>
        <v>1</v>
      </c>
      <c r="N15" s="13">
        <f>IFERROR(VLOOKUP(Tableau_Liste_UO[[#This Row],[Code UO]],Tableau_Liste_KPI[],COLUMN(Tableau_Liste_KPI[Nb de jours Suspend]),FALSE),"")</f>
        <v>0</v>
      </c>
      <c r="O15" s="13" t="str">
        <f>IFERROR(VLOOKUP(Tableau_Liste_UO[[#This Row],[Code UO]],Tableau_Liste_KPI[],COLUMN(Tableau_Liste_KPI[Nb de jour A valider]),FALSE),"")</f>
        <v/>
      </c>
      <c r="P15" s="63">
        <f>IFERROR(VLOOKUP(Tableau_Liste_UO[[#This Row],[Code UO]],Tableau_Liste_KPI[],COLUMN(Tableau_Liste_KPI[DEFF]),FALSE),"")</f>
        <v>1</v>
      </c>
      <c r="Q15" s="13" t="str">
        <f>IFERROR(VLOOKUP(Tableau_Liste_UO[[#This Row],[Code UO]],Tableau_Liste_KPI[],COLUMN(Tableau_Liste_KPI[DMOY]),FALSE),"")</f>
        <v/>
      </c>
      <c r="R15" s="13" t="str">
        <f>IFERROR(VLOOKUP(Tableau_Liste_UO[[#This Row],[Code UO]],Tableau_Liste_KPI[],COLUMN(Tableau_Liste_KPI[DMAX]),FALSE),"")</f>
        <v/>
      </c>
      <c r="S15" s="33" t="str">
        <f>IFERROR(VLOOKUP(Tableau_Liste_UO[[#This Row],[Code UO]],Tableau_Liste_KPI[],COLUMN(Tableau_Liste_KPI[Date de livraison souhaitée]),FALSE),"")</f>
        <v/>
      </c>
      <c r="T15" s="33" t="str">
        <f>IFERROR(VLOOKUP(Tableau_Liste_UO[[#This Row],[Code UO]],Tableau_Liste_KPI[],COLUMN(Tableau_Liste_KPI[Date de livraison prévisionnelle]),FALSE),"")</f>
        <v/>
      </c>
      <c r="U15" s="33" t="str">
        <f>IFERROR(VLOOKUP(Tableau_Liste_UO[[#This Row],[Code UO]],Tableau_Liste_KPI[],COLUMN(Tableau_Liste_KPI[Date de livraison prévisionnelle révisée]),FALSE),"")</f>
        <v/>
      </c>
      <c r="V15" s="33">
        <f>IFERROR(VLOOKUP(Tableau_Liste_UO[[#This Row],[Code UO]],Tableau_Liste_KPI[],COLUMN(Tableau_Liste_KPI[Date fin moy]),FALSE),"")</f>
        <v>43131.419444444444</v>
      </c>
      <c r="W15" s="33">
        <f>IFERROR(VLOOKUP(Tableau_Liste_UO[[#This Row],[Code UO]],Tableau_Liste_KPI[],COLUMN(Tableau_Liste_KPI[Date fin max]),FALSE),"")</f>
        <v>43131.419444444444</v>
      </c>
      <c r="X15" s="13"/>
    </row>
    <row r="16" spans="1:24" ht="12" customHeight="1" x14ac:dyDescent="0.2">
      <c r="A16" s="21" t="str">
        <f>CONCATENATE(Tableau_Liste_UO[[#This Row],[Code UO]]," ","-"," ")</f>
        <v xml:space="preserve">CESAR-325 - </v>
      </c>
      <c r="B16" s="21" t="s">
        <v>664</v>
      </c>
      <c r="C16" s="21" t="str">
        <f>IFERROR(VLOOKUP(Tableau_Liste_UO[[#This Row],[Code UO]],Tableau_Liste_KPI[],COLUMN(Tableau_Liste_KPI[Description de la demande]),FALSE),"")</f>
        <v>SOW - GDD-13212 : Mise à jour CSA pré production 13i vers 16c</v>
      </c>
      <c r="D16" s="63" t="str">
        <f>IFERROR(VLOOKUP(Tableau_Liste_UO[[#This Row],[Code UO]],Tableau_Liste_KPI[],COLUMN(Tableau_Liste_KPI[Statut]),FALSE),"")</f>
        <v xml:space="preserve">Suspendu </v>
      </c>
      <c r="E16" s="21" t="str">
        <f>IFERROR(VLOOKUP(Tableau_Liste_UO[[#This Row],[Code UO]],Tableau_Liste_KPI[],COLUMN(Tableau_Liste_KPI[Service]),FALSE),"")</f>
        <v>UO TAO</v>
      </c>
      <c r="F16" s="21" t="str">
        <f>IFERROR(VLOOKUP(Tableau_Liste_UO[[#This Row],[Code UO]],Tableau_Liste_KPI[],COLUMN(Tableau_Liste_KPI[Type UO]),FALSE),"")</f>
        <v>Enoncé de travaux de chiffrage</v>
      </c>
      <c r="G16" s="21" t="str">
        <f>IFERROR(VLOOKUP(Tableau_Liste_UO[[#This Row],[Code UO]],Tableau_Liste_KPI[],COLUMN(Tableau_Liste_KPI[Complexite UO]),FALSE),"")</f>
        <v/>
      </c>
      <c r="H16" s="21" t="str">
        <f>IFERROR(VLOOKUP(Tableau_Liste_UO[[#This Row],[Code UO]],Tableau_Liste_KPI[],COLUMN(Tableau_Liste_KPI[Concatenation]),FALSE),"")</f>
        <v>UO TAO Enoncé de travaux de chiffrage</v>
      </c>
      <c r="I16" s="22">
        <f>IFERROR(VLOOKUP(Tableau_Liste_UO[[#This Row],[Code UO]],Tableau_Liste_KPI[],COLUMN(Tableau_Liste_KPI[Date Initialisé]),FALSE),"")</f>
        <v>43084.49113425926</v>
      </c>
      <c r="J16" s="22" t="str">
        <f>IFERROR(VLOOKUP(Tableau_Liste_UO[[#This Row],[Code UO]],Tableau_Liste_KPI[],COLUMN(Tableau_Liste_KPI[Date A valider]),FALSE),"")</f>
        <v/>
      </c>
      <c r="K16" s="22" t="str">
        <f>IFERROR(VLOOKUP(Tableau_Liste_UO[[#This Row],[Code UO]],Tableau_Liste_KPI[],COLUMN(Tableau_Liste_KPI[Date Fermé]),FALSE),"")</f>
        <v/>
      </c>
      <c r="L16" s="23">
        <f>IFERROR(VLOOKUP(Tableau_Liste_UO[[#This Row],[Code UO]],Tableau_Liste_KPI[],COLUMN(Tableau_Liste_KPI[Nb jours Initialisé]),FALSE),"")</f>
        <v>0</v>
      </c>
      <c r="M16" s="23">
        <f>IFERROR(VLOOKUP(Tableau_Liste_UO[[#This Row],[Code UO]],Tableau_Liste_KPI[],COLUMN(Tableau_Liste_KPI[Nb de jours En cours]),FALSE),"")</f>
        <v>2</v>
      </c>
      <c r="N16" s="23">
        <f>IFERROR(VLOOKUP(Tableau_Liste_UO[[#This Row],[Code UO]],Tableau_Liste_KPI[],COLUMN(Tableau_Liste_KPI[Nb de jours Suspend]),FALSE),"")</f>
        <v>3</v>
      </c>
      <c r="O16" s="23" t="str">
        <f>IFERROR(VLOOKUP(Tableau_Liste_UO[[#This Row],[Code UO]],Tableau_Liste_KPI[],COLUMN(Tableau_Liste_KPI[Nb de jour A valider]),FALSE),"")</f>
        <v/>
      </c>
      <c r="P16" s="21">
        <f>IFERROR(VLOOKUP(Tableau_Liste_UO[[#This Row],[Code UO]],Tableau_Liste_KPI[],COLUMN(Tableau_Liste_KPI[DEFF]),FALSE),"")</f>
        <v>2</v>
      </c>
      <c r="Q16" s="23">
        <f>IFERROR(VLOOKUP(Tableau_Liste_UO[[#This Row],[Code UO]],Tableau_Liste_KPI[],COLUMN(Tableau_Liste_KPI[DMOY]),FALSE),"")</f>
        <v>10</v>
      </c>
      <c r="R16" s="23">
        <f>IFERROR(VLOOKUP(Tableau_Liste_UO[[#This Row],[Code UO]],Tableau_Liste_KPI[],COLUMN(Tableau_Liste_KPI[DMAX]),FALSE),"")</f>
        <v>15</v>
      </c>
      <c r="S16" s="36" t="str">
        <f>IFERROR(VLOOKUP(Tableau_Liste_UO[[#This Row],[Code UO]],Tableau_Liste_KPI[],COLUMN(Tableau_Liste_KPI[Date de livraison souhaitée]),FALSE),"")</f>
        <v/>
      </c>
      <c r="T16" s="36">
        <f>IFERROR(VLOOKUP(Tableau_Liste_UO[[#This Row],[Code UO]],Tableau_Liste_KPI[],COLUMN(Tableau_Liste_KPI[Date de livraison prévisionnelle]),FALSE),"")</f>
        <v>43091.493055555555</v>
      </c>
      <c r="U16" s="36" t="str">
        <f>IFERROR(VLOOKUP(Tableau_Liste_UO[[#This Row],[Code UO]],Tableau_Liste_KPI[],COLUMN(Tableau_Liste_KPI[Date de livraison prévisionnelle révisée]),FALSE),"")</f>
        <v/>
      </c>
      <c r="V16" s="36">
        <f>IFERROR(VLOOKUP(Tableau_Liste_UO[[#This Row],[Code UO]],Tableau_Liste_KPI[],COLUMN(Tableau_Liste_KPI[Date fin moy]),FALSE),"")</f>
        <v>43111</v>
      </c>
      <c r="W16" s="36">
        <f>IFERROR(VLOOKUP(Tableau_Liste_UO[[#This Row],[Code UO]],Tableau_Liste_KPI[],COLUMN(Tableau_Liste_KPI[Date fin max]),FALSE),"")</f>
        <v>43118</v>
      </c>
      <c r="X16" s="23"/>
    </row>
    <row r="17" spans="1:24" ht="12" customHeight="1" x14ac:dyDescent="0.2">
      <c r="A17" s="63" t="str">
        <f>CONCATENATE(Tableau_Liste_UO[[#This Row],[Code UO]]," ","-"," ")</f>
        <v xml:space="preserve"> - </v>
      </c>
      <c r="B17" s="63"/>
      <c r="C17" s="63" t="str">
        <f>IFERROR(VLOOKUP(Tableau_Liste_UO[[#This Row],[Code UO]],Tableau_Liste_KPI[],COLUMN(Tableau_Liste_KPI[Description de la demande]),FALSE),"")</f>
        <v/>
      </c>
      <c r="D17" s="63" t="str">
        <f>IFERROR(VLOOKUP(Tableau_Liste_UO[[#This Row],[Code UO]],Tableau_Liste_KPI[],COLUMN(Tableau_Liste_KPI[Statut]),FALSE),"")</f>
        <v/>
      </c>
      <c r="E17" s="63" t="str">
        <f>IFERROR(VLOOKUP(Tableau_Liste_UO[[#This Row],[Code UO]],Tableau_Liste_KPI[],COLUMN(Tableau_Liste_KPI[Service]),FALSE),"")</f>
        <v/>
      </c>
      <c r="F17" s="63" t="str">
        <f>IFERROR(VLOOKUP(Tableau_Liste_UO[[#This Row],[Code UO]],Tableau_Liste_KPI[],COLUMN(Tableau_Liste_KPI[Type UO]),FALSE),"")</f>
        <v/>
      </c>
      <c r="G17" s="63" t="str">
        <f>IFERROR(VLOOKUP(Tableau_Liste_UO[[#This Row],[Code UO]],Tableau_Liste_KPI[],COLUMN(Tableau_Liste_KPI[Complexite UO]),FALSE),"")</f>
        <v/>
      </c>
      <c r="H17" s="63" t="str">
        <f>IFERROR(VLOOKUP(Tableau_Liste_UO[[#This Row],[Code UO]],Tableau_Liste_KPI[],COLUMN(Tableau_Liste_KPI[Concatenation]),FALSE),"")</f>
        <v/>
      </c>
      <c r="I17" s="6" t="str">
        <f>IFERROR(VLOOKUP(Tableau_Liste_UO[[#This Row],[Code UO]],Tableau_Liste_KPI[],COLUMN(Tableau_Liste_KPI[Date Initialisé]),FALSE),"")</f>
        <v/>
      </c>
      <c r="J17" s="6" t="str">
        <f>IFERROR(VLOOKUP(Tableau_Liste_UO[[#This Row],[Code UO]],Tableau_Liste_KPI[],COLUMN(Tableau_Liste_KPI[Date A valider]),FALSE),"")</f>
        <v/>
      </c>
      <c r="K17" s="6" t="str">
        <f>IFERROR(VLOOKUP(Tableau_Liste_UO[[#This Row],[Code UO]],Tableau_Liste_KPI[],COLUMN(Tableau_Liste_KPI[Date Fermé]),FALSE),"")</f>
        <v/>
      </c>
      <c r="L17" s="13" t="str">
        <f>IFERROR(VLOOKUP(Tableau_Liste_UO[[#This Row],[Code UO]],Tableau_Liste_KPI[],COLUMN(Tableau_Liste_KPI[Nb jours Initialisé]),FALSE),"")</f>
        <v/>
      </c>
      <c r="M17" s="13" t="str">
        <f>IFERROR(VLOOKUP(Tableau_Liste_UO[[#This Row],[Code UO]],Tableau_Liste_KPI[],COLUMN(Tableau_Liste_KPI[Nb de jours En cours]),FALSE),"")</f>
        <v/>
      </c>
      <c r="N17" s="13" t="str">
        <f>IFERROR(VLOOKUP(Tableau_Liste_UO[[#This Row],[Code UO]],Tableau_Liste_KPI[],COLUMN(Tableau_Liste_KPI[Nb de jours Suspend]),FALSE),"")</f>
        <v/>
      </c>
      <c r="O17" s="13" t="str">
        <f>IFERROR(VLOOKUP(Tableau_Liste_UO[[#This Row],[Code UO]],Tableau_Liste_KPI[],COLUMN(Tableau_Liste_KPI[Nb de jour A valider]),FALSE),"")</f>
        <v/>
      </c>
      <c r="P17" s="63" t="str">
        <f>IFERROR(VLOOKUP(Tableau_Liste_UO[[#This Row],[Code UO]],Tableau_Liste_KPI[],COLUMN(Tableau_Liste_KPI[DEFF]),FALSE),"")</f>
        <v/>
      </c>
      <c r="Q17" s="13" t="str">
        <f>IFERROR(VLOOKUP(Tableau_Liste_UO[[#This Row],[Code UO]],Tableau_Liste_KPI[],COLUMN(Tableau_Liste_KPI[DMOY]),FALSE),"")</f>
        <v/>
      </c>
      <c r="R17" s="13" t="str">
        <f>IFERROR(VLOOKUP(Tableau_Liste_UO[[#This Row],[Code UO]],Tableau_Liste_KPI[],COLUMN(Tableau_Liste_KPI[DMAX]),FALSE),"")</f>
        <v/>
      </c>
      <c r="S17" s="33" t="str">
        <f>IFERROR(VLOOKUP(Tableau_Liste_UO[[#This Row],[Code UO]],Tableau_Liste_KPI[],COLUMN(Tableau_Liste_KPI[Date de livraison souhaitée]),FALSE),"")</f>
        <v/>
      </c>
      <c r="T17" s="33" t="str">
        <f>IFERROR(VLOOKUP(Tableau_Liste_UO[[#This Row],[Code UO]],Tableau_Liste_KPI[],COLUMN(Tableau_Liste_KPI[Date de livraison prévisionnelle]),FALSE),"")</f>
        <v/>
      </c>
      <c r="U17" s="33" t="str">
        <f>IFERROR(VLOOKUP(Tableau_Liste_UO[[#This Row],[Code UO]],Tableau_Liste_KPI[],COLUMN(Tableau_Liste_KPI[Date de livraison prévisionnelle révisée]),FALSE),"")</f>
        <v/>
      </c>
      <c r="V17" s="33" t="str">
        <f>IFERROR(VLOOKUP(Tableau_Liste_UO[[#This Row],[Code UO]],Tableau_Liste_KPI[],COLUMN(Tableau_Liste_KPI[Date fin moy]),FALSE),"")</f>
        <v/>
      </c>
      <c r="W17" s="33" t="str">
        <f>IFERROR(VLOOKUP(Tableau_Liste_UO[[#This Row],[Code UO]],Tableau_Liste_KPI[],COLUMN(Tableau_Liste_KPI[Date fin max]),FALSE),"")</f>
        <v/>
      </c>
      <c r="X17" s="13"/>
    </row>
  </sheetData>
  <sortState ref="A1:AT364">
    <sortCondition ref="B2"/>
  </sortState>
  <conditionalFormatting sqref="B5:B1048576">
    <cfRule type="duplicateValues" dxfId="16" priority="4049"/>
  </conditionalFormatting>
  <conditionalFormatting sqref="V5:V1048576">
    <cfRule type="expression" dxfId="15" priority="4060">
      <formula>#REF!="KO"</formula>
    </cfRule>
  </conditionalFormatting>
  <conditionalFormatting sqref="U18:U1048576">
    <cfRule type="expression" dxfId="14" priority="4061">
      <formula>#REF!="KO"</formula>
    </cfRule>
  </conditionalFormatting>
  <conditionalFormatting sqref="U5:U1048576">
    <cfRule type="expression" dxfId="13" priority="4062">
      <formula>#REF!="KO"</formula>
    </cfRule>
  </conditionalFormatting>
  <conditionalFormatting sqref="A18:X1048576">
    <cfRule type="expression" dxfId="12" priority="4063">
      <formula>OR($D18="Fermé",$D18="Abandonné")</formula>
    </cfRule>
    <cfRule type="expression" dxfId="11" priority="4064">
      <formula>#REF!="KO"</formula>
    </cfRule>
    <cfRule type="expression" dxfId="10" priority="4065">
      <formula>OR(#REF!="Attention", #REF!="Attention")</formula>
    </cfRule>
  </conditionalFormatting>
  <conditionalFormatting sqref="A5:X17">
    <cfRule type="expression" dxfId="9" priority="4066">
      <formula>OR(#REF!="Attention", #REF!="Attention")</formula>
    </cfRule>
  </conditionalFormatting>
  <conditionalFormatting sqref="A5:X1048576">
    <cfRule type="expression" dxfId="8" priority="4067">
      <formula>OR($D5="Fermé",$D5="Abandonné")</formula>
    </cfRule>
    <cfRule type="expression" dxfId="7" priority="4068">
      <formula>#REF!="KO"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Button 1">
              <controlPr defaultSize="0" print="0" autoFill="0" autoPict="0" macro="[0]!Copie_Liste_UO_depuis_KPI">
                <anchor moveWithCells="1" sizeWithCells="1">
                  <from>
                    <xdr:col>0</xdr:col>
                    <xdr:colOff>57150</xdr:colOff>
                    <xdr:row>0</xdr:row>
                    <xdr:rowOff>38100</xdr:rowOff>
                  </from>
                  <to>
                    <xdr:col>0</xdr:col>
                    <xdr:colOff>1104900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tabColor rgb="FF0070C0"/>
  </sheetPr>
  <dimension ref="A1:AJ505"/>
  <sheetViews>
    <sheetView zoomScale="90" zoomScaleNormal="90" workbookViewId="0">
      <pane xSplit="4" ySplit="1" topLeftCell="E317" activePane="bottomRight" state="frozen"/>
      <selection sqref="A1:XFD1"/>
      <selection pane="topRight" sqref="A1:XFD1"/>
      <selection pane="bottomLeft" sqref="A1:XFD1"/>
      <selection pane="bottomRight" activeCell="A332" sqref="A332:XFD354"/>
    </sheetView>
  </sheetViews>
  <sheetFormatPr baseColWidth="10" defaultRowHeight="12.75" outlineLevelCol="1" x14ac:dyDescent="0.2"/>
  <cols>
    <col min="1" max="1" width="30.28515625" style="56" customWidth="1"/>
    <col min="2" max="2" width="44" style="56" customWidth="1"/>
    <col min="3" max="3" width="24.85546875" style="12" customWidth="1"/>
    <col min="4" max="4" width="23.42578125" style="12" customWidth="1"/>
    <col min="5" max="5" width="32.85546875" style="12" customWidth="1"/>
    <col min="6" max="6" width="27.140625" style="12" customWidth="1"/>
    <col min="7" max="7" width="18.28515625" style="13" customWidth="1"/>
    <col min="8" max="8" width="10.7109375" style="59" customWidth="1"/>
    <col min="9" max="9" width="10.7109375" style="12" customWidth="1"/>
    <col min="10" max="10" width="10.7109375" style="56" customWidth="1" outlineLevel="1"/>
    <col min="11" max="11" width="10.7109375" style="69" customWidth="1" outlineLevel="1"/>
    <col min="12" max="12" width="10.7109375" style="12" customWidth="1" outlineLevel="1"/>
    <col min="13" max="13" width="10.7109375" style="57" customWidth="1" outlineLevel="1"/>
    <col min="14" max="14" width="10.7109375" style="58" customWidth="1" outlineLevel="1"/>
    <col min="15" max="16" width="10.7109375" style="12" customWidth="1" outlineLevel="1"/>
    <col min="17" max="24" width="10.7109375" style="6" customWidth="1"/>
    <col min="25" max="26" width="10.7109375" style="12" customWidth="1"/>
    <col min="27" max="27" width="10.7109375" style="57" customWidth="1"/>
    <col min="28" max="28" width="5.7109375" style="56" customWidth="1"/>
    <col min="29" max="29" width="5.7109375" style="57" customWidth="1"/>
    <col min="31" max="31" width="10.5703125" style="57" bestFit="1" customWidth="1"/>
    <col min="32" max="32" width="10.7109375" style="12" bestFit="1" customWidth="1"/>
    <col min="33" max="34" width="10.7109375" style="12" customWidth="1"/>
    <col min="35" max="16384" width="11.42578125" style="12"/>
  </cols>
  <sheetData>
    <row r="1" spans="1:36" s="4" customFormat="1" ht="78.75" customHeight="1" x14ac:dyDescent="0.2">
      <c r="A1" s="4" t="s">
        <v>1</v>
      </c>
      <c r="B1" s="4" t="s">
        <v>3</v>
      </c>
      <c r="C1" s="4" t="s">
        <v>2</v>
      </c>
      <c r="D1" s="4" t="s">
        <v>29</v>
      </c>
      <c r="E1" s="4" t="s">
        <v>31</v>
      </c>
      <c r="F1" s="4" t="s">
        <v>30</v>
      </c>
      <c r="G1" s="4" t="s">
        <v>175</v>
      </c>
      <c r="H1" s="64" t="s">
        <v>674</v>
      </c>
      <c r="I1" s="64" t="s">
        <v>675</v>
      </c>
      <c r="J1" s="64" t="s">
        <v>676</v>
      </c>
      <c r="K1" s="64" t="s">
        <v>677</v>
      </c>
      <c r="L1" s="65" t="s">
        <v>678</v>
      </c>
      <c r="M1" s="65" t="s">
        <v>177</v>
      </c>
      <c r="N1" s="65" t="s">
        <v>679</v>
      </c>
      <c r="O1" s="65" t="s">
        <v>680</v>
      </c>
      <c r="P1" s="65" t="s">
        <v>179</v>
      </c>
      <c r="Q1" s="66" t="s">
        <v>180</v>
      </c>
      <c r="R1" s="66" t="s">
        <v>181</v>
      </c>
      <c r="S1" s="66" t="s">
        <v>182</v>
      </c>
      <c r="T1" s="64" t="s">
        <v>256</v>
      </c>
      <c r="U1" s="64" t="s">
        <v>257</v>
      </c>
      <c r="V1" s="64" t="s">
        <v>258</v>
      </c>
      <c r="W1" s="52" t="s">
        <v>681</v>
      </c>
      <c r="X1" s="52" t="s">
        <v>682</v>
      </c>
      <c r="Y1" s="64" t="s">
        <v>254</v>
      </c>
      <c r="Z1" s="64" t="s">
        <v>255</v>
      </c>
      <c r="AA1" s="67" t="s">
        <v>683</v>
      </c>
      <c r="AB1" s="67" t="s">
        <v>684</v>
      </c>
      <c r="AC1" s="43" t="s">
        <v>470</v>
      </c>
      <c r="AD1" s="19" t="s">
        <v>0</v>
      </c>
      <c r="AE1" s="68" t="s">
        <v>184</v>
      </c>
      <c r="AF1" s="68" t="s">
        <v>183</v>
      </c>
      <c r="AG1" s="66" t="s">
        <v>461</v>
      </c>
      <c r="AH1" s="66" t="s">
        <v>685</v>
      </c>
      <c r="AI1" s="27" t="s">
        <v>252</v>
      </c>
      <c r="AJ1" s="27" t="s">
        <v>253</v>
      </c>
    </row>
    <row r="2" spans="1:36" ht="12" x14ac:dyDescent="0.2">
      <c r="A2" s="12" t="s">
        <v>670</v>
      </c>
      <c r="B2" s="12" t="s">
        <v>722</v>
      </c>
      <c r="C2" s="12" t="s">
        <v>172</v>
      </c>
      <c r="D2" s="12" t="s">
        <v>37</v>
      </c>
      <c r="E2" s="12" t="s">
        <v>63</v>
      </c>
      <c r="F2" s="12" t="s">
        <v>43</v>
      </c>
      <c r="G2" s="12" t="s">
        <v>700</v>
      </c>
      <c r="H2" s="6">
        <v>43091.425000000003</v>
      </c>
      <c r="I2" s="6" t="s">
        <v>225</v>
      </c>
      <c r="J2" s="6" t="s">
        <v>225</v>
      </c>
      <c r="K2" s="69" t="s">
        <v>225</v>
      </c>
      <c r="L2" s="13" t="s">
        <v>225</v>
      </c>
      <c r="M2" s="13">
        <v>0</v>
      </c>
      <c r="N2" s="13">
        <v>0</v>
      </c>
      <c r="O2" s="12">
        <v>0</v>
      </c>
      <c r="P2" s="13" t="s">
        <v>225</v>
      </c>
      <c r="Q2" s="13" t="s">
        <v>225</v>
      </c>
      <c r="R2" s="33">
        <v>2</v>
      </c>
      <c r="S2" s="33">
        <v>5</v>
      </c>
      <c r="T2" s="33" t="s">
        <v>225</v>
      </c>
      <c r="U2" s="33" t="s">
        <v>225</v>
      </c>
      <c r="V2" s="33" t="s">
        <v>225</v>
      </c>
      <c r="W2" s="33" t="s">
        <v>225</v>
      </c>
      <c r="X2" s="33" t="s">
        <v>225</v>
      </c>
      <c r="Y2" s="33" t="s">
        <v>225</v>
      </c>
      <c r="Z2" s="33" t="s">
        <v>225</v>
      </c>
      <c r="AA2" s="13">
        <v>825</v>
      </c>
      <c r="AB2" s="13">
        <v>1</v>
      </c>
      <c r="AC2" s="13">
        <f>SUMIF(Tableau_Liste_UO[[Code UO]:[Code UO]],Tableau_Liste_KPI[[#This Row],[Code UO]], Tableau_Liste_UO[RAF])</f>
        <v>0</v>
      </c>
      <c r="AD2" s="13" t="e">
        <f>SUMIF(Tableau_Liste_UO[[Code UO]:[Code UO]],Tableau_Liste_KPI[[#This Row],[Code UO]], #REF!)</f>
        <v>#REF!</v>
      </c>
      <c r="AE2" s="34" t="s">
        <v>225</v>
      </c>
      <c r="AF2" s="34" t="s">
        <v>225</v>
      </c>
      <c r="AG2" s="34" t="s">
        <v>225</v>
      </c>
      <c r="AH2" s="34"/>
      <c r="AI2" s="35" t="e">
        <f>IF(Tableau_Liste_KPI[[#This Row],[Charge commandée]]="","",IF(Tableau_Liste_KPI[[#This Row],[Total]]&gt;Tableau_Liste_KPI[[#This Row],[Charge commandée]],"KO",""))</f>
        <v>#REF!</v>
      </c>
      <c r="AJ2" s="35" t="e">
        <f>IF(Tableau_Liste_KPI[[#This Row],[KPI Charges]]="KO",Tableau_Liste_KPI[[#This Row],[Charge commandée]]-Tableau_Liste_KPI[[#This Row],[Total]],"")</f>
        <v>#REF!</v>
      </c>
    </row>
    <row r="3" spans="1:36" ht="12" customHeight="1" x14ac:dyDescent="0.2">
      <c r="A3" s="12" t="s">
        <v>666</v>
      </c>
      <c r="B3" s="12" t="s">
        <v>672</v>
      </c>
      <c r="C3" s="12" t="s">
        <v>281</v>
      </c>
      <c r="D3" s="12" t="s">
        <v>37</v>
      </c>
      <c r="E3" s="12" t="s">
        <v>544</v>
      </c>
      <c r="F3" s="12" t="s">
        <v>34</v>
      </c>
      <c r="G3" s="12" t="s">
        <v>702</v>
      </c>
      <c r="H3" s="6">
        <v>43090.422222222223</v>
      </c>
      <c r="I3" s="6">
        <v>43090.423298611109</v>
      </c>
      <c r="J3" s="6" t="s">
        <v>225</v>
      </c>
      <c r="K3" s="69" t="s">
        <v>225</v>
      </c>
      <c r="L3" s="13" t="s">
        <v>225</v>
      </c>
      <c r="M3" s="13">
        <v>0</v>
      </c>
      <c r="N3" s="13">
        <v>1</v>
      </c>
      <c r="O3" s="12">
        <v>0</v>
      </c>
      <c r="P3" s="13" t="s">
        <v>225</v>
      </c>
      <c r="Q3" s="13">
        <v>1</v>
      </c>
      <c r="R3" s="33" t="s">
        <v>225</v>
      </c>
      <c r="S3" s="33" t="s">
        <v>225</v>
      </c>
      <c r="T3" s="33" t="s">
        <v>225</v>
      </c>
      <c r="U3" s="33" t="s">
        <v>225</v>
      </c>
      <c r="V3" s="33" t="s">
        <v>225</v>
      </c>
      <c r="W3" s="33" t="s">
        <v>707</v>
      </c>
      <c r="X3" s="33" t="s">
        <v>225</v>
      </c>
      <c r="Y3" s="33">
        <v>43131.419444444444</v>
      </c>
      <c r="Z3" s="33">
        <v>43131.419444444444</v>
      </c>
      <c r="AA3" s="13">
        <v>16500</v>
      </c>
      <c r="AB3" s="13">
        <v>22</v>
      </c>
      <c r="AC3" s="13">
        <f>SUMIF(Tableau_Liste_UO[[Code UO]:[Code UO]],Tableau_Liste_KPI[[#This Row],[Code UO]], Tableau_Liste_UO[RAF])</f>
        <v>0</v>
      </c>
      <c r="AD3" s="13" t="e">
        <f>SUMIF(Tableau_Liste_UO[[Code UO]:[Code UO]],Tableau_Liste_KPI[[#This Row],[Code UO]], #REF!)</f>
        <v>#REF!</v>
      </c>
      <c r="AE3" s="34" t="s">
        <v>225</v>
      </c>
      <c r="AF3" s="34" t="s">
        <v>225</v>
      </c>
      <c r="AG3" s="34" t="s">
        <v>225</v>
      </c>
      <c r="AH3" s="34"/>
      <c r="AI3" s="35" t="e">
        <f>IF(Tableau_Liste_KPI[[#This Row],[Charge commandée]]="","",IF(Tableau_Liste_KPI[[#This Row],[Total]]&gt;Tableau_Liste_KPI[[#This Row],[Charge commandée]],"KO",""))</f>
        <v>#REF!</v>
      </c>
      <c r="AJ3" s="35" t="e">
        <f>IF(Tableau_Liste_KPI[[#This Row],[KPI Charges]]="KO",Tableau_Liste_KPI[[#This Row],[Charge commandée]]-Tableau_Liste_KPI[[#This Row],[Total]],"")</f>
        <v>#REF!</v>
      </c>
    </row>
    <row r="4" spans="1:36" ht="12" customHeight="1" x14ac:dyDescent="0.2">
      <c r="A4" s="21" t="s">
        <v>665</v>
      </c>
      <c r="B4" s="21" t="s">
        <v>673</v>
      </c>
      <c r="C4" s="12" t="s">
        <v>309</v>
      </c>
      <c r="D4" s="21" t="s">
        <v>33</v>
      </c>
      <c r="E4" s="21" t="s">
        <v>99</v>
      </c>
      <c r="F4" s="21" t="s">
        <v>225</v>
      </c>
      <c r="G4" s="21" t="s">
        <v>714</v>
      </c>
      <c r="H4" s="22">
        <v>43088.71597222222</v>
      </c>
      <c r="I4" s="22" t="s">
        <v>225</v>
      </c>
      <c r="J4" s="22" t="s">
        <v>225</v>
      </c>
      <c r="K4" s="70" t="s">
        <v>225</v>
      </c>
      <c r="L4" s="23">
        <v>2.2840277777795563</v>
      </c>
      <c r="M4" s="23">
        <v>0</v>
      </c>
      <c r="N4" s="23">
        <v>0</v>
      </c>
      <c r="O4" s="21">
        <v>0</v>
      </c>
      <c r="P4" s="23" t="s">
        <v>225</v>
      </c>
      <c r="Q4" s="23" t="s">
        <v>225</v>
      </c>
      <c r="R4" s="36" t="s">
        <v>225</v>
      </c>
      <c r="S4" s="36" t="s">
        <v>225</v>
      </c>
      <c r="T4" s="36">
        <v>43108.713888888888</v>
      </c>
      <c r="U4" s="36" t="s">
        <v>225</v>
      </c>
      <c r="V4" s="36" t="s">
        <v>225</v>
      </c>
      <c r="W4" s="36" t="s">
        <v>225</v>
      </c>
      <c r="X4" s="36" t="s">
        <v>225</v>
      </c>
      <c r="Y4" s="36" t="s">
        <v>225</v>
      </c>
      <c r="Z4" s="36" t="s">
        <v>225</v>
      </c>
      <c r="AA4" s="23">
        <v>635</v>
      </c>
      <c r="AB4" s="23">
        <v>0.7</v>
      </c>
      <c r="AC4" s="23">
        <f>SUMIF(Tableau_Liste_UO[[Code UO]:[Code UO]],Tableau_Liste_KPI[[#This Row],[Code UO]], Tableau_Liste_UO[RAF])</f>
        <v>0</v>
      </c>
      <c r="AD4" s="23" t="e">
        <f>SUMIF(Tableau_Liste_UO[[Code UO]:[Code UO]],Tableau_Liste_KPI[[#This Row],[Code UO]], #REF!)</f>
        <v>#REF!</v>
      </c>
      <c r="AE4" s="37" t="s">
        <v>225</v>
      </c>
      <c r="AF4" s="37" t="s">
        <v>225</v>
      </c>
      <c r="AG4" s="37" t="s">
        <v>225</v>
      </c>
      <c r="AH4" s="37"/>
      <c r="AI4" s="38" t="e">
        <f>IF(Tableau_Liste_KPI[[#This Row],[Charge commandée]]="","",IF(Tableau_Liste_KPI[[#This Row],[Total]]&gt;Tableau_Liste_KPI[[#This Row],[Charge commandée]],"KO",""))</f>
        <v>#REF!</v>
      </c>
      <c r="AJ4" s="38" t="e">
        <f>IF(Tableau_Liste_KPI[[#This Row],[KPI Charges]]="KO",Tableau_Liste_KPI[[#This Row],[Charge commandée]]-Tableau_Liste_KPI[[#This Row],[Total]],"")</f>
        <v>#REF!</v>
      </c>
    </row>
    <row r="5" spans="1:36" ht="12" customHeight="1" x14ac:dyDescent="0.2">
      <c r="A5" s="12" t="s">
        <v>664</v>
      </c>
      <c r="B5" s="12" t="s">
        <v>667</v>
      </c>
      <c r="C5" s="12" t="s">
        <v>656</v>
      </c>
      <c r="D5" s="12" t="s">
        <v>33</v>
      </c>
      <c r="E5" s="12" t="s">
        <v>44</v>
      </c>
      <c r="F5" s="12" t="s">
        <v>225</v>
      </c>
      <c r="G5" s="12" t="s">
        <v>689</v>
      </c>
      <c r="H5" s="6">
        <v>43084.490972222222</v>
      </c>
      <c r="I5" s="6">
        <v>43084.49113425926</v>
      </c>
      <c r="J5" s="6" t="s">
        <v>225</v>
      </c>
      <c r="K5" s="69" t="s">
        <v>225</v>
      </c>
      <c r="L5" s="13" t="s">
        <v>225</v>
      </c>
      <c r="M5" s="13">
        <v>0</v>
      </c>
      <c r="N5" s="13">
        <v>2</v>
      </c>
      <c r="O5" s="12">
        <v>3</v>
      </c>
      <c r="P5" s="13" t="s">
        <v>225</v>
      </c>
      <c r="Q5" s="13">
        <v>2</v>
      </c>
      <c r="R5" s="33">
        <v>10</v>
      </c>
      <c r="S5" s="33">
        <v>15</v>
      </c>
      <c r="T5" s="33" t="s">
        <v>225</v>
      </c>
      <c r="U5" s="33">
        <v>43091.493055555555</v>
      </c>
      <c r="V5" s="33" t="s">
        <v>225</v>
      </c>
      <c r="W5" s="33" t="s">
        <v>707</v>
      </c>
      <c r="X5" s="33" t="s">
        <v>225</v>
      </c>
      <c r="Y5" s="33">
        <v>43111</v>
      </c>
      <c r="Z5" s="33">
        <v>43118</v>
      </c>
      <c r="AA5" s="13">
        <v>912</v>
      </c>
      <c r="AB5" s="13">
        <v>1</v>
      </c>
      <c r="AC5" s="13">
        <f>SUMIF(Tableau_Liste_UO[[Code UO]:[Code UO]],Tableau_Liste_KPI[[#This Row],[Code UO]], Tableau_Liste_UO[RAF])</f>
        <v>0</v>
      </c>
      <c r="AD5" s="13" t="e">
        <f>SUMIF(Tableau_Liste_UO[[Code UO]:[Code UO]],Tableau_Liste_KPI[[#This Row],[Code UO]], #REF!)</f>
        <v>#REF!</v>
      </c>
      <c r="AE5" s="34" t="s">
        <v>225</v>
      </c>
      <c r="AF5" s="34" t="s">
        <v>225</v>
      </c>
      <c r="AG5" s="34" t="s">
        <v>225</v>
      </c>
      <c r="AH5" s="34"/>
      <c r="AI5" s="35" t="e">
        <f>IF(Tableau_Liste_KPI[[#This Row],[Charge commandée]]="","",IF(Tableau_Liste_KPI[[#This Row],[Total]]&gt;Tableau_Liste_KPI[[#This Row],[Charge commandée]],"KO",""))</f>
        <v>#REF!</v>
      </c>
      <c r="AJ5" s="35" t="e">
        <f>IF(Tableau_Liste_KPI[[#This Row],[KPI Charges]]="KO",Tableau_Liste_KPI[[#This Row],[Charge commandée]]-Tableau_Liste_KPI[[#This Row],[Total]],"")</f>
        <v>#REF!</v>
      </c>
    </row>
    <row r="6" spans="1:36" ht="12" customHeight="1" x14ac:dyDescent="0.2">
      <c r="A6" s="25" t="s">
        <v>663</v>
      </c>
      <c r="B6" s="25" t="s">
        <v>668</v>
      </c>
      <c r="C6" s="12" t="s">
        <v>281</v>
      </c>
      <c r="D6" s="25" t="s">
        <v>37</v>
      </c>
      <c r="E6" s="25" t="s">
        <v>63</v>
      </c>
      <c r="F6" s="25" t="s">
        <v>192</v>
      </c>
      <c r="G6" s="25" t="s">
        <v>710</v>
      </c>
      <c r="H6" s="24">
        <v>43084.418055555558</v>
      </c>
      <c r="I6" s="24">
        <v>43084.421134259261</v>
      </c>
      <c r="J6" s="24" t="s">
        <v>225</v>
      </c>
      <c r="K6" s="71" t="s">
        <v>225</v>
      </c>
      <c r="L6" s="26" t="s">
        <v>225</v>
      </c>
      <c r="M6" s="26">
        <v>2</v>
      </c>
      <c r="N6" s="26">
        <v>4</v>
      </c>
      <c r="O6" s="25">
        <v>0</v>
      </c>
      <c r="P6" s="26" t="s">
        <v>225</v>
      </c>
      <c r="Q6" s="26">
        <v>6</v>
      </c>
      <c r="R6" s="39">
        <v>4</v>
      </c>
      <c r="S6" s="39">
        <v>10</v>
      </c>
      <c r="T6" s="39" t="s">
        <v>225</v>
      </c>
      <c r="U6" s="39">
        <v>43091.506944444445</v>
      </c>
      <c r="V6" s="39" t="s">
        <v>225</v>
      </c>
      <c r="W6" s="39" t="s">
        <v>707</v>
      </c>
      <c r="X6" s="39" t="s">
        <v>225</v>
      </c>
      <c r="Y6" s="39">
        <v>43090</v>
      </c>
      <c r="Z6" s="39">
        <v>43108</v>
      </c>
      <c r="AA6" s="26">
        <v>3343</v>
      </c>
      <c r="AB6" s="26">
        <v>4.0999999999999996</v>
      </c>
      <c r="AC6" s="26">
        <f>SUMIF(Tableau_Liste_UO[[Code UO]:[Code UO]],Tableau_Liste_KPI[[#This Row],[Code UO]], Tableau_Liste_UO[RAF])</f>
        <v>0</v>
      </c>
      <c r="AD6" s="26" t="e">
        <f>SUMIF(Tableau_Liste_UO[[Code UO]:[Code UO]],Tableau_Liste_KPI[[#This Row],[Code UO]], #REF!)</f>
        <v>#REF!</v>
      </c>
      <c r="AE6" s="40" t="s">
        <v>721</v>
      </c>
      <c r="AF6" s="40" t="s">
        <v>225</v>
      </c>
      <c r="AG6" s="40" t="s">
        <v>225</v>
      </c>
      <c r="AH6" s="40"/>
      <c r="AI6" s="41" t="e">
        <f>IF(Tableau_Liste_KPI[[#This Row],[Charge commandée]]="","",IF(Tableau_Liste_KPI[[#This Row],[Total]]&gt;Tableau_Liste_KPI[[#This Row],[Charge commandée]],"KO",""))</f>
        <v>#REF!</v>
      </c>
      <c r="AJ6" s="41" t="e">
        <f>IF(Tableau_Liste_KPI[[#This Row],[KPI Charges]]="KO",Tableau_Liste_KPI[[#This Row],[Charge commandée]]-Tableau_Liste_KPI[[#This Row],[Total]],"")</f>
        <v>#REF!</v>
      </c>
    </row>
    <row r="7" spans="1:36" ht="12" customHeight="1" x14ac:dyDescent="0.2">
      <c r="A7" s="55" t="s">
        <v>662</v>
      </c>
      <c r="B7" s="12" t="s">
        <v>723</v>
      </c>
      <c r="C7" s="12" t="s">
        <v>173</v>
      </c>
      <c r="D7" s="12">
        <v>0</v>
      </c>
      <c r="E7" s="12" t="s">
        <v>544</v>
      </c>
      <c r="F7" s="12" t="s">
        <v>34</v>
      </c>
      <c r="G7" s="12" t="s">
        <v>716</v>
      </c>
      <c r="H7" s="6">
        <v>43083.749305555553</v>
      </c>
      <c r="I7" s="6">
        <v>43083.750706018516</v>
      </c>
      <c r="J7" s="6" t="s">
        <v>225</v>
      </c>
      <c r="K7" s="69" t="s">
        <v>225</v>
      </c>
      <c r="L7" s="13" t="s">
        <v>225</v>
      </c>
      <c r="M7" s="13">
        <v>0</v>
      </c>
      <c r="N7" s="13">
        <v>0</v>
      </c>
      <c r="O7" s="12">
        <v>0</v>
      </c>
      <c r="P7" s="13" t="s">
        <v>225</v>
      </c>
      <c r="Q7" s="13" t="s">
        <v>225</v>
      </c>
      <c r="R7" s="33" t="s">
        <v>225</v>
      </c>
      <c r="S7" s="33" t="s">
        <v>225</v>
      </c>
      <c r="T7" s="33" t="s">
        <v>225</v>
      </c>
      <c r="U7" s="33" t="s">
        <v>225</v>
      </c>
      <c r="V7" s="33" t="s">
        <v>225</v>
      </c>
      <c r="W7" s="33" t="s">
        <v>707</v>
      </c>
      <c r="X7" s="33" t="s">
        <v>225</v>
      </c>
      <c r="Y7" s="33">
        <v>0</v>
      </c>
      <c r="Z7" s="33">
        <v>0</v>
      </c>
      <c r="AA7" s="13" t="s">
        <v>225</v>
      </c>
      <c r="AB7" s="13">
        <v>0</v>
      </c>
      <c r="AC7" s="13">
        <f>SUMIF(Tableau_Liste_UO[[Code UO]:[Code UO]],Tableau_Liste_KPI[[#This Row],[Code UO]], Tableau_Liste_UO[RAF])</f>
        <v>0</v>
      </c>
      <c r="AD7" s="13" t="e">
        <f>SUMIF(Tableau_Liste_UO[[Code UO]:[Code UO]],Tableau_Liste_KPI[[#This Row],[Code UO]], #REF!)</f>
        <v>#REF!</v>
      </c>
      <c r="AE7" s="34" t="s">
        <v>225</v>
      </c>
      <c r="AF7" s="34" t="s">
        <v>225</v>
      </c>
      <c r="AG7" s="34" t="s">
        <v>225</v>
      </c>
      <c r="AH7" s="34"/>
      <c r="AI7" s="35" t="e">
        <f>IF(Tableau_Liste_KPI[[#This Row],[Charge commandée]]="","",IF(Tableau_Liste_KPI[[#This Row],[Total]]&gt;Tableau_Liste_KPI[[#This Row],[Charge commandée]],"KO",""))</f>
        <v>#REF!</v>
      </c>
      <c r="AJ7" s="35" t="e">
        <f>IF(Tableau_Liste_KPI[[#This Row],[KPI Charges]]="KO",Tableau_Liste_KPI[[#This Row],[Charge commandée]]-Tableau_Liste_KPI[[#This Row],[Total]],"")</f>
        <v>#REF!</v>
      </c>
    </row>
    <row r="8" spans="1:36" ht="12" customHeight="1" x14ac:dyDescent="0.2">
      <c r="A8" s="32" t="s">
        <v>531</v>
      </c>
      <c r="B8" s="32" t="s">
        <v>669</v>
      </c>
      <c r="C8" s="12" t="s">
        <v>281</v>
      </c>
      <c r="D8" s="12" t="s">
        <v>33</v>
      </c>
      <c r="E8" s="12" t="s">
        <v>544</v>
      </c>
      <c r="F8" s="12" t="s">
        <v>34</v>
      </c>
      <c r="G8" s="12" t="s">
        <v>701</v>
      </c>
      <c r="H8" s="6">
        <v>43083.713888888888</v>
      </c>
      <c r="I8" s="6">
        <v>43083.714814814812</v>
      </c>
      <c r="J8" s="6" t="s">
        <v>225</v>
      </c>
      <c r="K8" s="69" t="s">
        <v>225</v>
      </c>
      <c r="L8" s="13" t="s">
        <v>225</v>
      </c>
      <c r="M8" s="13">
        <v>2</v>
      </c>
      <c r="N8" s="13">
        <v>5</v>
      </c>
      <c r="O8" s="12">
        <v>0</v>
      </c>
      <c r="P8" s="13" t="s">
        <v>225</v>
      </c>
      <c r="Q8" s="13">
        <v>7</v>
      </c>
      <c r="R8" s="33" t="s">
        <v>225</v>
      </c>
      <c r="S8" s="33" t="s">
        <v>225</v>
      </c>
      <c r="T8" s="33" t="s">
        <v>225</v>
      </c>
      <c r="U8" s="33" t="s">
        <v>225</v>
      </c>
      <c r="V8" s="33" t="s">
        <v>225</v>
      </c>
      <c r="W8" s="33" t="s">
        <v>707</v>
      </c>
      <c r="X8" s="33" t="s">
        <v>225</v>
      </c>
      <c r="Y8" s="33">
        <v>43112.714583333334</v>
      </c>
      <c r="Z8" s="33">
        <v>43112.714583333334</v>
      </c>
      <c r="AA8" s="13">
        <v>1500</v>
      </c>
      <c r="AB8" s="13">
        <v>2</v>
      </c>
      <c r="AC8" s="13">
        <f>SUMIF(Tableau_Liste_UO[[Code UO]:[Code UO]],Tableau_Liste_KPI[[#This Row],[Code UO]], Tableau_Liste_UO[RAF])</f>
        <v>0</v>
      </c>
      <c r="AD8" s="13" t="e">
        <f>SUMIF(Tableau_Liste_UO[[Code UO]:[Code UO]],Tableau_Liste_KPI[[#This Row],[Code UO]], #REF!)</f>
        <v>#REF!</v>
      </c>
      <c r="AE8" s="34" t="s">
        <v>225</v>
      </c>
      <c r="AF8" s="34" t="s">
        <v>225</v>
      </c>
      <c r="AG8" s="34" t="s">
        <v>225</v>
      </c>
      <c r="AH8" s="34"/>
      <c r="AI8" s="35" t="e">
        <f>IF(Tableau_Liste_KPI[[#This Row],[Charge commandée]]="","",IF(Tableau_Liste_KPI[[#This Row],[Total]]&gt;Tableau_Liste_KPI[[#This Row],[Charge commandée]],"KO",""))</f>
        <v>#REF!</v>
      </c>
      <c r="AJ8" s="35" t="e">
        <f>IF(Tableau_Liste_KPI[[#This Row],[KPI Charges]]="KO",Tableau_Liste_KPI[[#This Row],[Charge commandée]]-Tableau_Liste_KPI[[#This Row],[Total]],"")</f>
        <v>#REF!</v>
      </c>
    </row>
    <row r="9" spans="1:36" ht="12" customHeight="1" x14ac:dyDescent="0.2">
      <c r="A9" s="12" t="s">
        <v>530</v>
      </c>
      <c r="B9" s="12" t="s">
        <v>659</v>
      </c>
      <c r="C9" s="12" t="s">
        <v>281</v>
      </c>
      <c r="D9" s="12" t="s">
        <v>33</v>
      </c>
      <c r="E9" s="12" t="s">
        <v>544</v>
      </c>
      <c r="F9" s="12" t="s">
        <v>34</v>
      </c>
      <c r="G9" s="12" t="s">
        <v>701</v>
      </c>
      <c r="H9" s="6">
        <v>43083.550694444442</v>
      </c>
      <c r="I9" s="6">
        <v>43083.551157407404</v>
      </c>
      <c r="J9" s="6" t="s">
        <v>225</v>
      </c>
      <c r="K9" s="69" t="s">
        <v>225</v>
      </c>
      <c r="L9" s="13" t="s">
        <v>225</v>
      </c>
      <c r="M9" s="13">
        <v>0</v>
      </c>
      <c r="N9" s="13">
        <v>6</v>
      </c>
      <c r="O9" s="12">
        <v>0</v>
      </c>
      <c r="P9" s="13" t="s">
        <v>225</v>
      </c>
      <c r="Q9" s="13">
        <v>6</v>
      </c>
      <c r="R9" s="33" t="s">
        <v>225</v>
      </c>
      <c r="S9" s="33" t="s">
        <v>225</v>
      </c>
      <c r="T9" s="33" t="s">
        <v>225</v>
      </c>
      <c r="U9" s="33" t="s">
        <v>225</v>
      </c>
      <c r="V9" s="33" t="s">
        <v>225</v>
      </c>
      <c r="W9" s="33" t="s">
        <v>707</v>
      </c>
      <c r="X9" s="33" t="s">
        <v>225</v>
      </c>
      <c r="Y9" s="33">
        <v>43091.55</v>
      </c>
      <c r="Z9" s="33">
        <v>43091.55</v>
      </c>
      <c r="AA9" s="13">
        <v>750</v>
      </c>
      <c r="AB9" s="13">
        <v>1</v>
      </c>
      <c r="AC9" s="13">
        <f>SUMIF(Tableau_Liste_UO[[Code UO]:[Code UO]],Tableau_Liste_KPI[[#This Row],[Code UO]], Tableau_Liste_UO[RAF])</f>
        <v>0</v>
      </c>
      <c r="AD9" s="13" t="e">
        <f>SUMIF(Tableau_Liste_UO[[Code UO]:[Code UO]],Tableau_Liste_KPI[[#This Row],[Code UO]], #REF!)</f>
        <v>#REF!</v>
      </c>
      <c r="AE9" s="34" t="s">
        <v>225</v>
      </c>
      <c r="AF9" s="34" t="s">
        <v>225</v>
      </c>
      <c r="AG9" s="34" t="s">
        <v>225</v>
      </c>
      <c r="AH9" s="34"/>
      <c r="AI9" s="35" t="e">
        <f>IF(Tableau_Liste_KPI[[#This Row],[Charge commandée]]="","",IF(Tableau_Liste_KPI[[#This Row],[Total]]&gt;Tableau_Liste_KPI[[#This Row],[Charge commandée]],"KO",""))</f>
        <v>#REF!</v>
      </c>
      <c r="AJ9" s="35" t="e">
        <f>IF(Tableau_Liste_KPI[[#This Row],[KPI Charges]]="KO",Tableau_Liste_KPI[[#This Row],[Charge commandée]]-Tableau_Liste_KPI[[#This Row],[Total]],"")</f>
        <v>#REF!</v>
      </c>
    </row>
    <row r="10" spans="1:36" ht="12" customHeight="1" x14ac:dyDescent="0.2">
      <c r="A10" s="12" t="s">
        <v>529</v>
      </c>
      <c r="B10" s="12" t="s">
        <v>660</v>
      </c>
      <c r="C10" s="12" t="s">
        <v>309</v>
      </c>
      <c r="D10" s="12">
        <v>0</v>
      </c>
      <c r="E10" s="12" t="s">
        <v>544</v>
      </c>
      <c r="F10" s="12" t="s">
        <v>34</v>
      </c>
      <c r="G10" s="12" t="s">
        <v>716</v>
      </c>
      <c r="H10" s="6">
        <v>43082.57916666667</v>
      </c>
      <c r="I10" s="6" t="s">
        <v>225</v>
      </c>
      <c r="J10" s="6" t="s">
        <v>225</v>
      </c>
      <c r="K10" s="69" t="s">
        <v>225</v>
      </c>
      <c r="L10" s="13">
        <v>8.4208333333299379</v>
      </c>
      <c r="M10" s="13">
        <v>0</v>
      </c>
      <c r="N10" s="13">
        <v>0</v>
      </c>
      <c r="O10" s="12">
        <v>0</v>
      </c>
      <c r="P10" s="13" t="s">
        <v>225</v>
      </c>
      <c r="Q10" s="13" t="s">
        <v>225</v>
      </c>
      <c r="R10" s="33" t="s">
        <v>225</v>
      </c>
      <c r="S10" s="33" t="s">
        <v>225</v>
      </c>
      <c r="T10" s="33" t="s">
        <v>225</v>
      </c>
      <c r="U10" s="33" t="s">
        <v>225</v>
      </c>
      <c r="V10" s="33" t="s">
        <v>225</v>
      </c>
      <c r="W10" s="33" t="s">
        <v>225</v>
      </c>
      <c r="X10" s="33" t="s">
        <v>225</v>
      </c>
      <c r="Y10" s="33">
        <v>43098.586805555555</v>
      </c>
      <c r="Z10" s="33">
        <v>43098.586805555555</v>
      </c>
      <c r="AA10" s="13" t="s">
        <v>225</v>
      </c>
      <c r="AB10" s="13">
        <v>3</v>
      </c>
      <c r="AC10" s="13">
        <f>SUMIF(Tableau_Liste_UO[[Code UO]:[Code UO]],Tableau_Liste_KPI[[#This Row],[Code UO]], Tableau_Liste_UO[RAF])</f>
        <v>0</v>
      </c>
      <c r="AD10" s="13" t="e">
        <f>SUMIF(Tableau_Liste_UO[[Code UO]:[Code UO]],Tableau_Liste_KPI[[#This Row],[Code UO]], #REF!)</f>
        <v>#REF!</v>
      </c>
      <c r="AE10" s="34" t="s">
        <v>225</v>
      </c>
      <c r="AF10" s="34" t="s">
        <v>225</v>
      </c>
      <c r="AG10" s="34" t="s">
        <v>225</v>
      </c>
      <c r="AH10" s="34"/>
      <c r="AI10" s="35" t="e">
        <f>IF(Tableau_Liste_KPI[[#This Row],[Charge commandée]]="","",IF(Tableau_Liste_KPI[[#This Row],[Total]]&gt;Tableau_Liste_KPI[[#This Row],[Charge commandée]],"KO",""))</f>
        <v>#REF!</v>
      </c>
      <c r="AJ10" s="35" t="e">
        <f>IF(Tableau_Liste_KPI[[#This Row],[KPI Charges]]="KO",Tableau_Liste_KPI[[#This Row],[Charge commandée]]-Tableau_Liste_KPI[[#This Row],[Total]],"")</f>
        <v>#REF!</v>
      </c>
    </row>
    <row r="11" spans="1:36" ht="12" customHeight="1" x14ac:dyDescent="0.2">
      <c r="A11" s="32" t="s">
        <v>528</v>
      </c>
      <c r="B11" s="32" t="s">
        <v>661</v>
      </c>
      <c r="C11" s="12" t="s">
        <v>281</v>
      </c>
      <c r="D11" s="12" t="s">
        <v>37</v>
      </c>
      <c r="E11" s="12" t="s">
        <v>544</v>
      </c>
      <c r="F11" s="12" t="s">
        <v>225</v>
      </c>
      <c r="G11" s="12" t="s">
        <v>702</v>
      </c>
      <c r="H11" s="6">
        <v>43081.790972222225</v>
      </c>
      <c r="I11" s="6">
        <v>43083.520115740743</v>
      </c>
      <c r="J11" s="6" t="s">
        <v>225</v>
      </c>
      <c r="K11" s="69" t="s">
        <v>225</v>
      </c>
      <c r="L11" s="13" t="s">
        <v>225</v>
      </c>
      <c r="M11" s="13">
        <v>0</v>
      </c>
      <c r="N11" s="13">
        <v>6</v>
      </c>
      <c r="O11" s="12">
        <v>0</v>
      </c>
      <c r="P11" s="13" t="s">
        <v>225</v>
      </c>
      <c r="Q11" s="13">
        <v>6</v>
      </c>
      <c r="R11" s="33" t="s">
        <v>225</v>
      </c>
      <c r="S11" s="33" t="s">
        <v>225</v>
      </c>
      <c r="T11" s="33">
        <v>43084.788888888892</v>
      </c>
      <c r="U11" s="33" t="s">
        <v>225</v>
      </c>
      <c r="V11" s="33" t="s">
        <v>225</v>
      </c>
      <c r="W11" s="33" t="s">
        <v>707</v>
      </c>
      <c r="X11" s="33" t="s">
        <v>225</v>
      </c>
      <c r="Y11" s="33">
        <v>43084.521527777775</v>
      </c>
      <c r="Z11" s="33">
        <v>43084.521527777775</v>
      </c>
      <c r="AA11" s="13">
        <v>1500</v>
      </c>
      <c r="AB11" s="13">
        <v>2</v>
      </c>
      <c r="AC11" s="13">
        <f>SUMIF(Tableau_Liste_UO[[Code UO]:[Code UO]],Tableau_Liste_KPI[[#This Row],[Code UO]], Tableau_Liste_UO[RAF])</f>
        <v>0</v>
      </c>
      <c r="AD11" s="13" t="e">
        <f>SUMIF(Tableau_Liste_UO[[Code UO]:[Code UO]],Tableau_Liste_KPI[[#This Row],[Code UO]], #REF!)</f>
        <v>#REF!</v>
      </c>
      <c r="AE11" s="34" t="s">
        <v>225</v>
      </c>
      <c r="AF11" s="34" t="s">
        <v>225</v>
      </c>
      <c r="AG11" s="34" t="s">
        <v>225</v>
      </c>
      <c r="AH11" s="34"/>
      <c r="AI11" s="35" t="e">
        <f>IF(Tableau_Liste_KPI[[#This Row],[Charge commandée]]="","",IF(Tableau_Liste_KPI[[#This Row],[Total]]&gt;Tableau_Liste_KPI[[#This Row],[Charge commandée]],"KO",""))</f>
        <v>#REF!</v>
      </c>
      <c r="AJ11" s="35" t="e">
        <f>IF(Tableau_Liste_KPI[[#This Row],[KPI Charges]]="KO",Tableau_Liste_KPI[[#This Row],[Charge commandée]]-Tableau_Liste_KPI[[#This Row],[Total]],"")</f>
        <v>#REF!</v>
      </c>
    </row>
    <row r="12" spans="1:36" ht="12" customHeight="1" x14ac:dyDescent="0.2">
      <c r="A12" s="45" t="s">
        <v>527</v>
      </c>
      <c r="B12" s="45" t="s">
        <v>658</v>
      </c>
      <c r="C12" s="12" t="s">
        <v>281</v>
      </c>
      <c r="D12" s="45" t="s">
        <v>37</v>
      </c>
      <c r="E12" s="45" t="s">
        <v>63</v>
      </c>
      <c r="F12" s="45" t="s">
        <v>43</v>
      </c>
      <c r="G12" s="45" t="s">
        <v>700</v>
      </c>
      <c r="H12" s="46">
        <v>43081.683333333334</v>
      </c>
      <c r="I12" s="46">
        <v>43084.422337962962</v>
      </c>
      <c r="J12" s="46" t="s">
        <v>225</v>
      </c>
      <c r="K12" s="72" t="s">
        <v>225</v>
      </c>
      <c r="L12" s="47" t="s">
        <v>225</v>
      </c>
      <c r="M12" s="47">
        <v>1</v>
      </c>
      <c r="N12" s="47">
        <v>1</v>
      </c>
      <c r="O12" s="45">
        <v>3</v>
      </c>
      <c r="P12" s="47" t="s">
        <v>225</v>
      </c>
      <c r="Q12" s="47">
        <v>2</v>
      </c>
      <c r="R12" s="48">
        <v>2</v>
      </c>
      <c r="S12" s="48">
        <v>5</v>
      </c>
      <c r="T12" s="48">
        <v>43091.681250000001</v>
      </c>
      <c r="U12" s="48">
        <v>43091.611111111109</v>
      </c>
      <c r="V12" s="48" t="s">
        <v>225</v>
      </c>
      <c r="W12" s="48" t="s">
        <v>707</v>
      </c>
      <c r="X12" s="48" t="s">
        <v>225</v>
      </c>
      <c r="Y12" s="48">
        <v>43091</v>
      </c>
      <c r="Z12" s="48">
        <v>43104</v>
      </c>
      <c r="AA12" s="47">
        <v>825</v>
      </c>
      <c r="AB12" s="47">
        <v>1</v>
      </c>
      <c r="AC12" s="47">
        <f>SUMIF(Tableau_Liste_UO[[Code UO]:[Code UO]],Tableau_Liste_KPI[[#This Row],[Code UO]], Tableau_Liste_UO[RAF])</f>
        <v>0</v>
      </c>
      <c r="AD12" s="47" t="e">
        <f>SUMIF(Tableau_Liste_UO[[Code UO]:[Code UO]],Tableau_Liste_KPI[[#This Row],[Code UO]], #REF!)</f>
        <v>#REF!</v>
      </c>
      <c r="AE12" s="49" t="s">
        <v>225</v>
      </c>
      <c r="AF12" s="49" t="s">
        <v>225</v>
      </c>
      <c r="AG12" s="49" t="s">
        <v>225</v>
      </c>
      <c r="AH12" s="49"/>
      <c r="AI12" s="50" t="e">
        <f>IF(Tableau_Liste_KPI[[#This Row],[Charge commandée]]="","",IF(Tableau_Liste_KPI[[#This Row],[Total]]&gt;Tableau_Liste_KPI[[#This Row],[Charge commandée]],"KO",""))</f>
        <v>#REF!</v>
      </c>
      <c r="AJ12" s="50" t="e">
        <f>IF(Tableau_Liste_KPI[[#This Row],[KPI Charges]]="KO",Tableau_Liste_KPI[[#This Row],[Charge commandée]]-Tableau_Liste_KPI[[#This Row],[Total]],"")</f>
        <v>#REF!</v>
      </c>
    </row>
    <row r="13" spans="1:36" ht="12" customHeight="1" x14ac:dyDescent="0.2">
      <c r="A13" s="45" t="s">
        <v>526</v>
      </c>
      <c r="B13" s="45" t="s">
        <v>641</v>
      </c>
      <c r="C13" s="12" t="s">
        <v>281</v>
      </c>
      <c r="D13" s="45" t="s">
        <v>33</v>
      </c>
      <c r="E13" s="45" t="s">
        <v>544</v>
      </c>
      <c r="F13" s="45" t="s">
        <v>34</v>
      </c>
      <c r="G13" s="45" t="s">
        <v>701</v>
      </c>
      <c r="H13" s="46">
        <v>43077.466666666667</v>
      </c>
      <c r="I13" s="46">
        <v>43077.46770833333</v>
      </c>
      <c r="J13" s="46" t="s">
        <v>225</v>
      </c>
      <c r="K13" s="72" t="s">
        <v>225</v>
      </c>
      <c r="L13" s="47" t="s">
        <v>225</v>
      </c>
      <c r="M13" s="47">
        <v>0</v>
      </c>
      <c r="N13" s="47">
        <v>10</v>
      </c>
      <c r="O13" s="45">
        <v>0</v>
      </c>
      <c r="P13" s="47" t="s">
        <v>225</v>
      </c>
      <c r="Q13" s="47">
        <v>10</v>
      </c>
      <c r="R13" s="48" t="s">
        <v>225</v>
      </c>
      <c r="S13" s="48" t="s">
        <v>225</v>
      </c>
      <c r="T13" s="48" t="s">
        <v>225</v>
      </c>
      <c r="U13" s="48" t="s">
        <v>225</v>
      </c>
      <c r="V13" s="48" t="s">
        <v>225</v>
      </c>
      <c r="W13" s="48" t="s">
        <v>707</v>
      </c>
      <c r="X13" s="48" t="s">
        <v>225</v>
      </c>
      <c r="Y13" s="48">
        <v>43112.464583333334</v>
      </c>
      <c r="Z13" s="48">
        <v>43112.464583333334</v>
      </c>
      <c r="AA13" s="47">
        <v>1500</v>
      </c>
      <c r="AB13" s="47">
        <v>2</v>
      </c>
      <c r="AC13" s="47">
        <f>SUMIF(Tableau_Liste_UO[[Code UO]:[Code UO]],Tableau_Liste_KPI[[#This Row],[Code UO]], Tableau_Liste_UO[RAF])</f>
        <v>0</v>
      </c>
      <c r="AD13" s="47" t="e">
        <f>SUMIF(Tableau_Liste_UO[[Code UO]:[Code UO]],Tableau_Liste_KPI[[#This Row],[Code UO]], #REF!)</f>
        <v>#REF!</v>
      </c>
      <c r="AE13" s="49" t="s">
        <v>225</v>
      </c>
      <c r="AF13" s="49" t="s">
        <v>225</v>
      </c>
      <c r="AG13" s="49" t="s">
        <v>225</v>
      </c>
      <c r="AH13" s="49"/>
      <c r="AI13" s="50" t="e">
        <f>IF(Tableau_Liste_KPI[[#This Row],[Charge commandée]]="","",IF(Tableau_Liste_KPI[[#This Row],[Total]]&gt;Tableau_Liste_KPI[[#This Row],[Charge commandée]],"KO",""))</f>
        <v>#REF!</v>
      </c>
      <c r="AJ13" s="50" t="e">
        <f>IF(Tableau_Liste_KPI[[#This Row],[KPI Charges]]="KO",Tableau_Liste_KPI[[#This Row],[Charge commandée]]-Tableau_Liste_KPI[[#This Row],[Total]],"")</f>
        <v>#REF!</v>
      </c>
    </row>
    <row r="14" spans="1:36" ht="12" customHeight="1" x14ac:dyDescent="0.2">
      <c r="A14" s="12" t="s">
        <v>525</v>
      </c>
      <c r="B14" s="12" t="s">
        <v>642</v>
      </c>
      <c r="C14" s="12" t="s">
        <v>309</v>
      </c>
      <c r="D14" s="12" t="s">
        <v>33</v>
      </c>
      <c r="E14" s="12" t="s">
        <v>538</v>
      </c>
      <c r="F14" s="12" t="s">
        <v>43</v>
      </c>
      <c r="G14" s="12" t="s">
        <v>696</v>
      </c>
      <c r="H14" s="6">
        <v>43077.458333333336</v>
      </c>
      <c r="I14" s="6" t="s">
        <v>225</v>
      </c>
      <c r="J14" s="6" t="s">
        <v>225</v>
      </c>
      <c r="K14" s="69" t="s">
        <v>225</v>
      </c>
      <c r="L14" s="13">
        <v>13.541666666664241</v>
      </c>
      <c r="M14" s="13">
        <v>0</v>
      </c>
      <c r="N14" s="13">
        <v>0</v>
      </c>
      <c r="O14" s="12">
        <v>0</v>
      </c>
      <c r="P14" s="13" t="s">
        <v>225</v>
      </c>
      <c r="Q14" s="13" t="s">
        <v>225</v>
      </c>
      <c r="R14" s="33">
        <v>10</v>
      </c>
      <c r="S14" s="33">
        <v>15</v>
      </c>
      <c r="T14" s="33" t="s">
        <v>225</v>
      </c>
      <c r="U14" s="33" t="s">
        <v>225</v>
      </c>
      <c r="V14" s="33" t="s">
        <v>225</v>
      </c>
      <c r="W14" s="33" t="s">
        <v>225</v>
      </c>
      <c r="X14" s="33" t="s">
        <v>225</v>
      </c>
      <c r="Y14" s="33" t="s">
        <v>225</v>
      </c>
      <c r="Z14" s="33" t="s">
        <v>225</v>
      </c>
      <c r="AA14" s="13">
        <v>3424</v>
      </c>
      <c r="AB14" s="13">
        <v>5</v>
      </c>
      <c r="AC14" s="13">
        <f>SUMIF(Tableau_Liste_UO[[Code UO]:[Code UO]],Tableau_Liste_KPI[[#This Row],[Code UO]], Tableau_Liste_UO[RAF])</f>
        <v>0</v>
      </c>
      <c r="AD14" s="13" t="e">
        <f>SUMIF(Tableau_Liste_UO[[Code UO]:[Code UO]],Tableau_Liste_KPI[[#This Row],[Code UO]], #REF!)</f>
        <v>#REF!</v>
      </c>
      <c r="AE14" s="34" t="s">
        <v>225</v>
      </c>
      <c r="AF14" s="34" t="s">
        <v>225</v>
      </c>
      <c r="AG14" s="34" t="s">
        <v>225</v>
      </c>
      <c r="AH14" s="34"/>
      <c r="AI14" s="35" t="e">
        <f>IF(Tableau_Liste_KPI[[#This Row],[Charge commandée]]="","",IF(Tableau_Liste_KPI[[#This Row],[Total]]&gt;Tableau_Liste_KPI[[#This Row],[Charge commandée]],"KO",""))</f>
        <v>#REF!</v>
      </c>
      <c r="AJ14" s="35" t="e">
        <f>IF(Tableau_Liste_KPI[[#This Row],[KPI Charges]]="KO",Tableau_Liste_KPI[[#This Row],[Charge commandée]]-Tableau_Liste_KPI[[#This Row],[Total]],"")</f>
        <v>#REF!</v>
      </c>
    </row>
    <row r="15" spans="1:36" ht="12" customHeight="1" x14ac:dyDescent="0.2">
      <c r="A15" s="45" t="s">
        <v>524</v>
      </c>
      <c r="B15" s="45" t="s">
        <v>643</v>
      </c>
      <c r="C15" s="12" t="s">
        <v>309</v>
      </c>
      <c r="D15" s="45" t="s">
        <v>33</v>
      </c>
      <c r="E15" s="45" t="s">
        <v>538</v>
      </c>
      <c r="F15" s="45" t="s">
        <v>43</v>
      </c>
      <c r="G15" s="45" t="s">
        <v>696</v>
      </c>
      <c r="H15" s="46">
        <v>43077.458333333336</v>
      </c>
      <c r="I15" s="46" t="s">
        <v>225</v>
      </c>
      <c r="J15" s="46" t="s">
        <v>225</v>
      </c>
      <c r="K15" s="72" t="s">
        <v>225</v>
      </c>
      <c r="L15" s="47">
        <v>13.541666666664241</v>
      </c>
      <c r="M15" s="47">
        <v>0</v>
      </c>
      <c r="N15" s="47">
        <v>0</v>
      </c>
      <c r="O15" s="45">
        <v>0</v>
      </c>
      <c r="P15" s="47" t="s">
        <v>225</v>
      </c>
      <c r="Q15" s="47" t="s">
        <v>225</v>
      </c>
      <c r="R15" s="48">
        <v>10</v>
      </c>
      <c r="S15" s="48">
        <v>15</v>
      </c>
      <c r="T15" s="48" t="s">
        <v>225</v>
      </c>
      <c r="U15" s="48" t="s">
        <v>225</v>
      </c>
      <c r="V15" s="48" t="s">
        <v>225</v>
      </c>
      <c r="W15" s="48" t="s">
        <v>225</v>
      </c>
      <c r="X15" s="48" t="s">
        <v>225</v>
      </c>
      <c r="Y15" s="48" t="s">
        <v>225</v>
      </c>
      <c r="Z15" s="48" t="s">
        <v>225</v>
      </c>
      <c r="AA15" s="47">
        <v>3424</v>
      </c>
      <c r="AB15" s="47">
        <v>5</v>
      </c>
      <c r="AC15" s="47">
        <f>SUMIF(Tableau_Liste_UO[[Code UO]:[Code UO]],Tableau_Liste_KPI[[#This Row],[Code UO]], Tableau_Liste_UO[RAF])</f>
        <v>0</v>
      </c>
      <c r="AD15" s="47" t="e">
        <f>SUMIF(Tableau_Liste_UO[[Code UO]:[Code UO]],Tableau_Liste_KPI[[#This Row],[Code UO]], #REF!)</f>
        <v>#REF!</v>
      </c>
      <c r="AE15" s="49" t="s">
        <v>225</v>
      </c>
      <c r="AF15" s="49" t="s">
        <v>225</v>
      </c>
      <c r="AG15" s="49" t="s">
        <v>225</v>
      </c>
      <c r="AH15" s="49"/>
      <c r="AI15" s="50" t="e">
        <f>IF(Tableau_Liste_KPI[[#This Row],[Charge commandée]]="","",IF(Tableau_Liste_KPI[[#This Row],[Total]]&gt;Tableau_Liste_KPI[[#This Row],[Charge commandée]],"KO",""))</f>
        <v>#REF!</v>
      </c>
      <c r="AJ15" s="50" t="e">
        <f>IF(Tableau_Liste_KPI[[#This Row],[KPI Charges]]="KO",Tableau_Liste_KPI[[#This Row],[Charge commandée]]-Tableau_Liste_KPI[[#This Row],[Total]],"")</f>
        <v>#REF!</v>
      </c>
    </row>
    <row r="16" spans="1:36" ht="12" customHeight="1" x14ac:dyDescent="0.2">
      <c r="A16" s="45" t="s">
        <v>523</v>
      </c>
      <c r="B16" s="45" t="s">
        <v>644</v>
      </c>
      <c r="C16" s="12" t="s">
        <v>281</v>
      </c>
      <c r="D16" s="45" t="s">
        <v>33</v>
      </c>
      <c r="E16" s="45" t="s">
        <v>538</v>
      </c>
      <c r="F16" s="45" t="s">
        <v>43</v>
      </c>
      <c r="G16" s="45" t="s">
        <v>696</v>
      </c>
      <c r="H16" s="46">
        <v>43077.457638888889</v>
      </c>
      <c r="I16" s="46">
        <v>43077.458368055559</v>
      </c>
      <c r="J16" s="46" t="s">
        <v>225</v>
      </c>
      <c r="K16" s="72" t="s">
        <v>225</v>
      </c>
      <c r="L16" s="47" t="s">
        <v>225</v>
      </c>
      <c r="M16" s="47">
        <v>4</v>
      </c>
      <c r="N16" s="47">
        <v>7</v>
      </c>
      <c r="O16" s="45">
        <v>0</v>
      </c>
      <c r="P16" s="47" t="s">
        <v>225</v>
      </c>
      <c r="Q16" s="47">
        <v>11</v>
      </c>
      <c r="R16" s="48">
        <v>10</v>
      </c>
      <c r="S16" s="48">
        <v>15</v>
      </c>
      <c r="T16" s="48" t="s">
        <v>225</v>
      </c>
      <c r="U16" s="48">
        <v>43090.35833333333</v>
      </c>
      <c r="V16" s="48" t="s">
        <v>225</v>
      </c>
      <c r="W16" s="48" t="s">
        <v>707</v>
      </c>
      <c r="X16" s="48" t="s">
        <v>225</v>
      </c>
      <c r="Y16" s="48">
        <v>43091</v>
      </c>
      <c r="Z16" s="48">
        <v>43108</v>
      </c>
      <c r="AA16" s="47">
        <v>3424</v>
      </c>
      <c r="AB16" s="47">
        <v>5</v>
      </c>
      <c r="AC16" s="47">
        <f>SUMIF(Tableau_Liste_UO[[Code UO]:[Code UO]],Tableau_Liste_KPI[[#This Row],[Code UO]], Tableau_Liste_UO[RAF])</f>
        <v>0</v>
      </c>
      <c r="AD16" s="47" t="e">
        <f>SUMIF(Tableau_Liste_UO[[Code UO]:[Code UO]],Tableau_Liste_KPI[[#This Row],[Code UO]], #REF!)</f>
        <v>#REF!</v>
      </c>
      <c r="AE16" s="49" t="s">
        <v>721</v>
      </c>
      <c r="AF16" s="49" t="s">
        <v>225</v>
      </c>
      <c r="AG16" s="49" t="s">
        <v>225</v>
      </c>
      <c r="AH16" s="49"/>
      <c r="AI16" s="50" t="e">
        <f>IF(Tableau_Liste_KPI[[#This Row],[Charge commandée]]="","",IF(Tableau_Liste_KPI[[#This Row],[Total]]&gt;Tableau_Liste_KPI[[#This Row],[Charge commandée]],"KO",""))</f>
        <v>#REF!</v>
      </c>
      <c r="AJ16" s="50" t="e">
        <f>IF(Tableau_Liste_KPI[[#This Row],[KPI Charges]]="KO",Tableau_Liste_KPI[[#This Row],[Charge commandée]]-Tableau_Liste_KPI[[#This Row],[Total]],"")</f>
        <v>#REF!</v>
      </c>
    </row>
    <row r="17" spans="1:36" ht="12" customHeight="1" x14ac:dyDescent="0.2">
      <c r="A17" s="45" t="s">
        <v>522</v>
      </c>
      <c r="B17" s="45" t="s">
        <v>645</v>
      </c>
      <c r="C17" s="12" t="s">
        <v>309</v>
      </c>
      <c r="D17" s="45" t="s">
        <v>33</v>
      </c>
      <c r="E17" s="45" t="s">
        <v>44</v>
      </c>
      <c r="F17" s="45" t="s">
        <v>43</v>
      </c>
      <c r="G17" s="45" t="s">
        <v>689</v>
      </c>
      <c r="H17" s="46">
        <v>43076.761805555558</v>
      </c>
      <c r="I17" s="46" t="s">
        <v>225</v>
      </c>
      <c r="J17" s="46" t="s">
        <v>225</v>
      </c>
      <c r="K17" s="72" t="s">
        <v>225</v>
      </c>
      <c r="L17" s="47">
        <v>14.238194444442343</v>
      </c>
      <c r="M17" s="47">
        <v>0</v>
      </c>
      <c r="N17" s="47">
        <v>0</v>
      </c>
      <c r="O17" s="45">
        <v>0</v>
      </c>
      <c r="P17" s="47" t="s">
        <v>225</v>
      </c>
      <c r="Q17" s="47" t="s">
        <v>225</v>
      </c>
      <c r="R17" s="48">
        <v>10</v>
      </c>
      <c r="S17" s="48">
        <v>15</v>
      </c>
      <c r="T17" s="48" t="s">
        <v>225</v>
      </c>
      <c r="U17" s="48" t="s">
        <v>225</v>
      </c>
      <c r="V17" s="48" t="s">
        <v>225</v>
      </c>
      <c r="W17" s="48" t="s">
        <v>225</v>
      </c>
      <c r="X17" s="48" t="s">
        <v>225</v>
      </c>
      <c r="Y17" s="48" t="s">
        <v>225</v>
      </c>
      <c r="Z17" s="48" t="s">
        <v>225</v>
      </c>
      <c r="AA17" s="47">
        <v>912</v>
      </c>
      <c r="AB17" s="47">
        <v>1</v>
      </c>
      <c r="AC17" s="47">
        <f>SUMIF(Tableau_Liste_UO[[Code UO]:[Code UO]],Tableau_Liste_KPI[[#This Row],[Code UO]], Tableau_Liste_UO[RAF])</f>
        <v>0</v>
      </c>
      <c r="AD17" s="47" t="e">
        <f>SUMIF(Tableau_Liste_UO[[Code UO]:[Code UO]],Tableau_Liste_KPI[[#This Row],[Code UO]], #REF!)</f>
        <v>#REF!</v>
      </c>
      <c r="AE17" s="49" t="s">
        <v>225</v>
      </c>
      <c r="AF17" s="49" t="s">
        <v>225</v>
      </c>
      <c r="AG17" s="49" t="s">
        <v>225</v>
      </c>
      <c r="AH17" s="49"/>
      <c r="AI17" s="50" t="e">
        <f>IF(Tableau_Liste_KPI[[#This Row],[Charge commandée]]="","",IF(Tableau_Liste_KPI[[#This Row],[Total]]&gt;Tableau_Liste_KPI[[#This Row],[Charge commandée]],"KO",""))</f>
        <v>#REF!</v>
      </c>
      <c r="AJ17" s="50" t="e">
        <f>IF(Tableau_Liste_KPI[[#This Row],[KPI Charges]]="KO",Tableau_Liste_KPI[[#This Row],[Charge commandée]]-Tableau_Liste_KPI[[#This Row],[Total]],"")</f>
        <v>#REF!</v>
      </c>
    </row>
    <row r="18" spans="1:36" ht="12" customHeight="1" x14ac:dyDescent="0.2">
      <c r="A18" s="45" t="s">
        <v>521</v>
      </c>
      <c r="B18" s="45" t="s">
        <v>646</v>
      </c>
      <c r="C18" s="12" t="s">
        <v>309</v>
      </c>
      <c r="D18" s="45" t="s">
        <v>33</v>
      </c>
      <c r="E18" s="45" t="s">
        <v>539</v>
      </c>
      <c r="F18" s="45" t="s">
        <v>43</v>
      </c>
      <c r="G18" s="45" t="s">
        <v>698</v>
      </c>
      <c r="H18" s="46">
        <v>43076.761111111111</v>
      </c>
      <c r="I18" s="46" t="s">
        <v>225</v>
      </c>
      <c r="J18" s="46" t="s">
        <v>225</v>
      </c>
      <c r="K18" s="72" t="s">
        <v>225</v>
      </c>
      <c r="L18" s="47">
        <v>14.238888888889051</v>
      </c>
      <c r="M18" s="47">
        <v>0</v>
      </c>
      <c r="N18" s="47">
        <v>0</v>
      </c>
      <c r="O18" s="45">
        <v>0</v>
      </c>
      <c r="P18" s="47" t="s">
        <v>225</v>
      </c>
      <c r="Q18" s="47" t="s">
        <v>225</v>
      </c>
      <c r="R18" s="48">
        <v>5</v>
      </c>
      <c r="S18" s="48">
        <v>8</v>
      </c>
      <c r="T18" s="48" t="s">
        <v>225</v>
      </c>
      <c r="U18" s="48" t="s">
        <v>225</v>
      </c>
      <c r="V18" s="48" t="s">
        <v>225</v>
      </c>
      <c r="W18" s="48" t="s">
        <v>225</v>
      </c>
      <c r="X18" s="48" t="s">
        <v>225</v>
      </c>
      <c r="Y18" s="48" t="s">
        <v>225</v>
      </c>
      <c r="Z18" s="48" t="s">
        <v>225</v>
      </c>
      <c r="AA18" s="47">
        <v>1522</v>
      </c>
      <c r="AB18" s="47">
        <v>2</v>
      </c>
      <c r="AC18" s="47">
        <f>SUMIF(Tableau_Liste_UO[[Code UO]:[Code UO]],Tableau_Liste_KPI[[#This Row],[Code UO]], Tableau_Liste_UO[RAF])</f>
        <v>0</v>
      </c>
      <c r="AD18" s="47" t="e">
        <f>SUMIF(Tableau_Liste_UO[[Code UO]:[Code UO]],Tableau_Liste_KPI[[#This Row],[Code UO]], #REF!)</f>
        <v>#REF!</v>
      </c>
      <c r="AE18" s="49" t="s">
        <v>225</v>
      </c>
      <c r="AF18" s="49" t="s">
        <v>225</v>
      </c>
      <c r="AG18" s="49" t="s">
        <v>225</v>
      </c>
      <c r="AH18" s="49"/>
      <c r="AI18" s="50" t="e">
        <f>IF(Tableau_Liste_KPI[[#This Row],[Charge commandée]]="","",IF(Tableau_Liste_KPI[[#This Row],[Total]]&gt;Tableau_Liste_KPI[[#This Row],[Charge commandée]],"KO",""))</f>
        <v>#REF!</v>
      </c>
      <c r="AJ18" s="50" t="e">
        <f>IF(Tableau_Liste_KPI[[#This Row],[KPI Charges]]="KO",Tableau_Liste_KPI[[#This Row],[Charge commandée]]-Tableau_Liste_KPI[[#This Row],[Total]],"")</f>
        <v>#REF!</v>
      </c>
    </row>
    <row r="19" spans="1:36" ht="12" customHeight="1" x14ac:dyDescent="0.2">
      <c r="A19" s="45" t="s">
        <v>520</v>
      </c>
      <c r="B19" s="45" t="s">
        <v>647</v>
      </c>
      <c r="C19" s="12" t="s">
        <v>656</v>
      </c>
      <c r="D19" s="45" t="s">
        <v>33</v>
      </c>
      <c r="E19" s="45" t="s">
        <v>538</v>
      </c>
      <c r="F19" s="45" t="s">
        <v>43</v>
      </c>
      <c r="G19" s="45" t="s">
        <v>696</v>
      </c>
      <c r="H19" s="46">
        <v>43076.760416666664</v>
      </c>
      <c r="I19" s="46">
        <v>43076.76152777778</v>
      </c>
      <c r="J19" s="46" t="s">
        <v>225</v>
      </c>
      <c r="K19" s="72" t="s">
        <v>225</v>
      </c>
      <c r="L19" s="47" t="s">
        <v>225</v>
      </c>
      <c r="M19" s="47">
        <v>2</v>
      </c>
      <c r="N19" s="47">
        <v>6</v>
      </c>
      <c r="O19" s="45">
        <v>4</v>
      </c>
      <c r="P19" s="47" t="s">
        <v>225</v>
      </c>
      <c r="Q19" s="47">
        <v>8</v>
      </c>
      <c r="R19" s="48">
        <v>10</v>
      </c>
      <c r="S19" s="48">
        <v>15</v>
      </c>
      <c r="T19" s="48" t="s">
        <v>225</v>
      </c>
      <c r="U19" s="48">
        <v>43102.47152777778</v>
      </c>
      <c r="V19" s="48" t="s">
        <v>225</v>
      </c>
      <c r="W19" s="48" t="s">
        <v>707</v>
      </c>
      <c r="X19" s="48" t="s">
        <v>225</v>
      </c>
      <c r="Y19" s="48">
        <v>43104</v>
      </c>
      <c r="Z19" s="48">
        <v>43111</v>
      </c>
      <c r="AA19" s="47">
        <v>3424</v>
      </c>
      <c r="AB19" s="47">
        <v>5</v>
      </c>
      <c r="AC19" s="47">
        <f>SUMIF(Tableau_Liste_UO[[Code UO]:[Code UO]],Tableau_Liste_KPI[[#This Row],[Code UO]], Tableau_Liste_UO[RAF])</f>
        <v>0</v>
      </c>
      <c r="AD19" s="47" t="e">
        <f>SUMIF(Tableau_Liste_UO[[Code UO]:[Code UO]],Tableau_Liste_KPI[[#This Row],[Code UO]], #REF!)</f>
        <v>#REF!</v>
      </c>
      <c r="AE19" s="49" t="s">
        <v>225</v>
      </c>
      <c r="AF19" s="49" t="s">
        <v>225</v>
      </c>
      <c r="AG19" s="49" t="s">
        <v>225</v>
      </c>
      <c r="AH19" s="49"/>
      <c r="AI19" s="50" t="e">
        <f>IF(Tableau_Liste_KPI[[#This Row],[Charge commandée]]="","",IF(Tableau_Liste_KPI[[#This Row],[Total]]&gt;Tableau_Liste_KPI[[#This Row],[Charge commandée]],"KO",""))</f>
        <v>#REF!</v>
      </c>
      <c r="AJ19" s="50" t="e">
        <f>IF(Tableau_Liste_KPI[[#This Row],[KPI Charges]]="KO",Tableau_Liste_KPI[[#This Row],[Charge commandée]]-Tableau_Liste_KPI[[#This Row],[Total]],"")</f>
        <v>#REF!</v>
      </c>
    </row>
    <row r="20" spans="1:36" ht="12" customHeight="1" x14ac:dyDescent="0.2">
      <c r="A20" s="45" t="s">
        <v>519</v>
      </c>
      <c r="B20" s="45" t="s">
        <v>648</v>
      </c>
      <c r="C20" s="12" t="s">
        <v>281</v>
      </c>
      <c r="D20" s="45" t="s">
        <v>33</v>
      </c>
      <c r="E20" s="45" t="s">
        <v>544</v>
      </c>
      <c r="F20" s="45" t="s">
        <v>34</v>
      </c>
      <c r="G20" s="45" t="s">
        <v>701</v>
      </c>
      <c r="H20" s="46">
        <v>43076.756944444445</v>
      </c>
      <c r="I20" s="46">
        <v>43076.757453703707</v>
      </c>
      <c r="J20" s="46" t="s">
        <v>225</v>
      </c>
      <c r="K20" s="72" t="s">
        <v>225</v>
      </c>
      <c r="L20" s="47" t="s">
        <v>225</v>
      </c>
      <c r="M20" s="47">
        <v>5</v>
      </c>
      <c r="N20" s="47">
        <v>7</v>
      </c>
      <c r="O20" s="45">
        <v>0</v>
      </c>
      <c r="P20" s="47" t="s">
        <v>225</v>
      </c>
      <c r="Q20" s="47">
        <v>12</v>
      </c>
      <c r="R20" s="48" t="s">
        <v>225</v>
      </c>
      <c r="S20" s="48" t="s">
        <v>225</v>
      </c>
      <c r="T20" s="48" t="s">
        <v>225</v>
      </c>
      <c r="U20" s="48" t="s">
        <v>225</v>
      </c>
      <c r="V20" s="48" t="s">
        <v>225</v>
      </c>
      <c r="W20" s="48" t="s">
        <v>707</v>
      </c>
      <c r="X20" s="48" t="s">
        <v>225</v>
      </c>
      <c r="Y20" s="48">
        <v>43131.752083333333</v>
      </c>
      <c r="Z20" s="48">
        <v>43131.752083333333</v>
      </c>
      <c r="AA20" s="47">
        <v>9000</v>
      </c>
      <c r="AB20" s="47">
        <v>12</v>
      </c>
      <c r="AC20" s="47">
        <f>SUMIF(Tableau_Liste_UO[[Code UO]:[Code UO]],Tableau_Liste_KPI[[#This Row],[Code UO]], Tableau_Liste_UO[RAF])</f>
        <v>0</v>
      </c>
      <c r="AD20" s="47" t="e">
        <f>SUMIF(Tableau_Liste_UO[[Code UO]:[Code UO]],Tableau_Liste_KPI[[#This Row],[Code UO]], #REF!)</f>
        <v>#REF!</v>
      </c>
      <c r="AE20" s="49" t="s">
        <v>225</v>
      </c>
      <c r="AF20" s="49" t="s">
        <v>225</v>
      </c>
      <c r="AG20" s="49" t="s">
        <v>225</v>
      </c>
      <c r="AH20" s="49"/>
      <c r="AI20" s="50" t="e">
        <f>IF(Tableau_Liste_KPI[[#This Row],[Charge commandée]]="","",IF(Tableau_Liste_KPI[[#This Row],[Total]]&gt;Tableau_Liste_KPI[[#This Row],[Charge commandée]],"KO",""))</f>
        <v>#REF!</v>
      </c>
      <c r="AJ20" s="50" t="e">
        <f>IF(Tableau_Liste_KPI[[#This Row],[KPI Charges]]="KO",Tableau_Liste_KPI[[#This Row],[Charge commandée]]-Tableau_Liste_KPI[[#This Row],[Total]],"")</f>
        <v>#REF!</v>
      </c>
    </row>
    <row r="21" spans="1:36" ht="12" customHeight="1" x14ac:dyDescent="0.2">
      <c r="A21" s="55" t="s">
        <v>518</v>
      </c>
      <c r="B21" s="21" t="s">
        <v>649</v>
      </c>
      <c r="C21" s="12" t="s">
        <v>281</v>
      </c>
      <c r="D21" s="21" t="s">
        <v>33</v>
      </c>
      <c r="E21" s="21" t="s">
        <v>544</v>
      </c>
      <c r="F21" s="21" t="s">
        <v>34</v>
      </c>
      <c r="G21" s="21" t="s">
        <v>701</v>
      </c>
      <c r="H21" s="22">
        <v>43076.756249999999</v>
      </c>
      <c r="I21" s="22">
        <v>43076.756967592592</v>
      </c>
      <c r="J21" s="22" t="s">
        <v>225</v>
      </c>
      <c r="K21" s="70" t="s">
        <v>225</v>
      </c>
      <c r="L21" s="23" t="s">
        <v>225</v>
      </c>
      <c r="M21" s="23">
        <v>5</v>
      </c>
      <c r="N21" s="23">
        <v>7</v>
      </c>
      <c r="O21" s="21">
        <v>0</v>
      </c>
      <c r="P21" s="23" t="s">
        <v>225</v>
      </c>
      <c r="Q21" s="23">
        <v>12</v>
      </c>
      <c r="R21" s="36" t="s">
        <v>225</v>
      </c>
      <c r="S21" s="36" t="s">
        <v>225</v>
      </c>
      <c r="T21" s="36" t="s">
        <v>225</v>
      </c>
      <c r="U21" s="36" t="s">
        <v>225</v>
      </c>
      <c r="V21" s="36" t="s">
        <v>225</v>
      </c>
      <c r="W21" s="36" t="s">
        <v>707</v>
      </c>
      <c r="X21" s="36" t="s">
        <v>225</v>
      </c>
      <c r="Y21" s="36">
        <v>43131.752083333333</v>
      </c>
      <c r="Z21" s="36">
        <v>43131.752083333333</v>
      </c>
      <c r="AA21" s="23">
        <v>9000</v>
      </c>
      <c r="AB21" s="23">
        <v>12</v>
      </c>
      <c r="AC21" s="23">
        <f>SUMIF(Tableau_Liste_UO[[Code UO]:[Code UO]],Tableau_Liste_KPI[[#This Row],[Code UO]], Tableau_Liste_UO[RAF])</f>
        <v>0</v>
      </c>
      <c r="AD21" s="23" t="e">
        <f>SUMIF(Tableau_Liste_UO[[Code UO]:[Code UO]],Tableau_Liste_KPI[[#This Row],[Code UO]], #REF!)</f>
        <v>#REF!</v>
      </c>
      <c r="AE21" s="37" t="s">
        <v>225</v>
      </c>
      <c r="AF21" s="37" t="s">
        <v>225</v>
      </c>
      <c r="AG21" s="37" t="s">
        <v>225</v>
      </c>
      <c r="AH21" s="37"/>
      <c r="AI21" s="38" t="e">
        <f>IF(Tableau_Liste_KPI[[#This Row],[Charge commandée]]="","",IF(Tableau_Liste_KPI[[#This Row],[Total]]&gt;Tableau_Liste_KPI[[#This Row],[Charge commandée]],"KO",""))</f>
        <v>#REF!</v>
      </c>
      <c r="AJ21" s="38" t="e">
        <f>IF(Tableau_Liste_KPI[[#This Row],[KPI Charges]]="KO",Tableau_Liste_KPI[[#This Row],[Charge commandée]]-Tableau_Liste_KPI[[#This Row],[Total]],"")</f>
        <v>#REF!</v>
      </c>
    </row>
    <row r="22" spans="1:36" ht="12" customHeight="1" x14ac:dyDescent="0.2">
      <c r="A22" s="45" t="s">
        <v>517</v>
      </c>
      <c r="B22" s="45" t="s">
        <v>650</v>
      </c>
      <c r="C22" s="12" t="s">
        <v>281</v>
      </c>
      <c r="D22" s="45" t="s">
        <v>33</v>
      </c>
      <c r="E22" s="45" t="s">
        <v>544</v>
      </c>
      <c r="F22" s="45" t="s">
        <v>34</v>
      </c>
      <c r="G22" s="45" t="s">
        <v>701</v>
      </c>
      <c r="H22" s="46">
        <v>43076.755555555559</v>
      </c>
      <c r="I22" s="46">
        <v>43076.756249999999</v>
      </c>
      <c r="J22" s="46" t="s">
        <v>225</v>
      </c>
      <c r="K22" s="72" t="s">
        <v>225</v>
      </c>
      <c r="L22" s="47" t="s">
        <v>225</v>
      </c>
      <c r="M22" s="47">
        <v>5</v>
      </c>
      <c r="N22" s="47">
        <v>7</v>
      </c>
      <c r="O22" s="45">
        <v>0</v>
      </c>
      <c r="P22" s="47" t="s">
        <v>225</v>
      </c>
      <c r="Q22" s="47">
        <v>12</v>
      </c>
      <c r="R22" s="48" t="s">
        <v>225</v>
      </c>
      <c r="S22" s="48" t="s">
        <v>225</v>
      </c>
      <c r="T22" s="48" t="s">
        <v>225</v>
      </c>
      <c r="U22" s="48" t="s">
        <v>225</v>
      </c>
      <c r="V22" s="48" t="s">
        <v>225</v>
      </c>
      <c r="W22" s="48" t="s">
        <v>707</v>
      </c>
      <c r="X22" s="48" t="s">
        <v>225</v>
      </c>
      <c r="Y22" s="48">
        <v>43123.752083333333</v>
      </c>
      <c r="Z22" s="48">
        <v>43123.752083333333</v>
      </c>
      <c r="AA22" s="47">
        <v>9000</v>
      </c>
      <c r="AB22" s="47">
        <v>12</v>
      </c>
      <c r="AC22" s="47">
        <f>SUMIF(Tableau_Liste_UO[[Code UO]:[Code UO]],Tableau_Liste_KPI[[#This Row],[Code UO]], Tableau_Liste_UO[RAF])</f>
        <v>0</v>
      </c>
      <c r="AD22" s="47" t="e">
        <f>SUMIF(Tableau_Liste_UO[[Code UO]:[Code UO]],Tableau_Liste_KPI[[#This Row],[Code UO]], #REF!)</f>
        <v>#REF!</v>
      </c>
      <c r="AE22" s="49" t="s">
        <v>225</v>
      </c>
      <c r="AF22" s="49" t="s">
        <v>225</v>
      </c>
      <c r="AG22" s="49" t="s">
        <v>225</v>
      </c>
      <c r="AH22" s="49"/>
      <c r="AI22" s="50" t="e">
        <f>IF(Tableau_Liste_KPI[[#This Row],[Charge commandée]]="","",IF(Tableau_Liste_KPI[[#This Row],[Total]]&gt;Tableau_Liste_KPI[[#This Row],[Charge commandée]],"KO",""))</f>
        <v>#REF!</v>
      </c>
      <c r="AJ22" s="50" t="e">
        <f>IF(Tableau_Liste_KPI[[#This Row],[KPI Charges]]="KO",Tableau_Liste_KPI[[#This Row],[Charge commandée]]-Tableau_Liste_KPI[[#This Row],[Total]],"")</f>
        <v>#REF!</v>
      </c>
    </row>
    <row r="23" spans="1:36" ht="12" customHeight="1" x14ac:dyDescent="0.2">
      <c r="A23" s="45" t="s">
        <v>516</v>
      </c>
      <c r="B23" s="45" t="s">
        <v>651</v>
      </c>
      <c r="C23" s="12" t="s">
        <v>281</v>
      </c>
      <c r="D23" s="45" t="s">
        <v>33</v>
      </c>
      <c r="E23" s="45" t="s">
        <v>544</v>
      </c>
      <c r="F23" s="45" t="s">
        <v>34</v>
      </c>
      <c r="G23" s="45" t="s">
        <v>701</v>
      </c>
      <c r="H23" s="46">
        <v>43076.754861111112</v>
      </c>
      <c r="I23" s="46">
        <v>43076.755428240744</v>
      </c>
      <c r="J23" s="46" t="s">
        <v>225</v>
      </c>
      <c r="K23" s="72" t="s">
        <v>225</v>
      </c>
      <c r="L23" s="47" t="s">
        <v>225</v>
      </c>
      <c r="M23" s="47">
        <v>7</v>
      </c>
      <c r="N23" s="47">
        <v>5</v>
      </c>
      <c r="O23" s="45">
        <v>0</v>
      </c>
      <c r="P23" s="47" t="s">
        <v>225</v>
      </c>
      <c r="Q23" s="47">
        <v>12</v>
      </c>
      <c r="R23" s="48" t="s">
        <v>225</v>
      </c>
      <c r="S23" s="48" t="s">
        <v>225</v>
      </c>
      <c r="T23" s="48" t="s">
        <v>225</v>
      </c>
      <c r="U23" s="48" t="s">
        <v>225</v>
      </c>
      <c r="V23" s="48" t="s">
        <v>225</v>
      </c>
      <c r="W23" s="48" t="s">
        <v>707</v>
      </c>
      <c r="X23" s="48" t="s">
        <v>225</v>
      </c>
      <c r="Y23" s="48">
        <v>43131.752083333333</v>
      </c>
      <c r="Z23" s="48">
        <v>43131.752083333333</v>
      </c>
      <c r="AA23" s="47">
        <v>9000</v>
      </c>
      <c r="AB23" s="47">
        <v>12</v>
      </c>
      <c r="AC23" s="47">
        <f>SUMIF(Tableau_Liste_UO[[Code UO]:[Code UO]],Tableau_Liste_KPI[[#This Row],[Code UO]], Tableau_Liste_UO[RAF])</f>
        <v>0</v>
      </c>
      <c r="AD23" s="47" t="e">
        <f>SUMIF(Tableau_Liste_UO[[Code UO]:[Code UO]],Tableau_Liste_KPI[[#This Row],[Code UO]], #REF!)</f>
        <v>#REF!</v>
      </c>
      <c r="AE23" s="49" t="s">
        <v>225</v>
      </c>
      <c r="AF23" s="49" t="s">
        <v>225</v>
      </c>
      <c r="AG23" s="49" t="s">
        <v>225</v>
      </c>
      <c r="AH23" s="49"/>
      <c r="AI23" s="50" t="e">
        <f>IF(Tableau_Liste_KPI[[#This Row],[Charge commandée]]="","",IF(Tableau_Liste_KPI[[#This Row],[Total]]&gt;Tableau_Liste_KPI[[#This Row],[Charge commandée]],"KO",""))</f>
        <v>#REF!</v>
      </c>
      <c r="AJ23" s="50" t="e">
        <f>IF(Tableau_Liste_KPI[[#This Row],[KPI Charges]]="KO",Tableau_Liste_KPI[[#This Row],[Charge commandée]]-Tableau_Liste_KPI[[#This Row],[Total]],"")</f>
        <v>#REF!</v>
      </c>
    </row>
    <row r="24" spans="1:36" ht="12" customHeight="1" x14ac:dyDescent="0.2">
      <c r="A24" s="45" t="s">
        <v>515</v>
      </c>
      <c r="B24" s="45" t="s">
        <v>652</v>
      </c>
      <c r="C24" s="12" t="s">
        <v>281</v>
      </c>
      <c r="D24" s="45" t="s">
        <v>33</v>
      </c>
      <c r="E24" s="45" t="s">
        <v>544</v>
      </c>
      <c r="F24" s="45" t="s">
        <v>34</v>
      </c>
      <c r="G24" s="45" t="s">
        <v>701</v>
      </c>
      <c r="H24" s="46">
        <v>43076.754166666666</v>
      </c>
      <c r="I24" s="46">
        <v>43076.755069444444</v>
      </c>
      <c r="J24" s="46" t="s">
        <v>225</v>
      </c>
      <c r="K24" s="72" t="s">
        <v>225</v>
      </c>
      <c r="L24" s="47" t="s">
        <v>225</v>
      </c>
      <c r="M24" s="47">
        <v>5</v>
      </c>
      <c r="N24" s="47">
        <v>7</v>
      </c>
      <c r="O24" s="45">
        <v>0</v>
      </c>
      <c r="P24" s="47" t="s">
        <v>225</v>
      </c>
      <c r="Q24" s="47">
        <v>12</v>
      </c>
      <c r="R24" s="48" t="s">
        <v>225</v>
      </c>
      <c r="S24" s="48" t="s">
        <v>225</v>
      </c>
      <c r="T24" s="48" t="s">
        <v>225</v>
      </c>
      <c r="U24" s="48" t="s">
        <v>225</v>
      </c>
      <c r="V24" s="48" t="s">
        <v>225</v>
      </c>
      <c r="W24" s="48" t="s">
        <v>707</v>
      </c>
      <c r="X24" s="48" t="s">
        <v>225</v>
      </c>
      <c r="Y24" s="48">
        <v>43131.752083333333</v>
      </c>
      <c r="Z24" s="48">
        <v>43131.752083333333</v>
      </c>
      <c r="AA24" s="47">
        <v>9000</v>
      </c>
      <c r="AB24" s="47">
        <v>12</v>
      </c>
      <c r="AC24" s="47">
        <f>SUMIF(Tableau_Liste_UO[[Code UO]:[Code UO]],Tableau_Liste_KPI[[#This Row],[Code UO]], Tableau_Liste_UO[RAF])</f>
        <v>0</v>
      </c>
      <c r="AD24" s="47" t="e">
        <f>SUMIF(Tableau_Liste_UO[[Code UO]:[Code UO]],Tableau_Liste_KPI[[#This Row],[Code UO]], #REF!)</f>
        <v>#REF!</v>
      </c>
      <c r="AE24" s="49" t="s">
        <v>225</v>
      </c>
      <c r="AF24" s="49" t="s">
        <v>225</v>
      </c>
      <c r="AG24" s="49" t="s">
        <v>225</v>
      </c>
      <c r="AH24" s="49"/>
      <c r="AI24" s="50" t="e">
        <f>IF(Tableau_Liste_KPI[[#This Row],[Charge commandée]]="","",IF(Tableau_Liste_KPI[[#This Row],[Total]]&gt;Tableau_Liste_KPI[[#This Row],[Charge commandée]],"KO",""))</f>
        <v>#REF!</v>
      </c>
      <c r="AJ24" s="50" t="e">
        <f>IF(Tableau_Liste_KPI[[#This Row],[KPI Charges]]="KO",Tableau_Liste_KPI[[#This Row],[Charge commandée]]-Tableau_Liste_KPI[[#This Row],[Total]],"")</f>
        <v>#REF!</v>
      </c>
    </row>
    <row r="25" spans="1:36" ht="12" customHeight="1" x14ac:dyDescent="0.2">
      <c r="A25" s="12" t="s">
        <v>514</v>
      </c>
      <c r="B25" s="12" t="s">
        <v>653</v>
      </c>
      <c r="C25" s="12" t="s">
        <v>281</v>
      </c>
      <c r="D25" s="12" t="s">
        <v>33</v>
      </c>
      <c r="E25" s="12" t="s">
        <v>544</v>
      </c>
      <c r="F25" s="12" t="s">
        <v>34</v>
      </c>
      <c r="G25" s="12" t="s">
        <v>701</v>
      </c>
      <c r="H25" s="6">
        <v>43076.753472222219</v>
      </c>
      <c r="I25" s="6">
        <v>43076.754050925927</v>
      </c>
      <c r="J25" s="6" t="s">
        <v>225</v>
      </c>
      <c r="K25" s="69" t="s">
        <v>225</v>
      </c>
      <c r="L25" s="13" t="s">
        <v>225</v>
      </c>
      <c r="M25" s="13">
        <v>5</v>
      </c>
      <c r="N25" s="13">
        <v>7</v>
      </c>
      <c r="O25" s="12">
        <v>0</v>
      </c>
      <c r="P25" s="13" t="s">
        <v>225</v>
      </c>
      <c r="Q25" s="13">
        <v>12</v>
      </c>
      <c r="R25" s="33" t="s">
        <v>225</v>
      </c>
      <c r="S25" s="33" t="s">
        <v>225</v>
      </c>
      <c r="T25" s="33" t="s">
        <v>225</v>
      </c>
      <c r="U25" s="33" t="s">
        <v>225</v>
      </c>
      <c r="V25" s="33" t="s">
        <v>225</v>
      </c>
      <c r="W25" s="33" t="s">
        <v>707</v>
      </c>
      <c r="X25" s="33" t="s">
        <v>225</v>
      </c>
      <c r="Y25" s="33">
        <v>43131.752083333333</v>
      </c>
      <c r="Z25" s="33">
        <v>43131.752083333333</v>
      </c>
      <c r="AA25" s="13">
        <v>9000</v>
      </c>
      <c r="AB25" s="13">
        <v>12</v>
      </c>
      <c r="AC25" s="13">
        <f>SUMIF(Tableau_Liste_UO[[Code UO]:[Code UO]],Tableau_Liste_KPI[[#This Row],[Code UO]], Tableau_Liste_UO[RAF])</f>
        <v>0</v>
      </c>
      <c r="AD25" s="13" t="e">
        <f>SUMIF(Tableau_Liste_UO[[Code UO]:[Code UO]],Tableau_Liste_KPI[[#This Row],[Code UO]], #REF!)</f>
        <v>#REF!</v>
      </c>
      <c r="AE25" s="34" t="s">
        <v>225</v>
      </c>
      <c r="AF25" s="34" t="s">
        <v>225</v>
      </c>
      <c r="AG25" s="34" t="s">
        <v>225</v>
      </c>
      <c r="AH25" s="34"/>
      <c r="AI25" s="35" t="e">
        <f>IF(Tableau_Liste_KPI[[#This Row],[Charge commandée]]="","",IF(Tableau_Liste_KPI[[#This Row],[Total]]&gt;Tableau_Liste_KPI[[#This Row],[Charge commandée]],"KO",""))</f>
        <v>#REF!</v>
      </c>
      <c r="AJ25" s="35" t="e">
        <f>IF(Tableau_Liste_KPI[[#This Row],[KPI Charges]]="KO",Tableau_Liste_KPI[[#This Row],[Charge commandée]]-Tableau_Liste_KPI[[#This Row],[Total]],"")</f>
        <v>#REF!</v>
      </c>
    </row>
    <row r="26" spans="1:36" ht="12" customHeight="1" x14ac:dyDescent="0.2">
      <c r="A26" s="45" t="s">
        <v>513</v>
      </c>
      <c r="B26" s="45" t="s">
        <v>654</v>
      </c>
      <c r="C26" s="12" t="s">
        <v>424</v>
      </c>
      <c r="D26" s="45" t="s">
        <v>33</v>
      </c>
      <c r="E26" s="45" t="s">
        <v>544</v>
      </c>
      <c r="F26" s="45" t="s">
        <v>34</v>
      </c>
      <c r="G26" s="45" t="s">
        <v>701</v>
      </c>
      <c r="H26" s="46">
        <v>43076.75277777778</v>
      </c>
      <c r="I26" s="46">
        <v>43076.754363425927</v>
      </c>
      <c r="J26" s="46" t="s">
        <v>225</v>
      </c>
      <c r="K26" s="72" t="s">
        <v>225</v>
      </c>
      <c r="L26" s="47" t="s">
        <v>225</v>
      </c>
      <c r="M26" s="47">
        <v>2</v>
      </c>
      <c r="N26" s="47">
        <v>0</v>
      </c>
      <c r="O26" s="45">
        <v>10</v>
      </c>
      <c r="P26" s="47" t="s">
        <v>225</v>
      </c>
      <c r="Q26" s="47">
        <v>2</v>
      </c>
      <c r="R26" s="48" t="s">
        <v>225</v>
      </c>
      <c r="S26" s="48" t="s">
        <v>225</v>
      </c>
      <c r="T26" s="48" t="s">
        <v>225</v>
      </c>
      <c r="U26" s="48" t="s">
        <v>225</v>
      </c>
      <c r="V26" s="48" t="s">
        <v>225</v>
      </c>
      <c r="W26" s="48" t="s">
        <v>707</v>
      </c>
      <c r="X26" s="48" t="s">
        <v>225</v>
      </c>
      <c r="Y26" s="48">
        <v>43131.752083333333</v>
      </c>
      <c r="Z26" s="48">
        <v>43131.752083333333</v>
      </c>
      <c r="AA26" s="47">
        <v>9000</v>
      </c>
      <c r="AB26" s="47">
        <v>12</v>
      </c>
      <c r="AC26" s="47">
        <f>SUMIF(Tableau_Liste_UO[[Code UO]:[Code UO]],Tableau_Liste_KPI[[#This Row],[Code UO]], Tableau_Liste_UO[RAF])</f>
        <v>0</v>
      </c>
      <c r="AD26" s="47" t="e">
        <f>SUMIF(Tableau_Liste_UO[[Code UO]:[Code UO]],Tableau_Liste_KPI[[#This Row],[Code UO]], #REF!)</f>
        <v>#REF!</v>
      </c>
      <c r="AE26" s="49" t="s">
        <v>225</v>
      </c>
      <c r="AF26" s="49" t="s">
        <v>225</v>
      </c>
      <c r="AG26" s="49" t="s">
        <v>225</v>
      </c>
      <c r="AH26" s="49"/>
      <c r="AI26" s="50" t="e">
        <f>IF(Tableau_Liste_KPI[[#This Row],[Charge commandée]]="","",IF(Tableau_Liste_KPI[[#This Row],[Total]]&gt;Tableau_Liste_KPI[[#This Row],[Charge commandée]],"KO",""))</f>
        <v>#REF!</v>
      </c>
      <c r="AJ26" s="50" t="e">
        <f>IF(Tableau_Liste_KPI[[#This Row],[KPI Charges]]="KO",Tableau_Liste_KPI[[#This Row],[Charge commandée]]-Tableau_Liste_KPI[[#This Row],[Total]],"")</f>
        <v>#REF!</v>
      </c>
    </row>
    <row r="27" spans="1:36" ht="12" customHeight="1" x14ac:dyDescent="0.2">
      <c r="A27" s="45" t="s">
        <v>512</v>
      </c>
      <c r="B27" s="45" t="s">
        <v>655</v>
      </c>
      <c r="C27" s="12" t="s">
        <v>656</v>
      </c>
      <c r="D27" s="45" t="s">
        <v>33</v>
      </c>
      <c r="E27" s="45" t="s">
        <v>44</v>
      </c>
      <c r="F27" s="45" t="s">
        <v>34</v>
      </c>
      <c r="G27" s="45" t="s">
        <v>689</v>
      </c>
      <c r="H27" s="46">
        <v>43076.393750000003</v>
      </c>
      <c r="I27" s="46">
        <v>43076.39402777778</v>
      </c>
      <c r="J27" s="46" t="s">
        <v>225</v>
      </c>
      <c r="K27" s="72" t="s">
        <v>225</v>
      </c>
      <c r="L27" s="47" t="s">
        <v>225</v>
      </c>
      <c r="M27" s="47">
        <v>0</v>
      </c>
      <c r="N27" s="47">
        <v>1</v>
      </c>
      <c r="O27" s="45">
        <v>10</v>
      </c>
      <c r="P27" s="47" t="s">
        <v>225</v>
      </c>
      <c r="Q27" s="47">
        <v>1</v>
      </c>
      <c r="R27" s="48">
        <v>10</v>
      </c>
      <c r="S27" s="48">
        <v>15</v>
      </c>
      <c r="T27" s="48" t="s">
        <v>225</v>
      </c>
      <c r="U27" s="48">
        <v>43090.394444444442</v>
      </c>
      <c r="V27" s="48" t="s">
        <v>225</v>
      </c>
      <c r="W27" s="48" t="s">
        <v>707</v>
      </c>
      <c r="X27" s="48" t="s">
        <v>225</v>
      </c>
      <c r="Y27" s="48">
        <v>43112</v>
      </c>
      <c r="Z27" s="48">
        <v>43119</v>
      </c>
      <c r="AA27" s="47">
        <v>912</v>
      </c>
      <c r="AB27" s="47">
        <v>1</v>
      </c>
      <c r="AC27" s="47">
        <f>SUMIF(Tableau_Liste_UO[[Code UO]:[Code UO]],Tableau_Liste_KPI[[#This Row],[Code UO]], Tableau_Liste_UO[RAF])</f>
        <v>0</v>
      </c>
      <c r="AD27" s="47" t="e">
        <f>SUMIF(Tableau_Liste_UO[[Code UO]:[Code UO]],Tableau_Liste_KPI[[#This Row],[Code UO]], #REF!)</f>
        <v>#REF!</v>
      </c>
      <c r="AE27" s="49" t="s">
        <v>225</v>
      </c>
      <c r="AF27" s="49" t="s">
        <v>225</v>
      </c>
      <c r="AG27" s="49" t="s">
        <v>225</v>
      </c>
      <c r="AH27" s="49"/>
      <c r="AI27" s="50" t="e">
        <f>IF(Tableau_Liste_KPI[[#This Row],[Charge commandée]]="","",IF(Tableau_Liste_KPI[[#This Row],[Total]]&gt;Tableau_Liste_KPI[[#This Row],[Charge commandée]],"KO",""))</f>
        <v>#REF!</v>
      </c>
      <c r="AJ27" s="50" t="e">
        <f>IF(Tableau_Liste_KPI[[#This Row],[KPI Charges]]="KO",Tableau_Liste_KPI[[#This Row],[Charge commandée]]-Tableau_Liste_KPI[[#This Row],[Total]],"")</f>
        <v>#REF!</v>
      </c>
    </row>
    <row r="28" spans="1:36" ht="12" customHeight="1" x14ac:dyDescent="0.2">
      <c r="A28" s="45" t="s">
        <v>511</v>
      </c>
      <c r="B28" s="45" t="s">
        <v>657</v>
      </c>
      <c r="C28" s="12" t="s">
        <v>309</v>
      </c>
      <c r="D28" s="45" t="s">
        <v>37</v>
      </c>
      <c r="E28" s="45" t="s">
        <v>539</v>
      </c>
      <c r="F28" s="45" t="s">
        <v>34</v>
      </c>
      <c r="G28" s="45" t="s">
        <v>708</v>
      </c>
      <c r="H28" s="46">
        <v>43075.724305555559</v>
      </c>
      <c r="I28" s="46" t="s">
        <v>225</v>
      </c>
      <c r="J28" s="46" t="s">
        <v>225</v>
      </c>
      <c r="K28" s="72" t="s">
        <v>225</v>
      </c>
      <c r="L28" s="47">
        <v>15.275694444440887</v>
      </c>
      <c r="M28" s="47">
        <v>0</v>
      </c>
      <c r="N28" s="47">
        <v>0</v>
      </c>
      <c r="O28" s="45">
        <v>0</v>
      </c>
      <c r="P28" s="47" t="s">
        <v>225</v>
      </c>
      <c r="Q28" s="47" t="s">
        <v>225</v>
      </c>
      <c r="R28" s="48">
        <v>55</v>
      </c>
      <c r="S28" s="48">
        <v>70</v>
      </c>
      <c r="T28" s="48">
        <v>43119.722222222219</v>
      </c>
      <c r="U28" s="48" t="s">
        <v>225</v>
      </c>
      <c r="V28" s="48" t="s">
        <v>225</v>
      </c>
      <c r="W28" s="48" t="s">
        <v>225</v>
      </c>
      <c r="X28" s="48" t="s">
        <v>225</v>
      </c>
      <c r="Y28" s="48" t="s">
        <v>225</v>
      </c>
      <c r="Z28" s="48" t="s">
        <v>225</v>
      </c>
      <c r="AA28" s="47">
        <v>15590</v>
      </c>
      <c r="AB28" s="47">
        <v>20.2</v>
      </c>
      <c r="AC28" s="47">
        <f>SUMIF(Tableau_Liste_UO[[Code UO]:[Code UO]],Tableau_Liste_KPI[[#This Row],[Code UO]], Tableau_Liste_UO[RAF])</f>
        <v>0</v>
      </c>
      <c r="AD28" s="47" t="e">
        <f>SUMIF(Tableau_Liste_UO[[Code UO]:[Code UO]],Tableau_Liste_KPI[[#This Row],[Code UO]], #REF!)</f>
        <v>#REF!</v>
      </c>
      <c r="AE28" s="49" t="s">
        <v>225</v>
      </c>
      <c r="AF28" s="49" t="s">
        <v>225</v>
      </c>
      <c r="AG28" s="49" t="s">
        <v>225</v>
      </c>
      <c r="AH28" s="49"/>
      <c r="AI28" s="50" t="e">
        <f>IF(Tableau_Liste_KPI[[#This Row],[Charge commandée]]="","",IF(Tableau_Liste_KPI[[#This Row],[Total]]&gt;Tableau_Liste_KPI[[#This Row],[Charge commandée]],"KO",""))</f>
        <v>#REF!</v>
      </c>
      <c r="AJ28" s="50" t="e">
        <f>IF(Tableau_Liste_KPI[[#This Row],[KPI Charges]]="KO",Tableau_Liste_KPI[[#This Row],[Charge commandée]]-Tableau_Liste_KPI[[#This Row],[Total]],"")</f>
        <v>#REF!</v>
      </c>
    </row>
    <row r="29" spans="1:36" ht="12" customHeight="1" x14ac:dyDescent="0.2">
      <c r="A29" s="45" t="s">
        <v>510</v>
      </c>
      <c r="B29" s="45" t="s">
        <v>640</v>
      </c>
      <c r="C29" s="12" t="s">
        <v>281</v>
      </c>
      <c r="D29" s="45" t="s">
        <v>33</v>
      </c>
      <c r="E29" s="45" t="s">
        <v>544</v>
      </c>
      <c r="F29" s="45" t="s">
        <v>34</v>
      </c>
      <c r="G29" s="45" t="s">
        <v>701</v>
      </c>
      <c r="H29" s="46">
        <v>43074.65347222222</v>
      </c>
      <c r="I29" s="46">
        <v>43080.690729166665</v>
      </c>
      <c r="J29" s="46" t="s">
        <v>225</v>
      </c>
      <c r="K29" s="72" t="s">
        <v>225</v>
      </c>
      <c r="L29" s="47" t="s">
        <v>225</v>
      </c>
      <c r="M29" s="47">
        <v>2</v>
      </c>
      <c r="N29" s="47">
        <v>8</v>
      </c>
      <c r="O29" s="45">
        <v>0</v>
      </c>
      <c r="P29" s="47" t="s">
        <v>225</v>
      </c>
      <c r="Q29" s="47">
        <v>10</v>
      </c>
      <c r="R29" s="48" t="s">
        <v>225</v>
      </c>
      <c r="S29" s="48" t="s">
        <v>225</v>
      </c>
      <c r="T29" s="48" t="s">
        <v>225</v>
      </c>
      <c r="U29" s="48" t="s">
        <v>225</v>
      </c>
      <c r="V29" s="48" t="s">
        <v>225</v>
      </c>
      <c r="W29" s="48" t="s">
        <v>707</v>
      </c>
      <c r="X29" s="48" t="s">
        <v>225</v>
      </c>
      <c r="Y29" s="48">
        <v>43112.650694444441</v>
      </c>
      <c r="Z29" s="48">
        <v>43112.650694444441</v>
      </c>
      <c r="AA29" s="47">
        <v>2250</v>
      </c>
      <c r="AB29" s="47">
        <v>3</v>
      </c>
      <c r="AC29" s="47">
        <f>SUMIF(Tableau_Liste_UO[[Code UO]:[Code UO]],Tableau_Liste_KPI[[#This Row],[Code UO]], Tableau_Liste_UO[RAF])</f>
        <v>0</v>
      </c>
      <c r="AD29" s="47" t="e">
        <f>SUMIF(Tableau_Liste_UO[[Code UO]:[Code UO]],Tableau_Liste_KPI[[#This Row],[Code UO]], #REF!)</f>
        <v>#REF!</v>
      </c>
      <c r="AE29" s="49" t="s">
        <v>225</v>
      </c>
      <c r="AF29" s="49" t="s">
        <v>225</v>
      </c>
      <c r="AG29" s="49" t="s">
        <v>225</v>
      </c>
      <c r="AH29" s="49"/>
      <c r="AI29" s="50" t="e">
        <f>IF(Tableau_Liste_KPI[[#This Row],[Charge commandée]]="","",IF(Tableau_Liste_KPI[[#This Row],[Total]]&gt;Tableau_Liste_KPI[[#This Row],[Charge commandée]],"KO",""))</f>
        <v>#REF!</v>
      </c>
      <c r="AJ29" s="50" t="e">
        <f>IF(Tableau_Liste_KPI[[#This Row],[KPI Charges]]="KO",Tableau_Liste_KPI[[#This Row],[Charge commandée]]-Tableau_Liste_KPI[[#This Row],[Total]],"")</f>
        <v>#REF!</v>
      </c>
    </row>
    <row r="30" spans="1:36" ht="12" customHeight="1" x14ac:dyDescent="0.2">
      <c r="A30" s="45" t="s">
        <v>509</v>
      </c>
      <c r="B30" s="45" t="s">
        <v>543</v>
      </c>
      <c r="C30" s="12" t="s">
        <v>309</v>
      </c>
      <c r="D30" s="45" t="s">
        <v>33</v>
      </c>
      <c r="E30" s="45" t="s">
        <v>44</v>
      </c>
      <c r="F30" s="45" t="s">
        <v>43</v>
      </c>
      <c r="G30" s="45" t="s">
        <v>689</v>
      </c>
      <c r="H30" s="46">
        <v>43069.404166666667</v>
      </c>
      <c r="I30" s="46" t="s">
        <v>225</v>
      </c>
      <c r="J30" s="46" t="s">
        <v>225</v>
      </c>
      <c r="K30" s="72" t="s">
        <v>225</v>
      </c>
      <c r="L30" s="47">
        <v>21.595833333332848</v>
      </c>
      <c r="M30" s="47">
        <v>0</v>
      </c>
      <c r="N30" s="47">
        <v>0</v>
      </c>
      <c r="O30" s="45">
        <v>0</v>
      </c>
      <c r="P30" s="47" t="s">
        <v>225</v>
      </c>
      <c r="Q30" s="47" t="s">
        <v>225</v>
      </c>
      <c r="R30" s="48">
        <v>10</v>
      </c>
      <c r="S30" s="48">
        <v>15</v>
      </c>
      <c r="T30" s="48" t="s">
        <v>225</v>
      </c>
      <c r="U30" s="48" t="s">
        <v>225</v>
      </c>
      <c r="V30" s="48" t="s">
        <v>225</v>
      </c>
      <c r="W30" s="48" t="s">
        <v>225</v>
      </c>
      <c r="X30" s="48" t="s">
        <v>225</v>
      </c>
      <c r="Y30" s="48" t="s">
        <v>225</v>
      </c>
      <c r="Z30" s="48" t="s">
        <v>225</v>
      </c>
      <c r="AA30" s="47">
        <v>912</v>
      </c>
      <c r="AB30" s="47">
        <v>1</v>
      </c>
      <c r="AC30" s="47">
        <f>SUMIF(Tableau_Liste_UO[[Code UO]:[Code UO]],Tableau_Liste_KPI[[#This Row],[Code UO]], Tableau_Liste_UO[RAF])</f>
        <v>0</v>
      </c>
      <c r="AD30" s="47" t="e">
        <f>SUMIF(Tableau_Liste_UO[[Code UO]:[Code UO]],Tableau_Liste_KPI[[#This Row],[Code UO]], #REF!)</f>
        <v>#REF!</v>
      </c>
      <c r="AE30" s="49" t="s">
        <v>225</v>
      </c>
      <c r="AF30" s="49" t="s">
        <v>225</v>
      </c>
      <c r="AG30" s="49" t="s">
        <v>225</v>
      </c>
      <c r="AH30" s="49"/>
      <c r="AI30" s="50" t="e">
        <f>IF(Tableau_Liste_KPI[[#This Row],[Charge commandée]]="","",IF(Tableau_Liste_KPI[[#This Row],[Total]]&gt;Tableau_Liste_KPI[[#This Row],[Charge commandée]],"KO",""))</f>
        <v>#REF!</v>
      </c>
      <c r="AJ30" s="50" t="e">
        <f>IF(Tableau_Liste_KPI[[#This Row],[KPI Charges]]="KO",Tableau_Liste_KPI[[#This Row],[Charge commandée]]-Tableau_Liste_KPI[[#This Row],[Total]],"")</f>
        <v>#REF!</v>
      </c>
    </row>
    <row r="31" spans="1:36" ht="12" customHeight="1" x14ac:dyDescent="0.2">
      <c r="A31" s="12" t="s">
        <v>508</v>
      </c>
      <c r="B31" s="12" t="s">
        <v>545</v>
      </c>
      <c r="C31" s="12" t="s">
        <v>309</v>
      </c>
      <c r="D31" s="12" t="s">
        <v>33</v>
      </c>
      <c r="E31" s="12" t="s">
        <v>539</v>
      </c>
      <c r="F31" s="12" t="s">
        <v>43</v>
      </c>
      <c r="G31" s="12" t="s">
        <v>698</v>
      </c>
      <c r="H31" s="6">
        <v>43069.404166666667</v>
      </c>
      <c r="I31" s="6" t="s">
        <v>225</v>
      </c>
      <c r="J31" s="6" t="s">
        <v>225</v>
      </c>
      <c r="K31" s="69" t="s">
        <v>225</v>
      </c>
      <c r="L31" s="13">
        <v>21.595833333332848</v>
      </c>
      <c r="M31" s="13">
        <v>0</v>
      </c>
      <c r="N31" s="13">
        <v>0</v>
      </c>
      <c r="O31" s="12">
        <v>0</v>
      </c>
      <c r="P31" s="13" t="s">
        <v>225</v>
      </c>
      <c r="Q31" s="13" t="s">
        <v>225</v>
      </c>
      <c r="R31" s="33">
        <v>5</v>
      </c>
      <c r="S31" s="33">
        <v>8</v>
      </c>
      <c r="T31" s="33" t="s">
        <v>225</v>
      </c>
      <c r="U31" s="33" t="s">
        <v>225</v>
      </c>
      <c r="V31" s="33" t="s">
        <v>225</v>
      </c>
      <c r="W31" s="33" t="s">
        <v>225</v>
      </c>
      <c r="X31" s="33" t="s">
        <v>225</v>
      </c>
      <c r="Y31" s="33" t="s">
        <v>225</v>
      </c>
      <c r="Z31" s="33" t="s">
        <v>225</v>
      </c>
      <c r="AA31" s="13">
        <v>1522</v>
      </c>
      <c r="AB31" s="13">
        <v>2</v>
      </c>
      <c r="AC31" s="13">
        <f>SUMIF(Tableau_Liste_UO[[Code UO]:[Code UO]],Tableau_Liste_KPI[[#This Row],[Code UO]], Tableau_Liste_UO[RAF])</f>
        <v>0</v>
      </c>
      <c r="AD31" s="13" t="e">
        <f>SUMIF(Tableau_Liste_UO[[Code UO]:[Code UO]],Tableau_Liste_KPI[[#This Row],[Code UO]], #REF!)</f>
        <v>#REF!</v>
      </c>
      <c r="AE31" s="34" t="s">
        <v>225</v>
      </c>
      <c r="AF31" s="34" t="s">
        <v>225</v>
      </c>
      <c r="AG31" s="34" t="s">
        <v>225</v>
      </c>
      <c r="AH31" s="34"/>
      <c r="AI31" s="35" t="e">
        <f>IF(Tableau_Liste_KPI[[#This Row],[Charge commandée]]="","",IF(Tableau_Liste_KPI[[#This Row],[Total]]&gt;Tableau_Liste_KPI[[#This Row],[Charge commandée]],"KO",""))</f>
        <v>#REF!</v>
      </c>
      <c r="AJ31" s="35" t="e">
        <f>IF(Tableau_Liste_KPI[[#This Row],[KPI Charges]]="KO",Tableau_Liste_KPI[[#This Row],[Charge commandée]]-Tableau_Liste_KPI[[#This Row],[Total]],"")</f>
        <v>#REF!</v>
      </c>
    </row>
    <row r="32" spans="1:36" ht="12" customHeight="1" x14ac:dyDescent="0.2">
      <c r="A32" s="55" t="s">
        <v>507</v>
      </c>
      <c r="B32" s="12" t="s">
        <v>546</v>
      </c>
      <c r="C32" s="12" t="s">
        <v>174</v>
      </c>
      <c r="D32" s="12" t="s">
        <v>33</v>
      </c>
      <c r="E32" s="12" t="s">
        <v>538</v>
      </c>
      <c r="F32" s="12" t="s">
        <v>43</v>
      </c>
      <c r="G32" s="12" t="s">
        <v>696</v>
      </c>
      <c r="H32" s="6">
        <v>43069.402777777781</v>
      </c>
      <c r="I32" s="6">
        <v>43069.406064814815</v>
      </c>
      <c r="J32" s="6">
        <v>43089.662129629629</v>
      </c>
      <c r="K32" s="69" t="s">
        <v>225</v>
      </c>
      <c r="L32" s="13" t="s">
        <v>225</v>
      </c>
      <c r="M32" s="13">
        <v>2</v>
      </c>
      <c r="N32" s="13">
        <v>6</v>
      </c>
      <c r="O32" s="12">
        <v>6</v>
      </c>
      <c r="P32" s="13">
        <v>2</v>
      </c>
      <c r="Q32" s="13">
        <v>8</v>
      </c>
      <c r="R32" s="33">
        <v>10</v>
      </c>
      <c r="S32" s="33">
        <v>15</v>
      </c>
      <c r="T32" s="33" t="s">
        <v>225</v>
      </c>
      <c r="U32" s="33">
        <v>43082.510416666664</v>
      </c>
      <c r="V32" s="33">
        <v>43091.472222222219</v>
      </c>
      <c r="W32" s="33" t="s">
        <v>694</v>
      </c>
      <c r="X32" s="33" t="s">
        <v>225</v>
      </c>
      <c r="Y32" s="33">
        <v>43091</v>
      </c>
      <c r="Z32" s="33">
        <v>43108</v>
      </c>
      <c r="AA32" s="13">
        <v>3424</v>
      </c>
      <c r="AB32" s="13">
        <v>5</v>
      </c>
      <c r="AC32" s="13">
        <f>SUMIF(Tableau_Liste_UO[[Code UO]:[Code UO]],Tableau_Liste_KPI[[#This Row],[Code UO]], Tableau_Liste_UO[RAF])</f>
        <v>0</v>
      </c>
      <c r="AD32" s="13" t="e">
        <f>SUMIF(Tableau_Liste_UO[[Code UO]:[Code UO]],Tableau_Liste_KPI[[#This Row],[Code UO]], #REF!)</f>
        <v>#REF!</v>
      </c>
      <c r="AE32" s="34" t="s">
        <v>225</v>
      </c>
      <c r="AF32" s="34" t="s">
        <v>225</v>
      </c>
      <c r="AG32" s="34" t="s">
        <v>225</v>
      </c>
      <c r="AH32" s="34"/>
      <c r="AI32" s="35" t="e">
        <f>IF(Tableau_Liste_KPI[[#This Row],[Charge commandée]]="","",IF(Tableau_Liste_KPI[[#This Row],[Total]]&gt;Tableau_Liste_KPI[[#This Row],[Charge commandée]],"KO",""))</f>
        <v>#REF!</v>
      </c>
      <c r="AJ32" s="35" t="e">
        <f>IF(Tableau_Liste_KPI[[#This Row],[KPI Charges]]="KO",Tableau_Liste_KPI[[#This Row],[Charge commandée]]-Tableau_Liste_KPI[[#This Row],[Total]],"")</f>
        <v>#REF!</v>
      </c>
    </row>
    <row r="33" spans="1:36" ht="12" customHeight="1" x14ac:dyDescent="0.2">
      <c r="A33" s="45" t="s">
        <v>506</v>
      </c>
      <c r="B33" s="45" t="s">
        <v>536</v>
      </c>
      <c r="C33" s="12" t="s">
        <v>281</v>
      </c>
      <c r="D33" s="45" t="s">
        <v>37</v>
      </c>
      <c r="E33" s="45" t="s">
        <v>544</v>
      </c>
      <c r="F33" s="45" t="s">
        <v>34</v>
      </c>
      <c r="G33" s="45" t="s">
        <v>702</v>
      </c>
      <c r="H33" s="46">
        <v>43067.51458333333</v>
      </c>
      <c r="I33" s="46">
        <v>43067.515162037038</v>
      </c>
      <c r="J33" s="46" t="s">
        <v>225</v>
      </c>
      <c r="K33" s="72" t="s">
        <v>225</v>
      </c>
      <c r="L33" s="47" t="s">
        <v>225</v>
      </c>
      <c r="M33" s="47">
        <v>0</v>
      </c>
      <c r="N33" s="47">
        <v>18</v>
      </c>
      <c r="O33" s="45">
        <v>0</v>
      </c>
      <c r="P33" s="47" t="s">
        <v>225</v>
      </c>
      <c r="Q33" s="47">
        <v>18</v>
      </c>
      <c r="R33" s="48" t="s">
        <v>225</v>
      </c>
      <c r="S33" s="48" t="s">
        <v>225</v>
      </c>
      <c r="T33" s="48" t="s">
        <v>225</v>
      </c>
      <c r="U33" s="48" t="s">
        <v>225</v>
      </c>
      <c r="V33" s="48" t="s">
        <v>225</v>
      </c>
      <c r="W33" s="48" t="s">
        <v>694</v>
      </c>
      <c r="X33" s="48" t="s">
        <v>225</v>
      </c>
      <c r="Y33" s="48">
        <v>43084.583333333336</v>
      </c>
      <c r="Z33" s="48">
        <v>43084.583333333336</v>
      </c>
      <c r="AA33" s="47">
        <v>1500</v>
      </c>
      <c r="AB33" s="47">
        <v>2</v>
      </c>
      <c r="AC33" s="47">
        <f>SUMIF(Tableau_Liste_UO[[Code UO]:[Code UO]],Tableau_Liste_KPI[[#This Row],[Code UO]], Tableau_Liste_UO[RAF])</f>
        <v>0</v>
      </c>
      <c r="AD33" s="47" t="e">
        <f>SUMIF(Tableau_Liste_UO[[Code UO]:[Code UO]],Tableau_Liste_KPI[[#This Row],[Code UO]], #REF!)</f>
        <v>#REF!</v>
      </c>
      <c r="AE33" s="49" t="s">
        <v>225</v>
      </c>
      <c r="AF33" s="49" t="s">
        <v>225</v>
      </c>
      <c r="AG33" s="49" t="s">
        <v>225</v>
      </c>
      <c r="AH33" s="49"/>
      <c r="AI33" s="50" t="e">
        <f>IF(Tableau_Liste_KPI[[#This Row],[Charge commandée]]="","",IF(Tableau_Liste_KPI[[#This Row],[Total]]&gt;Tableau_Liste_KPI[[#This Row],[Charge commandée]],"KO",""))</f>
        <v>#REF!</v>
      </c>
      <c r="AJ33" s="50" t="e">
        <f>IF(Tableau_Liste_KPI[[#This Row],[KPI Charges]]="KO",Tableau_Liste_KPI[[#This Row],[Charge commandée]]-Tableau_Liste_KPI[[#This Row],[Total]],"")</f>
        <v>#REF!</v>
      </c>
    </row>
    <row r="34" spans="1:36" ht="12" customHeight="1" x14ac:dyDescent="0.2">
      <c r="A34" s="45" t="s">
        <v>505</v>
      </c>
      <c r="B34" s="45" t="s">
        <v>537</v>
      </c>
      <c r="C34" s="12" t="s">
        <v>281</v>
      </c>
      <c r="D34" s="45" t="s">
        <v>33</v>
      </c>
      <c r="E34" s="45" t="s">
        <v>544</v>
      </c>
      <c r="F34" s="45" t="s">
        <v>34</v>
      </c>
      <c r="G34" s="45" t="s">
        <v>701</v>
      </c>
      <c r="H34" s="46">
        <v>43066.646527777775</v>
      </c>
      <c r="I34" s="46">
        <v>43066.647199074076</v>
      </c>
      <c r="J34" s="46" t="s">
        <v>225</v>
      </c>
      <c r="K34" s="72" t="s">
        <v>225</v>
      </c>
      <c r="L34" s="47" t="s">
        <v>225</v>
      </c>
      <c r="M34" s="47">
        <v>2</v>
      </c>
      <c r="N34" s="47">
        <v>18</v>
      </c>
      <c r="O34" s="45">
        <v>0</v>
      </c>
      <c r="P34" s="47" t="s">
        <v>225</v>
      </c>
      <c r="Q34" s="47">
        <v>20</v>
      </c>
      <c r="R34" s="48" t="s">
        <v>225</v>
      </c>
      <c r="S34" s="48" t="s">
        <v>225</v>
      </c>
      <c r="T34" s="48" t="s">
        <v>225</v>
      </c>
      <c r="U34" s="48" t="s">
        <v>225</v>
      </c>
      <c r="V34" s="48" t="s">
        <v>225</v>
      </c>
      <c r="W34" s="48" t="s">
        <v>694</v>
      </c>
      <c r="X34" s="48" t="s">
        <v>225</v>
      </c>
      <c r="Y34" s="48">
        <v>43080.642361111109</v>
      </c>
      <c r="Z34" s="48">
        <v>43080.642361111109</v>
      </c>
      <c r="AA34" s="47">
        <v>2250</v>
      </c>
      <c r="AB34" s="47">
        <v>3</v>
      </c>
      <c r="AC34" s="47">
        <f>SUMIF(Tableau_Liste_UO[[Code UO]:[Code UO]],Tableau_Liste_KPI[[#This Row],[Code UO]], Tableau_Liste_UO[RAF])</f>
        <v>0</v>
      </c>
      <c r="AD34" s="47" t="e">
        <f>SUMIF(Tableau_Liste_UO[[Code UO]:[Code UO]],Tableau_Liste_KPI[[#This Row],[Code UO]], #REF!)</f>
        <v>#REF!</v>
      </c>
      <c r="AE34" s="49" t="s">
        <v>225</v>
      </c>
      <c r="AF34" s="49" t="s">
        <v>225</v>
      </c>
      <c r="AG34" s="49" t="s">
        <v>225</v>
      </c>
      <c r="AH34" s="49"/>
      <c r="AI34" s="50" t="e">
        <f>IF(Tableau_Liste_KPI[[#This Row],[Charge commandée]]="","",IF(Tableau_Liste_KPI[[#This Row],[Total]]&gt;Tableau_Liste_KPI[[#This Row],[Charge commandée]],"KO",""))</f>
        <v>#REF!</v>
      </c>
      <c r="AJ34" s="50" t="e">
        <f>IF(Tableau_Liste_KPI[[#This Row],[KPI Charges]]="KO",Tableau_Liste_KPI[[#This Row],[Charge commandée]]-Tableau_Liste_KPI[[#This Row],[Total]],"")</f>
        <v>#REF!</v>
      </c>
    </row>
    <row r="35" spans="1:36" ht="12" customHeight="1" x14ac:dyDescent="0.2">
      <c r="A35" s="45" t="s">
        <v>504</v>
      </c>
      <c r="B35" s="45" t="s">
        <v>547</v>
      </c>
      <c r="C35" s="12" t="s">
        <v>259</v>
      </c>
      <c r="D35" s="45" t="s">
        <v>33</v>
      </c>
      <c r="E35" s="45" t="s">
        <v>99</v>
      </c>
      <c r="F35" s="45" t="s">
        <v>225</v>
      </c>
      <c r="G35" s="45" t="s">
        <v>714</v>
      </c>
      <c r="H35" s="46">
        <v>43063.686111111114</v>
      </c>
      <c r="I35" s="46">
        <v>43063.690115740741</v>
      </c>
      <c r="J35" s="46">
        <v>43069.509583333333</v>
      </c>
      <c r="K35" s="72">
        <v>43083.549490740741</v>
      </c>
      <c r="L35" s="47" t="s">
        <v>225</v>
      </c>
      <c r="M35" s="47">
        <v>4</v>
      </c>
      <c r="N35" s="47">
        <v>1</v>
      </c>
      <c r="O35" s="45">
        <v>0</v>
      </c>
      <c r="P35" s="47">
        <v>10</v>
      </c>
      <c r="Q35" s="47">
        <v>5</v>
      </c>
      <c r="R35" s="48" t="s">
        <v>225</v>
      </c>
      <c r="S35" s="48" t="s">
        <v>225</v>
      </c>
      <c r="T35" s="48" t="s">
        <v>225</v>
      </c>
      <c r="U35" s="48">
        <v>43069.39166666667</v>
      </c>
      <c r="V35" s="48" t="s">
        <v>225</v>
      </c>
      <c r="W35" s="48" t="s">
        <v>694</v>
      </c>
      <c r="X35" s="48" t="s">
        <v>707</v>
      </c>
      <c r="Y35" s="48" t="s">
        <v>225</v>
      </c>
      <c r="Z35" s="48" t="s">
        <v>225</v>
      </c>
      <c r="AA35" s="47">
        <v>635</v>
      </c>
      <c r="AB35" s="47">
        <v>0.7</v>
      </c>
      <c r="AC35" s="47">
        <f>SUMIF(Tableau_Liste_UO[[Code UO]:[Code UO]],Tableau_Liste_KPI[[#This Row],[Code UO]], Tableau_Liste_UO[RAF])</f>
        <v>0</v>
      </c>
      <c r="AD35" s="47" t="e">
        <f>SUMIF(Tableau_Liste_UO[[Code UO]:[Code UO]],Tableau_Liste_KPI[[#This Row],[Code UO]], #REF!)</f>
        <v>#REF!</v>
      </c>
      <c r="AE35" s="49" t="s">
        <v>225</v>
      </c>
      <c r="AF35" s="49" t="s">
        <v>225</v>
      </c>
      <c r="AG35" s="49" t="s">
        <v>225</v>
      </c>
      <c r="AH35" s="49"/>
      <c r="AI35" s="50" t="e">
        <f>IF(Tableau_Liste_KPI[[#This Row],[Charge commandée]]="","",IF(Tableau_Liste_KPI[[#This Row],[Total]]&gt;Tableau_Liste_KPI[[#This Row],[Charge commandée]],"KO",""))</f>
        <v>#REF!</v>
      </c>
      <c r="AJ35" s="50" t="e">
        <f>IF(Tableau_Liste_KPI[[#This Row],[KPI Charges]]="KO",Tableau_Liste_KPI[[#This Row],[Charge commandée]]-Tableau_Liste_KPI[[#This Row],[Total]],"")</f>
        <v>#REF!</v>
      </c>
    </row>
    <row r="36" spans="1:36" ht="12" customHeight="1" x14ac:dyDescent="0.2">
      <c r="A36" s="12" t="s">
        <v>503</v>
      </c>
      <c r="B36" s="12" t="s">
        <v>532</v>
      </c>
      <c r="C36" s="12" t="s">
        <v>309</v>
      </c>
      <c r="D36" s="12" t="s">
        <v>33</v>
      </c>
      <c r="E36" s="12" t="s">
        <v>44</v>
      </c>
      <c r="F36" s="12" t="s">
        <v>225</v>
      </c>
      <c r="G36" s="12" t="s">
        <v>689</v>
      </c>
      <c r="H36" s="6">
        <v>43063.682638888888</v>
      </c>
      <c r="I36" s="6" t="s">
        <v>225</v>
      </c>
      <c r="J36" s="6" t="s">
        <v>225</v>
      </c>
      <c r="K36" s="69" t="s">
        <v>225</v>
      </c>
      <c r="L36" s="13">
        <v>27.317361111112405</v>
      </c>
      <c r="M36" s="13">
        <v>0</v>
      </c>
      <c r="N36" s="13">
        <v>0</v>
      </c>
      <c r="O36" s="12">
        <v>0</v>
      </c>
      <c r="P36" s="13" t="s">
        <v>225</v>
      </c>
      <c r="Q36" s="13" t="s">
        <v>225</v>
      </c>
      <c r="R36" s="33">
        <v>10</v>
      </c>
      <c r="S36" s="33">
        <v>15</v>
      </c>
      <c r="T36" s="33" t="s">
        <v>225</v>
      </c>
      <c r="U36" s="33" t="s">
        <v>225</v>
      </c>
      <c r="V36" s="33" t="s">
        <v>225</v>
      </c>
      <c r="W36" s="33" t="s">
        <v>225</v>
      </c>
      <c r="X36" s="33" t="s">
        <v>225</v>
      </c>
      <c r="Y36" s="33" t="s">
        <v>225</v>
      </c>
      <c r="Z36" s="33" t="s">
        <v>225</v>
      </c>
      <c r="AA36" s="13">
        <v>912</v>
      </c>
      <c r="AB36" s="13">
        <v>1</v>
      </c>
      <c r="AC36" s="13">
        <f>SUMIF(Tableau_Liste_UO[[Code UO]:[Code UO]],Tableau_Liste_KPI[[#This Row],[Code UO]], Tableau_Liste_UO[RAF])</f>
        <v>0</v>
      </c>
      <c r="AD36" s="13" t="e">
        <f>SUMIF(Tableau_Liste_UO[[Code UO]:[Code UO]],Tableau_Liste_KPI[[#This Row],[Code UO]], #REF!)</f>
        <v>#REF!</v>
      </c>
      <c r="AE36" s="34" t="s">
        <v>225</v>
      </c>
      <c r="AF36" s="34" t="s">
        <v>225</v>
      </c>
      <c r="AG36" s="34" t="s">
        <v>225</v>
      </c>
      <c r="AH36" s="34"/>
      <c r="AI36" s="35" t="e">
        <f>IF(Tableau_Liste_KPI[[#This Row],[Charge commandée]]="","",IF(Tableau_Liste_KPI[[#This Row],[Total]]&gt;Tableau_Liste_KPI[[#This Row],[Charge commandée]],"KO",""))</f>
        <v>#REF!</v>
      </c>
      <c r="AJ36" s="35" t="e">
        <f>IF(Tableau_Liste_KPI[[#This Row],[KPI Charges]]="KO",Tableau_Liste_KPI[[#This Row],[Charge commandée]]-Tableau_Liste_KPI[[#This Row],[Total]],"")</f>
        <v>#REF!</v>
      </c>
    </row>
    <row r="37" spans="1:36" ht="12" customHeight="1" x14ac:dyDescent="0.2">
      <c r="A37" s="45" t="s">
        <v>502</v>
      </c>
      <c r="B37" s="45" t="s">
        <v>533</v>
      </c>
      <c r="C37" s="12" t="s">
        <v>656</v>
      </c>
      <c r="D37" s="45" t="s">
        <v>37</v>
      </c>
      <c r="E37" s="45" t="s">
        <v>63</v>
      </c>
      <c r="F37" s="45" t="s">
        <v>34</v>
      </c>
      <c r="G37" s="45" t="s">
        <v>704</v>
      </c>
      <c r="H37" s="46">
        <v>43063.680555555555</v>
      </c>
      <c r="I37" s="46">
        <v>43070.63422453704</v>
      </c>
      <c r="J37" s="46" t="s">
        <v>225</v>
      </c>
      <c r="K37" s="72" t="s">
        <v>225</v>
      </c>
      <c r="L37" s="47" t="s">
        <v>225</v>
      </c>
      <c r="M37" s="47">
        <v>2</v>
      </c>
      <c r="N37" s="47">
        <v>1</v>
      </c>
      <c r="O37" s="45">
        <v>13</v>
      </c>
      <c r="P37" s="47" t="s">
        <v>225</v>
      </c>
      <c r="Q37" s="47">
        <v>3</v>
      </c>
      <c r="R37" s="48">
        <v>7</v>
      </c>
      <c r="S37" s="48">
        <v>20</v>
      </c>
      <c r="T37" s="48">
        <v>43073.680555555555</v>
      </c>
      <c r="U37" s="48">
        <v>43082.757638888892</v>
      </c>
      <c r="V37" s="48">
        <v>43130.75</v>
      </c>
      <c r="W37" s="48" t="s">
        <v>707</v>
      </c>
      <c r="X37" s="48" t="s">
        <v>225</v>
      </c>
      <c r="Y37" s="48">
        <v>43108</v>
      </c>
      <c r="Z37" s="48">
        <v>43125</v>
      </c>
      <c r="AA37" s="47">
        <v>5777</v>
      </c>
      <c r="AB37" s="47">
        <v>7.1</v>
      </c>
      <c r="AC37" s="47">
        <f>SUMIF(Tableau_Liste_UO[[Code UO]:[Code UO]],Tableau_Liste_KPI[[#This Row],[Code UO]], Tableau_Liste_UO[RAF])</f>
        <v>0</v>
      </c>
      <c r="AD37" s="47" t="e">
        <f>SUMIF(Tableau_Liste_UO[[Code UO]:[Code UO]],Tableau_Liste_KPI[[#This Row],[Code UO]], #REF!)</f>
        <v>#REF!</v>
      </c>
      <c r="AE37" s="49" t="s">
        <v>225</v>
      </c>
      <c r="AF37" s="49" t="s">
        <v>225</v>
      </c>
      <c r="AG37" s="49" t="s">
        <v>225</v>
      </c>
      <c r="AH37" s="49"/>
      <c r="AI37" s="50" t="e">
        <f>IF(Tableau_Liste_KPI[[#This Row],[Charge commandée]]="","",IF(Tableau_Liste_KPI[[#This Row],[Total]]&gt;Tableau_Liste_KPI[[#This Row],[Charge commandée]],"KO",""))</f>
        <v>#REF!</v>
      </c>
      <c r="AJ37" s="50" t="e">
        <f>IF(Tableau_Liste_KPI[[#This Row],[KPI Charges]]="KO",Tableau_Liste_KPI[[#This Row],[Charge commandée]]-Tableau_Liste_KPI[[#This Row],[Total]],"")</f>
        <v>#REF!</v>
      </c>
    </row>
    <row r="38" spans="1:36" ht="12" customHeight="1" x14ac:dyDescent="0.2">
      <c r="A38" s="12" t="s">
        <v>501</v>
      </c>
      <c r="B38" s="12" t="s">
        <v>534</v>
      </c>
      <c r="C38" s="12" t="s">
        <v>309</v>
      </c>
      <c r="D38" s="12" t="s">
        <v>33</v>
      </c>
      <c r="E38" s="12" t="s">
        <v>544</v>
      </c>
      <c r="F38" s="12" t="s">
        <v>34</v>
      </c>
      <c r="G38" s="12" t="s">
        <v>701</v>
      </c>
      <c r="H38" s="6">
        <v>43063.675694444442</v>
      </c>
      <c r="I38" s="6" t="s">
        <v>225</v>
      </c>
      <c r="J38" s="6" t="s">
        <v>225</v>
      </c>
      <c r="K38" s="69" t="s">
        <v>225</v>
      </c>
      <c r="L38" s="13">
        <v>27.324305555557657</v>
      </c>
      <c r="M38" s="13">
        <v>0</v>
      </c>
      <c r="N38" s="13">
        <v>0</v>
      </c>
      <c r="O38" s="12">
        <v>0</v>
      </c>
      <c r="P38" s="13" t="s">
        <v>225</v>
      </c>
      <c r="Q38" s="13" t="s">
        <v>225</v>
      </c>
      <c r="R38" s="33" t="s">
        <v>225</v>
      </c>
      <c r="S38" s="33" t="s">
        <v>225</v>
      </c>
      <c r="T38" s="33" t="s">
        <v>225</v>
      </c>
      <c r="U38" s="33" t="s">
        <v>225</v>
      </c>
      <c r="V38" s="33" t="s">
        <v>225</v>
      </c>
      <c r="W38" s="33" t="s">
        <v>225</v>
      </c>
      <c r="X38" s="33" t="s">
        <v>225</v>
      </c>
      <c r="Y38" s="33">
        <v>43070.675694444442</v>
      </c>
      <c r="Z38" s="33">
        <v>43070.675694444442</v>
      </c>
      <c r="AA38" s="13">
        <v>750</v>
      </c>
      <c r="AB38" s="13">
        <v>1</v>
      </c>
      <c r="AC38" s="13">
        <f>SUMIF(Tableau_Liste_UO[[Code UO]:[Code UO]],Tableau_Liste_KPI[[#This Row],[Code UO]], Tableau_Liste_UO[RAF])</f>
        <v>0</v>
      </c>
      <c r="AD38" s="13" t="e">
        <f>SUMIF(Tableau_Liste_UO[[Code UO]:[Code UO]],Tableau_Liste_KPI[[#This Row],[Code UO]], #REF!)</f>
        <v>#REF!</v>
      </c>
      <c r="AE38" s="34" t="s">
        <v>225</v>
      </c>
      <c r="AF38" s="34" t="s">
        <v>225</v>
      </c>
      <c r="AG38" s="34" t="s">
        <v>225</v>
      </c>
      <c r="AH38" s="34"/>
      <c r="AI38" s="35" t="e">
        <f>IF(Tableau_Liste_KPI[[#This Row],[Charge commandée]]="","",IF(Tableau_Liste_KPI[[#This Row],[Total]]&gt;Tableau_Liste_KPI[[#This Row],[Charge commandée]],"KO",""))</f>
        <v>#REF!</v>
      </c>
      <c r="AJ38" s="35" t="e">
        <f>IF(Tableau_Liste_KPI[[#This Row],[KPI Charges]]="KO",Tableau_Liste_KPI[[#This Row],[Charge commandée]]-Tableau_Liste_KPI[[#This Row],[Total]],"")</f>
        <v>#REF!</v>
      </c>
    </row>
    <row r="39" spans="1:36" ht="12" customHeight="1" x14ac:dyDescent="0.2">
      <c r="A39" s="45" t="s">
        <v>500</v>
      </c>
      <c r="B39" s="45" t="s">
        <v>535</v>
      </c>
      <c r="C39" s="12" t="s">
        <v>656</v>
      </c>
      <c r="D39" s="45" t="s">
        <v>37</v>
      </c>
      <c r="E39" s="45" t="s">
        <v>63</v>
      </c>
      <c r="F39" s="45" t="s">
        <v>34</v>
      </c>
      <c r="G39" s="45" t="s">
        <v>704</v>
      </c>
      <c r="H39" s="46">
        <v>43063.65902777778</v>
      </c>
      <c r="I39" s="46">
        <v>43070.627152777779</v>
      </c>
      <c r="J39" s="46" t="s">
        <v>225</v>
      </c>
      <c r="K39" s="72" t="s">
        <v>225</v>
      </c>
      <c r="L39" s="47" t="s">
        <v>225</v>
      </c>
      <c r="M39" s="47">
        <v>2</v>
      </c>
      <c r="N39" s="47">
        <v>1</v>
      </c>
      <c r="O39" s="45">
        <v>13</v>
      </c>
      <c r="P39" s="47" t="s">
        <v>225</v>
      </c>
      <c r="Q39" s="47">
        <v>3</v>
      </c>
      <c r="R39" s="48">
        <v>7</v>
      </c>
      <c r="S39" s="48">
        <v>20</v>
      </c>
      <c r="T39" s="48">
        <v>43094.658333333333</v>
      </c>
      <c r="U39" s="48">
        <v>43091.710416666669</v>
      </c>
      <c r="V39" s="48">
        <v>43130.75</v>
      </c>
      <c r="W39" s="48" t="s">
        <v>707</v>
      </c>
      <c r="X39" s="48" t="s">
        <v>225</v>
      </c>
      <c r="Y39" s="48">
        <v>43108</v>
      </c>
      <c r="Z39" s="48">
        <v>43125</v>
      </c>
      <c r="AA39" s="47">
        <v>5777</v>
      </c>
      <c r="AB39" s="47">
        <v>7.1</v>
      </c>
      <c r="AC39" s="47">
        <f>SUMIF(Tableau_Liste_UO[[Code UO]:[Code UO]],Tableau_Liste_KPI[[#This Row],[Code UO]], Tableau_Liste_UO[RAF])</f>
        <v>0</v>
      </c>
      <c r="AD39" s="47" t="e">
        <f>SUMIF(Tableau_Liste_UO[[Code UO]:[Code UO]],Tableau_Liste_KPI[[#This Row],[Code UO]], #REF!)</f>
        <v>#REF!</v>
      </c>
      <c r="AE39" s="49" t="s">
        <v>225</v>
      </c>
      <c r="AF39" s="49" t="s">
        <v>225</v>
      </c>
      <c r="AG39" s="49" t="s">
        <v>225</v>
      </c>
      <c r="AH39" s="49"/>
      <c r="AI39" s="50" t="e">
        <f>IF(Tableau_Liste_KPI[[#This Row],[Charge commandée]]="","",IF(Tableau_Liste_KPI[[#This Row],[Total]]&gt;Tableau_Liste_KPI[[#This Row],[Charge commandée]],"KO",""))</f>
        <v>#REF!</v>
      </c>
      <c r="AJ39" s="50" t="e">
        <f>IF(Tableau_Liste_KPI[[#This Row],[KPI Charges]]="KO",Tableau_Liste_KPI[[#This Row],[Charge commandée]]-Tableau_Liste_KPI[[#This Row],[Total]],"")</f>
        <v>#REF!</v>
      </c>
    </row>
    <row r="40" spans="1:36" ht="12" customHeight="1" x14ac:dyDescent="0.2">
      <c r="A40" s="45" t="s">
        <v>488</v>
      </c>
      <c r="B40" s="45" t="s">
        <v>548</v>
      </c>
      <c r="C40" s="12" t="s">
        <v>281</v>
      </c>
      <c r="D40" s="45" t="s">
        <v>37</v>
      </c>
      <c r="E40" s="45" t="s">
        <v>544</v>
      </c>
      <c r="F40" s="45" t="s">
        <v>34</v>
      </c>
      <c r="G40" s="45" t="s">
        <v>702</v>
      </c>
      <c r="H40" s="46">
        <v>43063.520138888889</v>
      </c>
      <c r="I40" s="46">
        <v>43063.520787037036</v>
      </c>
      <c r="J40" s="46" t="s">
        <v>225</v>
      </c>
      <c r="K40" s="72" t="s">
        <v>225</v>
      </c>
      <c r="L40" s="47" t="s">
        <v>225</v>
      </c>
      <c r="M40" s="47">
        <v>0</v>
      </c>
      <c r="N40" s="47">
        <v>20</v>
      </c>
      <c r="O40" s="45">
        <v>0</v>
      </c>
      <c r="P40" s="47" t="s">
        <v>225</v>
      </c>
      <c r="Q40" s="47">
        <v>20</v>
      </c>
      <c r="R40" s="48" t="s">
        <v>225</v>
      </c>
      <c r="S40" s="48" t="s">
        <v>225</v>
      </c>
      <c r="T40" s="48" t="s">
        <v>225</v>
      </c>
      <c r="U40" s="48" t="s">
        <v>225</v>
      </c>
      <c r="V40" s="48" t="s">
        <v>225</v>
      </c>
      <c r="W40" s="48" t="s">
        <v>694</v>
      </c>
      <c r="X40" s="48" t="s">
        <v>225</v>
      </c>
      <c r="Y40" s="48">
        <v>43068.51458333333</v>
      </c>
      <c r="Z40" s="48">
        <v>43068.51458333333</v>
      </c>
      <c r="AA40" s="47">
        <v>1125</v>
      </c>
      <c r="AB40" s="47">
        <v>1.5</v>
      </c>
      <c r="AC40" s="47">
        <f>SUMIF(Tableau_Liste_UO[[Code UO]:[Code UO]],Tableau_Liste_KPI[[#This Row],[Code UO]], Tableau_Liste_UO[RAF])</f>
        <v>0</v>
      </c>
      <c r="AD40" s="47" t="e">
        <f>SUMIF(Tableau_Liste_UO[[Code UO]:[Code UO]],Tableau_Liste_KPI[[#This Row],[Code UO]], #REF!)</f>
        <v>#REF!</v>
      </c>
      <c r="AE40" s="49" t="s">
        <v>225</v>
      </c>
      <c r="AF40" s="49" t="s">
        <v>225</v>
      </c>
      <c r="AG40" s="49" t="s">
        <v>225</v>
      </c>
      <c r="AH40" s="49"/>
      <c r="AI40" s="50" t="e">
        <f>IF(Tableau_Liste_KPI[[#This Row],[Charge commandée]]="","",IF(Tableau_Liste_KPI[[#This Row],[Total]]&gt;Tableau_Liste_KPI[[#This Row],[Charge commandée]],"KO",""))</f>
        <v>#REF!</v>
      </c>
      <c r="AJ40" s="50" t="e">
        <f>IF(Tableau_Liste_KPI[[#This Row],[KPI Charges]]="KO",Tableau_Liste_KPI[[#This Row],[Charge commandée]]-Tableau_Liste_KPI[[#This Row],[Total]],"")</f>
        <v>#REF!</v>
      </c>
    </row>
    <row r="41" spans="1:36" ht="12" customHeight="1" x14ac:dyDescent="0.2">
      <c r="A41" s="45" t="s">
        <v>489</v>
      </c>
      <c r="B41" s="45" t="s">
        <v>549</v>
      </c>
      <c r="C41" s="12" t="s">
        <v>174</v>
      </c>
      <c r="D41" s="45" t="s">
        <v>33</v>
      </c>
      <c r="E41" s="45" t="s">
        <v>538</v>
      </c>
      <c r="F41" s="45" t="s">
        <v>34</v>
      </c>
      <c r="G41" s="45" t="s">
        <v>686</v>
      </c>
      <c r="H41" s="46">
        <v>43062.59652777778</v>
      </c>
      <c r="I41" s="46">
        <v>43062.597627314812</v>
      </c>
      <c r="J41" s="46">
        <v>43083.472557870373</v>
      </c>
      <c r="K41" s="72" t="s">
        <v>225</v>
      </c>
      <c r="L41" s="47" t="s">
        <v>225</v>
      </c>
      <c r="M41" s="47">
        <v>2</v>
      </c>
      <c r="N41" s="47">
        <v>8</v>
      </c>
      <c r="O41" s="45">
        <v>5</v>
      </c>
      <c r="P41" s="47">
        <v>6</v>
      </c>
      <c r="Q41" s="47">
        <v>10</v>
      </c>
      <c r="R41" s="48">
        <v>16</v>
      </c>
      <c r="S41" s="48">
        <v>24</v>
      </c>
      <c r="T41" s="48" t="s">
        <v>225</v>
      </c>
      <c r="U41" s="48">
        <v>43084.720138888886</v>
      </c>
      <c r="V41" s="48">
        <v>43116.73541666667</v>
      </c>
      <c r="W41" s="48" t="s">
        <v>694</v>
      </c>
      <c r="X41" s="48" t="s">
        <v>225</v>
      </c>
      <c r="Y41" s="48">
        <v>43091</v>
      </c>
      <c r="Z41" s="48">
        <v>43111</v>
      </c>
      <c r="AA41" s="47">
        <v>6088</v>
      </c>
      <c r="AB41" s="47">
        <v>8.1</v>
      </c>
      <c r="AC41" s="47">
        <f>SUMIF(Tableau_Liste_UO[[Code UO]:[Code UO]],Tableau_Liste_KPI[[#This Row],[Code UO]], Tableau_Liste_UO[RAF])</f>
        <v>0</v>
      </c>
      <c r="AD41" s="47" t="e">
        <f>SUMIF(Tableau_Liste_UO[[Code UO]:[Code UO]],Tableau_Liste_KPI[[#This Row],[Code UO]], #REF!)</f>
        <v>#REF!</v>
      </c>
      <c r="AE41" s="49" t="s">
        <v>225</v>
      </c>
      <c r="AF41" s="49" t="s">
        <v>225</v>
      </c>
      <c r="AG41" s="49" t="s">
        <v>225</v>
      </c>
      <c r="AH41" s="49"/>
      <c r="AI41" s="50" t="e">
        <f>IF(Tableau_Liste_KPI[[#This Row],[Charge commandée]]="","",IF(Tableau_Liste_KPI[[#This Row],[Total]]&gt;Tableau_Liste_KPI[[#This Row],[Charge commandée]],"KO",""))</f>
        <v>#REF!</v>
      </c>
      <c r="AJ41" s="50" t="e">
        <f>IF(Tableau_Liste_KPI[[#This Row],[KPI Charges]]="KO",Tableau_Liste_KPI[[#This Row],[Charge commandée]]-Tableau_Liste_KPI[[#This Row],[Total]],"")</f>
        <v>#REF!</v>
      </c>
    </row>
    <row r="42" spans="1:36" ht="12" customHeight="1" x14ac:dyDescent="0.2">
      <c r="A42" s="45" t="s">
        <v>490</v>
      </c>
      <c r="B42" s="45" t="s">
        <v>550</v>
      </c>
      <c r="C42" s="12" t="s">
        <v>656</v>
      </c>
      <c r="D42" s="45" t="s">
        <v>33</v>
      </c>
      <c r="E42" s="45" t="s">
        <v>538</v>
      </c>
      <c r="F42" s="45" t="s">
        <v>34</v>
      </c>
      <c r="G42" s="45" t="s">
        <v>686</v>
      </c>
      <c r="H42" s="46">
        <v>43062.595833333333</v>
      </c>
      <c r="I42" s="46">
        <v>43062.596898148149</v>
      </c>
      <c r="J42" s="46" t="s">
        <v>225</v>
      </c>
      <c r="K42" s="72" t="s">
        <v>225</v>
      </c>
      <c r="L42" s="47" t="s">
        <v>225</v>
      </c>
      <c r="M42" s="47">
        <v>3</v>
      </c>
      <c r="N42" s="47">
        <v>8</v>
      </c>
      <c r="O42" s="45">
        <v>11</v>
      </c>
      <c r="P42" s="47" t="s">
        <v>225</v>
      </c>
      <c r="Q42" s="47">
        <v>11</v>
      </c>
      <c r="R42" s="48">
        <v>16</v>
      </c>
      <c r="S42" s="48">
        <v>24</v>
      </c>
      <c r="T42" s="48" t="s">
        <v>225</v>
      </c>
      <c r="U42" s="48">
        <v>43084.625</v>
      </c>
      <c r="V42" s="48" t="s">
        <v>225</v>
      </c>
      <c r="W42" s="48" t="s">
        <v>694</v>
      </c>
      <c r="X42" s="48" t="s">
        <v>225</v>
      </c>
      <c r="Y42" s="48">
        <v>43109</v>
      </c>
      <c r="Z42" s="48">
        <v>43119</v>
      </c>
      <c r="AA42" s="47">
        <v>6088</v>
      </c>
      <c r="AB42" s="47">
        <v>8.1</v>
      </c>
      <c r="AC42" s="47">
        <f>SUMIF(Tableau_Liste_UO[[Code UO]:[Code UO]],Tableau_Liste_KPI[[#This Row],[Code UO]], Tableau_Liste_UO[RAF])</f>
        <v>0</v>
      </c>
      <c r="AD42" s="47" t="e">
        <f>SUMIF(Tableau_Liste_UO[[Code UO]:[Code UO]],Tableau_Liste_KPI[[#This Row],[Code UO]], #REF!)</f>
        <v>#REF!</v>
      </c>
      <c r="AE42" s="49" t="s">
        <v>225</v>
      </c>
      <c r="AF42" s="49" t="s">
        <v>225</v>
      </c>
      <c r="AG42" s="49" t="s">
        <v>225</v>
      </c>
      <c r="AH42" s="49"/>
      <c r="AI42" s="50" t="e">
        <f>IF(Tableau_Liste_KPI[[#This Row],[Charge commandée]]="","",IF(Tableau_Liste_KPI[[#This Row],[Total]]&gt;Tableau_Liste_KPI[[#This Row],[Charge commandée]],"KO",""))</f>
        <v>#REF!</v>
      </c>
      <c r="AJ42" s="50" t="e">
        <f>IF(Tableau_Liste_KPI[[#This Row],[KPI Charges]]="KO",Tableau_Liste_KPI[[#This Row],[Charge commandée]]-Tableau_Liste_KPI[[#This Row],[Total]],"")</f>
        <v>#REF!</v>
      </c>
    </row>
    <row r="43" spans="1:36" ht="12" customHeight="1" x14ac:dyDescent="0.2">
      <c r="A43" s="32" t="s">
        <v>491</v>
      </c>
      <c r="B43" s="32" t="s">
        <v>551</v>
      </c>
      <c r="C43" s="12" t="s">
        <v>656</v>
      </c>
      <c r="D43" s="12" t="s">
        <v>33</v>
      </c>
      <c r="E43" s="12" t="s">
        <v>538</v>
      </c>
      <c r="F43" s="12" t="s">
        <v>34</v>
      </c>
      <c r="G43" s="12" t="s">
        <v>686</v>
      </c>
      <c r="H43" s="6">
        <v>43062.595138888886</v>
      </c>
      <c r="I43" s="6">
        <v>43063.680104166669</v>
      </c>
      <c r="J43" s="6" t="s">
        <v>225</v>
      </c>
      <c r="K43" s="69" t="s">
        <v>225</v>
      </c>
      <c r="L43" s="13" t="s">
        <v>225</v>
      </c>
      <c r="M43" s="13">
        <v>2</v>
      </c>
      <c r="N43" s="13">
        <v>8</v>
      </c>
      <c r="O43" s="12">
        <v>11</v>
      </c>
      <c r="P43" s="13" t="s">
        <v>225</v>
      </c>
      <c r="Q43" s="13">
        <v>10</v>
      </c>
      <c r="R43" s="33">
        <v>16</v>
      </c>
      <c r="S43" s="33">
        <v>24</v>
      </c>
      <c r="T43" s="33" t="s">
        <v>225</v>
      </c>
      <c r="U43" s="33">
        <v>43084.625694444447</v>
      </c>
      <c r="V43" s="33" t="s">
        <v>225</v>
      </c>
      <c r="W43" s="33" t="s">
        <v>694</v>
      </c>
      <c r="X43" s="33" t="s">
        <v>225</v>
      </c>
      <c r="Y43" s="33">
        <v>43110</v>
      </c>
      <c r="Z43" s="33">
        <v>43122</v>
      </c>
      <c r="AA43" s="13">
        <v>6088</v>
      </c>
      <c r="AB43" s="13">
        <v>8.1</v>
      </c>
      <c r="AC43" s="13">
        <f>SUMIF(Tableau_Liste_UO[[Code UO]:[Code UO]],Tableau_Liste_KPI[[#This Row],[Code UO]], Tableau_Liste_UO[RAF])</f>
        <v>0</v>
      </c>
      <c r="AD43" s="13" t="e">
        <f>SUMIF(Tableau_Liste_UO[[Code UO]:[Code UO]],Tableau_Liste_KPI[[#This Row],[Code UO]], #REF!)</f>
        <v>#REF!</v>
      </c>
      <c r="AE43" s="34" t="s">
        <v>225</v>
      </c>
      <c r="AF43" s="34" t="s">
        <v>225</v>
      </c>
      <c r="AG43" s="34" t="s">
        <v>225</v>
      </c>
      <c r="AH43" s="34"/>
      <c r="AI43" s="35" t="e">
        <f>IF(Tableau_Liste_KPI[[#This Row],[Charge commandée]]="","",IF(Tableau_Liste_KPI[[#This Row],[Total]]&gt;Tableau_Liste_KPI[[#This Row],[Charge commandée]],"KO",""))</f>
        <v>#REF!</v>
      </c>
      <c r="AJ43" s="35" t="e">
        <f>IF(Tableau_Liste_KPI[[#This Row],[KPI Charges]]="KO",Tableau_Liste_KPI[[#This Row],[Charge commandée]]-Tableau_Liste_KPI[[#This Row],[Total]],"")</f>
        <v>#REF!</v>
      </c>
    </row>
    <row r="44" spans="1:36" ht="12" customHeight="1" x14ac:dyDescent="0.2">
      <c r="A44" s="45" t="s">
        <v>492</v>
      </c>
      <c r="B44" s="45" t="s">
        <v>552</v>
      </c>
      <c r="C44" s="12" t="s">
        <v>656</v>
      </c>
      <c r="D44" s="45" t="s">
        <v>33</v>
      </c>
      <c r="E44" s="45" t="s">
        <v>538</v>
      </c>
      <c r="F44" s="45" t="s">
        <v>34</v>
      </c>
      <c r="G44" s="45" t="s">
        <v>686</v>
      </c>
      <c r="H44" s="46">
        <v>43062.594444444447</v>
      </c>
      <c r="I44" s="46">
        <v>43062.594930555555</v>
      </c>
      <c r="J44" s="46" t="s">
        <v>225</v>
      </c>
      <c r="K44" s="72" t="s">
        <v>225</v>
      </c>
      <c r="L44" s="47" t="s">
        <v>225</v>
      </c>
      <c r="M44" s="47">
        <v>3</v>
      </c>
      <c r="N44" s="47">
        <v>8</v>
      </c>
      <c r="O44" s="45">
        <v>11</v>
      </c>
      <c r="P44" s="47" t="s">
        <v>225</v>
      </c>
      <c r="Q44" s="47">
        <v>11</v>
      </c>
      <c r="R44" s="48">
        <v>16</v>
      </c>
      <c r="S44" s="48">
        <v>24</v>
      </c>
      <c r="T44" s="48" t="s">
        <v>225</v>
      </c>
      <c r="U44" s="48">
        <v>43084.625694444447</v>
      </c>
      <c r="V44" s="48" t="s">
        <v>225</v>
      </c>
      <c r="W44" s="48" t="s">
        <v>694</v>
      </c>
      <c r="X44" s="48" t="s">
        <v>225</v>
      </c>
      <c r="Y44" s="48">
        <v>43109</v>
      </c>
      <c r="Z44" s="48">
        <v>43119</v>
      </c>
      <c r="AA44" s="47">
        <v>6088</v>
      </c>
      <c r="AB44" s="47">
        <v>8.1</v>
      </c>
      <c r="AC44" s="47">
        <f>SUMIF(Tableau_Liste_UO[[Code UO]:[Code UO]],Tableau_Liste_KPI[[#This Row],[Code UO]], Tableau_Liste_UO[RAF])</f>
        <v>0</v>
      </c>
      <c r="AD44" s="47" t="e">
        <f>SUMIF(Tableau_Liste_UO[[Code UO]:[Code UO]],Tableau_Liste_KPI[[#This Row],[Code UO]], #REF!)</f>
        <v>#REF!</v>
      </c>
      <c r="AE44" s="49" t="s">
        <v>225</v>
      </c>
      <c r="AF44" s="49" t="s">
        <v>225</v>
      </c>
      <c r="AG44" s="49" t="s">
        <v>225</v>
      </c>
      <c r="AH44" s="49"/>
      <c r="AI44" s="50" t="e">
        <f>IF(Tableau_Liste_KPI[[#This Row],[Charge commandée]]="","",IF(Tableau_Liste_KPI[[#This Row],[Total]]&gt;Tableau_Liste_KPI[[#This Row],[Charge commandée]],"KO",""))</f>
        <v>#REF!</v>
      </c>
      <c r="AJ44" s="50" t="e">
        <f>IF(Tableau_Liste_KPI[[#This Row],[KPI Charges]]="KO",Tableau_Liste_KPI[[#This Row],[Charge commandée]]-Tableau_Liste_KPI[[#This Row],[Total]],"")</f>
        <v>#REF!</v>
      </c>
    </row>
    <row r="45" spans="1:36" ht="12" customHeight="1" x14ac:dyDescent="0.2">
      <c r="A45" s="25" t="s">
        <v>493</v>
      </c>
      <c r="B45" s="25" t="s">
        <v>553</v>
      </c>
      <c r="C45" s="12" t="s">
        <v>656</v>
      </c>
      <c r="D45" s="25" t="s">
        <v>33</v>
      </c>
      <c r="E45" s="25" t="s">
        <v>538</v>
      </c>
      <c r="F45" s="25" t="s">
        <v>34</v>
      </c>
      <c r="G45" s="25" t="s">
        <v>686</v>
      </c>
      <c r="H45" s="24">
        <v>43062.59375</v>
      </c>
      <c r="I45" s="24">
        <v>43062.59443287037</v>
      </c>
      <c r="J45" s="24" t="s">
        <v>225</v>
      </c>
      <c r="K45" s="71" t="s">
        <v>225</v>
      </c>
      <c r="L45" s="26" t="s">
        <v>225</v>
      </c>
      <c r="M45" s="26">
        <v>3</v>
      </c>
      <c r="N45" s="26">
        <v>8</v>
      </c>
      <c r="O45" s="25">
        <v>11</v>
      </c>
      <c r="P45" s="26" t="s">
        <v>225</v>
      </c>
      <c r="Q45" s="26">
        <v>11</v>
      </c>
      <c r="R45" s="39">
        <v>16</v>
      </c>
      <c r="S45" s="39">
        <v>24</v>
      </c>
      <c r="T45" s="39" t="s">
        <v>225</v>
      </c>
      <c r="U45" s="39">
        <v>43084.626388888886</v>
      </c>
      <c r="V45" s="39" t="s">
        <v>225</v>
      </c>
      <c r="W45" s="39" t="s">
        <v>694</v>
      </c>
      <c r="X45" s="39" t="s">
        <v>225</v>
      </c>
      <c r="Y45" s="39">
        <v>43109</v>
      </c>
      <c r="Z45" s="39">
        <v>43119</v>
      </c>
      <c r="AA45" s="26">
        <v>6088</v>
      </c>
      <c r="AB45" s="26">
        <v>8.1</v>
      </c>
      <c r="AC45" s="26">
        <f>SUMIF(Tableau_Liste_UO[[Code UO]:[Code UO]],Tableau_Liste_KPI[[#This Row],[Code UO]], Tableau_Liste_UO[RAF])</f>
        <v>0</v>
      </c>
      <c r="AD45" s="26" t="e">
        <f>SUMIF(Tableau_Liste_UO[[Code UO]:[Code UO]],Tableau_Liste_KPI[[#This Row],[Code UO]], #REF!)</f>
        <v>#REF!</v>
      </c>
      <c r="AE45" s="40" t="s">
        <v>225</v>
      </c>
      <c r="AF45" s="40" t="s">
        <v>225</v>
      </c>
      <c r="AG45" s="40" t="s">
        <v>225</v>
      </c>
      <c r="AH45" s="40"/>
      <c r="AI45" s="41" t="e">
        <f>IF(Tableau_Liste_KPI[[#This Row],[Charge commandée]]="","",IF(Tableau_Liste_KPI[[#This Row],[Total]]&gt;Tableau_Liste_KPI[[#This Row],[Charge commandée]],"KO",""))</f>
        <v>#REF!</v>
      </c>
      <c r="AJ45" s="41" t="e">
        <f>IF(Tableau_Liste_KPI[[#This Row],[KPI Charges]]="KO",Tableau_Liste_KPI[[#This Row],[Charge commandée]]-Tableau_Liste_KPI[[#This Row],[Total]],"")</f>
        <v>#REF!</v>
      </c>
    </row>
    <row r="46" spans="1:36" ht="12" customHeight="1" x14ac:dyDescent="0.2">
      <c r="A46" s="32" t="s">
        <v>494</v>
      </c>
      <c r="B46" s="12" t="s">
        <v>554</v>
      </c>
      <c r="C46" s="12" t="s">
        <v>656</v>
      </c>
      <c r="D46" s="12" t="s">
        <v>33</v>
      </c>
      <c r="E46" s="12" t="s">
        <v>538</v>
      </c>
      <c r="F46" s="12" t="s">
        <v>34</v>
      </c>
      <c r="G46" s="12" t="s">
        <v>686</v>
      </c>
      <c r="H46" s="6">
        <v>43062.592361111114</v>
      </c>
      <c r="I46" s="6">
        <v>43062.593078703707</v>
      </c>
      <c r="J46" s="6" t="s">
        <v>225</v>
      </c>
      <c r="K46" s="69" t="s">
        <v>225</v>
      </c>
      <c r="L46" s="13" t="s">
        <v>225</v>
      </c>
      <c r="M46" s="13">
        <v>3</v>
      </c>
      <c r="N46" s="13">
        <v>15</v>
      </c>
      <c r="O46" s="12">
        <v>4</v>
      </c>
      <c r="P46" s="13" t="s">
        <v>225</v>
      </c>
      <c r="Q46" s="13">
        <v>18</v>
      </c>
      <c r="R46" s="33">
        <v>16</v>
      </c>
      <c r="S46" s="33">
        <v>24</v>
      </c>
      <c r="T46" s="33" t="s">
        <v>225</v>
      </c>
      <c r="U46" s="33">
        <v>43084.356944444444</v>
      </c>
      <c r="V46" s="33" t="s">
        <v>225</v>
      </c>
      <c r="W46" s="33" t="s">
        <v>694</v>
      </c>
      <c r="X46" s="33" t="s">
        <v>225</v>
      </c>
      <c r="Y46" s="33">
        <v>43090</v>
      </c>
      <c r="Z46" s="33">
        <v>43110</v>
      </c>
      <c r="AA46" s="13">
        <v>6088</v>
      </c>
      <c r="AB46" s="13">
        <v>8.1</v>
      </c>
      <c r="AC46" s="13">
        <f>SUMIF(Tableau_Liste_UO[[Code UO]:[Code UO]],Tableau_Liste_KPI[[#This Row],[Code UO]], Tableau_Liste_UO[RAF])</f>
        <v>0</v>
      </c>
      <c r="AD46" s="13" t="e">
        <f>SUMIF(Tableau_Liste_UO[[Code UO]:[Code UO]],Tableau_Liste_KPI[[#This Row],[Code UO]], #REF!)</f>
        <v>#REF!</v>
      </c>
      <c r="AE46" s="34" t="s">
        <v>721</v>
      </c>
      <c r="AF46" s="34" t="s">
        <v>225</v>
      </c>
      <c r="AG46" s="34" t="s">
        <v>225</v>
      </c>
      <c r="AH46" s="34"/>
      <c r="AI46" s="35" t="e">
        <f>IF(Tableau_Liste_KPI[[#This Row],[Charge commandée]]="","",IF(Tableau_Liste_KPI[[#This Row],[Total]]&gt;Tableau_Liste_KPI[[#This Row],[Charge commandée]],"KO",""))</f>
        <v>#REF!</v>
      </c>
      <c r="AJ46" s="35" t="e">
        <f>IF(Tableau_Liste_KPI[[#This Row],[KPI Charges]]="KO",Tableau_Liste_KPI[[#This Row],[Charge commandée]]-Tableau_Liste_KPI[[#This Row],[Total]],"")</f>
        <v>#REF!</v>
      </c>
    </row>
    <row r="47" spans="1:36" ht="12" customHeight="1" x14ac:dyDescent="0.2">
      <c r="A47" s="12" t="s">
        <v>495</v>
      </c>
      <c r="B47" s="12" t="s">
        <v>554</v>
      </c>
      <c r="C47" s="12" t="s">
        <v>173</v>
      </c>
      <c r="D47" s="12" t="s">
        <v>33</v>
      </c>
      <c r="E47" s="12" t="s">
        <v>544</v>
      </c>
      <c r="F47" s="12" t="s">
        <v>34</v>
      </c>
      <c r="G47" s="12" t="s">
        <v>701</v>
      </c>
      <c r="H47" s="6">
        <v>43062.456250000003</v>
      </c>
      <c r="I47" s="6">
        <v>43063.680474537039</v>
      </c>
      <c r="J47" s="6" t="s">
        <v>225</v>
      </c>
      <c r="K47" s="69" t="s">
        <v>225</v>
      </c>
      <c r="L47" s="13" t="s">
        <v>225</v>
      </c>
      <c r="M47" s="13">
        <v>0</v>
      </c>
      <c r="N47" s="13">
        <v>0</v>
      </c>
      <c r="O47" s="12">
        <v>0</v>
      </c>
      <c r="P47" s="13" t="s">
        <v>225</v>
      </c>
      <c r="Q47" s="13" t="s">
        <v>225</v>
      </c>
      <c r="R47" s="33" t="s">
        <v>225</v>
      </c>
      <c r="S47" s="33" t="s">
        <v>225</v>
      </c>
      <c r="T47" s="33" t="s">
        <v>225</v>
      </c>
      <c r="U47" s="33" t="s">
        <v>225</v>
      </c>
      <c r="V47" s="33" t="s">
        <v>225</v>
      </c>
      <c r="W47" s="33" t="s">
        <v>694</v>
      </c>
      <c r="X47" s="33" t="s">
        <v>225</v>
      </c>
      <c r="Y47" s="33">
        <v>0</v>
      </c>
      <c r="Z47" s="33">
        <v>0</v>
      </c>
      <c r="AA47" s="13">
        <v>0</v>
      </c>
      <c r="AB47" s="13">
        <v>0</v>
      </c>
      <c r="AC47" s="13">
        <f>SUMIF(Tableau_Liste_UO[[Code UO]:[Code UO]],Tableau_Liste_KPI[[#This Row],[Code UO]], Tableau_Liste_UO[RAF])</f>
        <v>0</v>
      </c>
      <c r="AD47" s="13" t="e">
        <f>SUMIF(Tableau_Liste_UO[[Code UO]:[Code UO]],Tableau_Liste_KPI[[#This Row],[Code UO]], #REF!)</f>
        <v>#REF!</v>
      </c>
      <c r="AE47" s="34" t="s">
        <v>225</v>
      </c>
      <c r="AF47" s="34" t="s">
        <v>225</v>
      </c>
      <c r="AG47" s="34" t="s">
        <v>225</v>
      </c>
      <c r="AH47" s="34"/>
      <c r="AI47" s="35" t="e">
        <f>IF(Tableau_Liste_KPI[[#This Row],[Charge commandée]]="","",IF(Tableau_Liste_KPI[[#This Row],[Total]]&gt;Tableau_Liste_KPI[[#This Row],[Charge commandée]],"KO",""))</f>
        <v>#REF!</v>
      </c>
      <c r="AJ47" s="35" t="e">
        <f>IF(Tableau_Liste_KPI[[#This Row],[KPI Charges]]="KO",Tableau_Liste_KPI[[#This Row],[Charge commandée]]-Tableau_Liste_KPI[[#This Row],[Total]],"")</f>
        <v>#REF!</v>
      </c>
    </row>
    <row r="48" spans="1:36" ht="12" customHeight="1" x14ac:dyDescent="0.2">
      <c r="A48" s="32" t="s">
        <v>496</v>
      </c>
      <c r="B48" s="12" t="s">
        <v>554</v>
      </c>
      <c r="C48" s="12" t="s">
        <v>173</v>
      </c>
      <c r="D48" s="12" t="s">
        <v>33</v>
      </c>
      <c r="E48" s="12" t="s">
        <v>538</v>
      </c>
      <c r="F48" s="12" t="s">
        <v>34</v>
      </c>
      <c r="G48" s="12" t="s">
        <v>686</v>
      </c>
      <c r="H48" s="6">
        <v>43062.455555555556</v>
      </c>
      <c r="I48" s="6">
        <v>43063.680787037039</v>
      </c>
      <c r="J48" s="6" t="s">
        <v>225</v>
      </c>
      <c r="K48" s="69" t="s">
        <v>225</v>
      </c>
      <c r="L48" s="13" t="s">
        <v>225</v>
      </c>
      <c r="M48" s="13">
        <v>0</v>
      </c>
      <c r="N48" s="13">
        <v>0</v>
      </c>
      <c r="O48" s="12">
        <v>0</v>
      </c>
      <c r="P48" s="13" t="s">
        <v>225</v>
      </c>
      <c r="Q48" s="13" t="s">
        <v>225</v>
      </c>
      <c r="R48" s="33">
        <v>16</v>
      </c>
      <c r="S48" s="33">
        <v>24</v>
      </c>
      <c r="T48" s="33" t="s">
        <v>225</v>
      </c>
      <c r="U48" s="33" t="s">
        <v>225</v>
      </c>
      <c r="V48" s="33" t="s">
        <v>225</v>
      </c>
      <c r="W48" s="33" t="s">
        <v>694</v>
      </c>
      <c r="X48" s="33" t="s">
        <v>225</v>
      </c>
      <c r="Y48" s="33">
        <v>43087</v>
      </c>
      <c r="Z48" s="33">
        <v>43105</v>
      </c>
      <c r="AA48" s="13">
        <v>6088</v>
      </c>
      <c r="AB48" s="13">
        <v>8.1</v>
      </c>
      <c r="AC48" s="13">
        <f>SUMIF(Tableau_Liste_UO[[Code UO]:[Code UO]],Tableau_Liste_KPI[[#This Row],[Code UO]], Tableau_Liste_UO[RAF])</f>
        <v>0</v>
      </c>
      <c r="AD48" s="13" t="e">
        <f>SUMIF(Tableau_Liste_UO[[Code UO]:[Code UO]],Tableau_Liste_KPI[[#This Row],[Code UO]], #REF!)</f>
        <v>#REF!</v>
      </c>
      <c r="AE48" s="34" t="s">
        <v>225</v>
      </c>
      <c r="AF48" s="34" t="s">
        <v>225</v>
      </c>
      <c r="AG48" s="34" t="s">
        <v>225</v>
      </c>
      <c r="AH48" s="34"/>
      <c r="AI48" s="35" t="e">
        <f>IF(Tableau_Liste_KPI[[#This Row],[Charge commandée]]="","",IF(Tableau_Liste_KPI[[#This Row],[Total]]&gt;Tableau_Liste_KPI[[#This Row],[Charge commandée]],"KO",""))</f>
        <v>#REF!</v>
      </c>
      <c r="AJ48" s="35" t="e">
        <f>IF(Tableau_Liste_KPI[[#This Row],[KPI Charges]]="KO",Tableau_Liste_KPI[[#This Row],[Charge commandée]]-Tableau_Liste_KPI[[#This Row],[Total]],"")</f>
        <v>#REF!</v>
      </c>
    </row>
    <row r="49" spans="1:36" ht="12" customHeight="1" x14ac:dyDescent="0.2">
      <c r="A49" s="25" t="s">
        <v>497</v>
      </c>
      <c r="B49" s="25" t="s">
        <v>554</v>
      </c>
      <c r="C49" s="12" t="s">
        <v>173</v>
      </c>
      <c r="D49" s="25" t="s">
        <v>33</v>
      </c>
      <c r="E49" s="25" t="s">
        <v>538</v>
      </c>
      <c r="F49" s="25" t="s">
        <v>34</v>
      </c>
      <c r="G49" s="25" t="s">
        <v>686</v>
      </c>
      <c r="H49" s="24">
        <v>43062.45416666667</v>
      </c>
      <c r="I49" s="24">
        <v>43063.68068287037</v>
      </c>
      <c r="J49" s="24" t="s">
        <v>225</v>
      </c>
      <c r="K49" s="71" t="s">
        <v>225</v>
      </c>
      <c r="L49" s="26" t="s">
        <v>225</v>
      </c>
      <c r="M49" s="26">
        <v>0</v>
      </c>
      <c r="N49" s="26">
        <v>0</v>
      </c>
      <c r="O49" s="25">
        <v>0</v>
      </c>
      <c r="P49" s="26" t="s">
        <v>225</v>
      </c>
      <c r="Q49" s="26" t="s">
        <v>225</v>
      </c>
      <c r="R49" s="39">
        <v>16</v>
      </c>
      <c r="S49" s="39">
        <v>24</v>
      </c>
      <c r="T49" s="39" t="s">
        <v>225</v>
      </c>
      <c r="U49" s="39" t="s">
        <v>225</v>
      </c>
      <c r="V49" s="39" t="s">
        <v>225</v>
      </c>
      <c r="W49" s="39" t="s">
        <v>694</v>
      </c>
      <c r="X49" s="39" t="s">
        <v>225</v>
      </c>
      <c r="Y49" s="39">
        <v>43087</v>
      </c>
      <c r="Z49" s="39">
        <v>43105</v>
      </c>
      <c r="AA49" s="26">
        <v>6088</v>
      </c>
      <c r="AB49" s="26">
        <v>8.1</v>
      </c>
      <c r="AC49" s="26">
        <f>SUMIF(Tableau_Liste_UO[[Code UO]:[Code UO]],Tableau_Liste_KPI[[#This Row],[Code UO]], Tableau_Liste_UO[RAF])</f>
        <v>0</v>
      </c>
      <c r="AD49" s="26" t="e">
        <f>SUMIF(Tableau_Liste_UO[[Code UO]:[Code UO]],Tableau_Liste_KPI[[#This Row],[Code UO]], #REF!)</f>
        <v>#REF!</v>
      </c>
      <c r="AE49" s="40" t="s">
        <v>225</v>
      </c>
      <c r="AF49" s="40" t="s">
        <v>225</v>
      </c>
      <c r="AG49" s="40" t="s">
        <v>225</v>
      </c>
      <c r="AH49" s="40"/>
      <c r="AI49" s="41" t="e">
        <f>IF(Tableau_Liste_KPI[[#This Row],[Charge commandée]]="","",IF(Tableau_Liste_KPI[[#This Row],[Total]]&gt;Tableau_Liste_KPI[[#This Row],[Charge commandée]],"KO",""))</f>
        <v>#REF!</v>
      </c>
      <c r="AJ49" s="41" t="e">
        <f>IF(Tableau_Liste_KPI[[#This Row],[KPI Charges]]="KO",Tableau_Liste_KPI[[#This Row],[Charge commandée]]-Tableau_Liste_KPI[[#This Row],[Total]],"")</f>
        <v>#REF!</v>
      </c>
    </row>
    <row r="50" spans="1:36" ht="12" customHeight="1" x14ac:dyDescent="0.2">
      <c r="A50" s="12" t="s">
        <v>498</v>
      </c>
      <c r="B50" s="12" t="s">
        <v>554</v>
      </c>
      <c r="C50" s="12" t="s">
        <v>173</v>
      </c>
      <c r="D50" s="12" t="s">
        <v>33</v>
      </c>
      <c r="E50" s="12" t="s">
        <v>538</v>
      </c>
      <c r="F50" s="12" t="s">
        <v>34</v>
      </c>
      <c r="G50" s="12" t="s">
        <v>686</v>
      </c>
      <c r="H50" s="6">
        <v>43062.453472222223</v>
      </c>
      <c r="I50" s="6">
        <v>43063.680844907409</v>
      </c>
      <c r="J50" s="6" t="s">
        <v>225</v>
      </c>
      <c r="K50" s="69" t="s">
        <v>225</v>
      </c>
      <c r="L50" s="13" t="s">
        <v>225</v>
      </c>
      <c r="M50" s="13">
        <v>0</v>
      </c>
      <c r="N50" s="13">
        <v>0</v>
      </c>
      <c r="O50" s="12">
        <v>0</v>
      </c>
      <c r="P50" s="13" t="s">
        <v>225</v>
      </c>
      <c r="Q50" s="13" t="s">
        <v>225</v>
      </c>
      <c r="R50" s="33">
        <v>16</v>
      </c>
      <c r="S50" s="33">
        <v>24</v>
      </c>
      <c r="T50" s="33" t="s">
        <v>225</v>
      </c>
      <c r="U50" s="33" t="s">
        <v>225</v>
      </c>
      <c r="V50" s="33" t="s">
        <v>225</v>
      </c>
      <c r="W50" s="33" t="s">
        <v>694</v>
      </c>
      <c r="X50" s="33" t="s">
        <v>225</v>
      </c>
      <c r="Y50" s="33">
        <v>43087</v>
      </c>
      <c r="Z50" s="33">
        <v>43105</v>
      </c>
      <c r="AA50" s="13">
        <v>6088</v>
      </c>
      <c r="AB50" s="13">
        <v>8.1</v>
      </c>
      <c r="AC50" s="13">
        <f>SUMIF(Tableau_Liste_UO[[Code UO]:[Code UO]],Tableau_Liste_KPI[[#This Row],[Code UO]], Tableau_Liste_UO[RAF])</f>
        <v>0</v>
      </c>
      <c r="AD50" s="13" t="e">
        <f>SUMIF(Tableau_Liste_UO[[Code UO]:[Code UO]],Tableau_Liste_KPI[[#This Row],[Code UO]], #REF!)</f>
        <v>#REF!</v>
      </c>
      <c r="AE50" s="34" t="s">
        <v>225</v>
      </c>
      <c r="AF50" s="34" t="s">
        <v>225</v>
      </c>
      <c r="AG50" s="34" t="s">
        <v>225</v>
      </c>
      <c r="AH50" s="34"/>
      <c r="AI50" s="35" t="e">
        <f>IF(Tableau_Liste_KPI[[#This Row],[Charge commandée]]="","",IF(Tableau_Liste_KPI[[#This Row],[Total]]&gt;Tableau_Liste_KPI[[#This Row],[Charge commandée]],"KO",""))</f>
        <v>#REF!</v>
      </c>
      <c r="AJ50" s="35" t="e">
        <f>IF(Tableau_Liste_KPI[[#This Row],[KPI Charges]]="KO",Tableau_Liste_KPI[[#This Row],[Charge commandée]]-Tableau_Liste_KPI[[#This Row],[Total]],"")</f>
        <v>#REF!</v>
      </c>
    </row>
    <row r="51" spans="1:36" ht="12.75" customHeight="1" x14ac:dyDescent="0.2">
      <c r="A51" s="12" t="s">
        <v>499</v>
      </c>
      <c r="B51" s="12" t="s">
        <v>554</v>
      </c>
      <c r="C51" s="12" t="s">
        <v>173</v>
      </c>
      <c r="D51" s="12" t="s">
        <v>33</v>
      </c>
      <c r="E51" s="12" t="s">
        <v>538</v>
      </c>
      <c r="F51" s="12" t="s">
        <v>34</v>
      </c>
      <c r="G51" s="12" t="s">
        <v>686</v>
      </c>
      <c r="H51" s="6">
        <v>43062.452777777777</v>
      </c>
      <c r="I51" s="6">
        <v>43063.680925925924</v>
      </c>
      <c r="J51" s="6" t="s">
        <v>225</v>
      </c>
      <c r="K51" s="69" t="s">
        <v>225</v>
      </c>
      <c r="L51" s="13" t="s">
        <v>225</v>
      </c>
      <c r="M51" s="13">
        <v>0</v>
      </c>
      <c r="N51" s="13">
        <v>0</v>
      </c>
      <c r="O51" s="12">
        <v>0</v>
      </c>
      <c r="P51" s="13" t="s">
        <v>225</v>
      </c>
      <c r="Q51" s="13" t="s">
        <v>225</v>
      </c>
      <c r="R51" s="33">
        <v>16</v>
      </c>
      <c r="S51" s="33">
        <v>24</v>
      </c>
      <c r="T51" s="33" t="s">
        <v>225</v>
      </c>
      <c r="U51" s="33" t="s">
        <v>225</v>
      </c>
      <c r="V51" s="33" t="s">
        <v>225</v>
      </c>
      <c r="W51" s="33" t="s">
        <v>694</v>
      </c>
      <c r="X51" s="33" t="s">
        <v>225</v>
      </c>
      <c r="Y51" s="33">
        <v>43087</v>
      </c>
      <c r="Z51" s="33">
        <v>43105</v>
      </c>
      <c r="AA51" s="13">
        <v>6088</v>
      </c>
      <c r="AB51" s="13">
        <v>8.1</v>
      </c>
      <c r="AC51" s="13">
        <f>SUMIF(Tableau_Liste_UO[[Code UO]:[Code UO]],Tableau_Liste_KPI[[#This Row],[Code UO]], Tableau_Liste_UO[RAF])</f>
        <v>0</v>
      </c>
      <c r="AD51" s="13" t="e">
        <f>SUMIF(Tableau_Liste_UO[[Code UO]:[Code UO]],Tableau_Liste_KPI[[#This Row],[Code UO]], #REF!)</f>
        <v>#REF!</v>
      </c>
      <c r="AE51" s="34" t="s">
        <v>225</v>
      </c>
      <c r="AF51" s="34" t="s">
        <v>225</v>
      </c>
      <c r="AG51" s="34" t="s">
        <v>225</v>
      </c>
      <c r="AH51" s="34"/>
      <c r="AI51" s="35" t="e">
        <f>IF(Tableau_Liste_KPI[[#This Row],[Charge commandée]]="","",IF(Tableau_Liste_KPI[[#This Row],[Total]]&gt;Tableau_Liste_KPI[[#This Row],[Charge commandée]],"KO",""))</f>
        <v>#REF!</v>
      </c>
      <c r="AJ51" s="35" t="e">
        <f>IF(Tableau_Liste_KPI[[#This Row],[KPI Charges]]="KO",Tableau_Liste_KPI[[#This Row],[Charge commandée]]-Tableau_Liste_KPI[[#This Row],[Total]],"")</f>
        <v>#REF!</v>
      </c>
    </row>
    <row r="52" spans="1:36" ht="12" customHeight="1" x14ac:dyDescent="0.2">
      <c r="A52" s="32" t="s">
        <v>479</v>
      </c>
      <c r="B52" s="12" t="s">
        <v>480</v>
      </c>
      <c r="C52" s="12" t="s">
        <v>281</v>
      </c>
      <c r="D52" s="12" t="s">
        <v>37</v>
      </c>
      <c r="E52" s="12" t="s">
        <v>544</v>
      </c>
      <c r="F52" s="12" t="s">
        <v>34</v>
      </c>
      <c r="G52" s="12" t="s">
        <v>702</v>
      </c>
      <c r="H52" s="6">
        <v>43059.712500000001</v>
      </c>
      <c r="I52" s="6">
        <v>43059.713553240741</v>
      </c>
      <c r="J52" s="6" t="s">
        <v>225</v>
      </c>
      <c r="K52" s="69" t="s">
        <v>225</v>
      </c>
      <c r="L52" s="13" t="s">
        <v>225</v>
      </c>
      <c r="M52" s="13">
        <v>0</v>
      </c>
      <c r="N52" s="13">
        <v>24</v>
      </c>
      <c r="O52" s="12">
        <v>0</v>
      </c>
      <c r="P52" s="13" t="s">
        <v>225</v>
      </c>
      <c r="Q52" s="13">
        <v>24</v>
      </c>
      <c r="R52" s="33" t="s">
        <v>225</v>
      </c>
      <c r="S52" s="33" t="s">
        <v>225</v>
      </c>
      <c r="T52" s="33" t="s">
        <v>225</v>
      </c>
      <c r="U52" s="33" t="s">
        <v>225</v>
      </c>
      <c r="V52" s="33" t="s">
        <v>225</v>
      </c>
      <c r="W52" s="33" t="s">
        <v>694</v>
      </c>
      <c r="X52" s="33" t="s">
        <v>225</v>
      </c>
      <c r="Y52" s="33">
        <v>43087.708333333336</v>
      </c>
      <c r="Z52" s="33">
        <v>43087.708333333336</v>
      </c>
      <c r="AA52" s="13">
        <v>3750</v>
      </c>
      <c r="AB52" s="13">
        <v>5</v>
      </c>
      <c r="AC52" s="13">
        <f>SUMIF(Tableau_Liste_UO[[Code UO]:[Code UO]],Tableau_Liste_KPI[[#This Row],[Code UO]], Tableau_Liste_UO[RAF])</f>
        <v>0</v>
      </c>
      <c r="AD52" s="13" t="e">
        <f>SUMIF(Tableau_Liste_UO[[Code UO]:[Code UO]],Tableau_Liste_KPI[[#This Row],[Code UO]], #REF!)</f>
        <v>#REF!</v>
      </c>
      <c r="AE52" s="34" t="s">
        <v>225</v>
      </c>
      <c r="AF52" s="34" t="s">
        <v>225</v>
      </c>
      <c r="AG52" s="34" t="s">
        <v>225</v>
      </c>
      <c r="AH52" s="34"/>
      <c r="AI52" s="35" t="e">
        <f>IF(Tableau_Liste_KPI[[#This Row],[Charge commandée]]="","",IF(Tableau_Liste_KPI[[#This Row],[Total]]&gt;Tableau_Liste_KPI[[#This Row],[Charge commandée]],"KO",""))</f>
        <v>#REF!</v>
      </c>
      <c r="AJ52" s="35" t="e">
        <f>IF(Tableau_Liste_KPI[[#This Row],[KPI Charges]]="KO",Tableau_Liste_KPI[[#This Row],[Charge commandée]]-Tableau_Liste_KPI[[#This Row],[Total]],"")</f>
        <v>#REF!</v>
      </c>
    </row>
    <row r="53" spans="1:36" ht="12" customHeight="1" x14ac:dyDescent="0.2">
      <c r="A53" s="25" t="s">
        <v>481</v>
      </c>
      <c r="B53" s="25" t="s">
        <v>482</v>
      </c>
      <c r="C53" s="12" t="s">
        <v>259</v>
      </c>
      <c r="D53" s="25" t="s">
        <v>33</v>
      </c>
      <c r="E53" s="25" t="s">
        <v>44</v>
      </c>
      <c r="F53" s="25" t="s">
        <v>34</v>
      </c>
      <c r="G53" s="25" t="s">
        <v>689</v>
      </c>
      <c r="H53" s="24">
        <v>43059.584722222222</v>
      </c>
      <c r="I53" s="24">
        <v>43059.585127314815</v>
      </c>
      <c r="J53" s="24">
        <v>43061.382870370369</v>
      </c>
      <c r="K53" s="71">
        <v>43069.437650462962</v>
      </c>
      <c r="L53" s="26" t="s">
        <v>225</v>
      </c>
      <c r="M53" s="26">
        <v>0</v>
      </c>
      <c r="N53" s="26">
        <v>2</v>
      </c>
      <c r="O53" s="25">
        <v>0</v>
      </c>
      <c r="P53" s="26">
        <v>6</v>
      </c>
      <c r="Q53" s="26">
        <v>2</v>
      </c>
      <c r="R53" s="39">
        <v>10</v>
      </c>
      <c r="S53" s="39">
        <v>15</v>
      </c>
      <c r="T53" s="39" t="s">
        <v>225</v>
      </c>
      <c r="U53" s="39">
        <v>43063.585416666669</v>
      </c>
      <c r="V53" s="39" t="s">
        <v>225</v>
      </c>
      <c r="W53" s="39" t="s">
        <v>694</v>
      </c>
      <c r="X53" s="39" t="s">
        <v>694</v>
      </c>
      <c r="Y53" s="39">
        <v>43073</v>
      </c>
      <c r="Z53" s="39">
        <v>43080</v>
      </c>
      <c r="AA53" s="26">
        <v>912</v>
      </c>
      <c r="AB53" s="26">
        <v>1</v>
      </c>
      <c r="AC53" s="26">
        <f>SUMIF(Tableau_Liste_UO[[Code UO]:[Code UO]],Tableau_Liste_KPI[[#This Row],[Code UO]], Tableau_Liste_UO[RAF])</f>
        <v>0</v>
      </c>
      <c r="AD53" s="26" t="e">
        <f>SUMIF(Tableau_Liste_UO[[Code UO]:[Code UO]],Tableau_Liste_KPI[[#This Row],[Code UO]], #REF!)</f>
        <v>#REF!</v>
      </c>
      <c r="AE53" s="40" t="s">
        <v>225</v>
      </c>
      <c r="AF53" s="40" t="s">
        <v>225</v>
      </c>
      <c r="AG53" s="40" t="s">
        <v>225</v>
      </c>
      <c r="AH53" s="40"/>
      <c r="AI53" s="41" t="e">
        <f>IF(Tableau_Liste_KPI[[#This Row],[Charge commandée]]="","",IF(Tableau_Liste_KPI[[#This Row],[Total]]&gt;Tableau_Liste_KPI[[#This Row],[Charge commandée]],"KO",""))</f>
        <v>#REF!</v>
      </c>
      <c r="AJ53" s="41" t="e">
        <f>IF(Tableau_Liste_KPI[[#This Row],[KPI Charges]]="KO",Tableau_Liste_KPI[[#This Row],[Charge commandée]]-Tableau_Liste_KPI[[#This Row],[Total]],"")</f>
        <v>#REF!</v>
      </c>
    </row>
    <row r="54" spans="1:36" ht="12" customHeight="1" x14ac:dyDescent="0.2">
      <c r="A54" s="25" t="s">
        <v>483</v>
      </c>
      <c r="B54" s="25" t="s">
        <v>484</v>
      </c>
      <c r="C54" s="12" t="s">
        <v>656</v>
      </c>
      <c r="D54" s="25" t="s">
        <v>37</v>
      </c>
      <c r="E54" s="25" t="s">
        <v>63</v>
      </c>
      <c r="F54" s="25" t="s">
        <v>43</v>
      </c>
      <c r="G54" s="25" t="s">
        <v>700</v>
      </c>
      <c r="H54" s="24">
        <v>43059.581250000003</v>
      </c>
      <c r="I54" s="24">
        <v>43059.582314814812</v>
      </c>
      <c r="J54" s="24" t="s">
        <v>225</v>
      </c>
      <c r="K54" s="71" t="s">
        <v>225</v>
      </c>
      <c r="L54" s="26" t="s">
        <v>225</v>
      </c>
      <c r="M54" s="26">
        <v>2</v>
      </c>
      <c r="N54" s="26">
        <v>13</v>
      </c>
      <c r="O54" s="25">
        <v>10</v>
      </c>
      <c r="P54" s="26" t="s">
        <v>225</v>
      </c>
      <c r="Q54" s="26">
        <v>15</v>
      </c>
      <c r="R54" s="39">
        <v>2</v>
      </c>
      <c r="S54" s="39">
        <v>5</v>
      </c>
      <c r="T54" s="39">
        <v>43070.581250000003</v>
      </c>
      <c r="U54" s="39">
        <v>43070.509027777778</v>
      </c>
      <c r="V54" s="39">
        <v>43105.79791666667</v>
      </c>
      <c r="W54" s="39" t="s">
        <v>694</v>
      </c>
      <c r="X54" s="39" t="s">
        <v>225</v>
      </c>
      <c r="Y54" s="39">
        <v>43075</v>
      </c>
      <c r="Z54" s="39">
        <v>43080</v>
      </c>
      <c r="AA54" s="26">
        <v>825</v>
      </c>
      <c r="AB54" s="26">
        <v>1</v>
      </c>
      <c r="AC54" s="26">
        <f>SUMIF(Tableau_Liste_UO[[Code UO]:[Code UO]],Tableau_Liste_KPI[[#This Row],[Code UO]], Tableau_Liste_UO[RAF])</f>
        <v>0</v>
      </c>
      <c r="AD54" s="26" t="e">
        <f>SUMIF(Tableau_Liste_UO[[Code UO]:[Code UO]],Tableau_Liste_KPI[[#This Row],[Code UO]], #REF!)</f>
        <v>#REF!</v>
      </c>
      <c r="AE54" s="40" t="s">
        <v>721</v>
      </c>
      <c r="AF54" s="40" t="s">
        <v>721</v>
      </c>
      <c r="AG54" s="40" t="s">
        <v>225</v>
      </c>
      <c r="AH54" s="40"/>
      <c r="AI54" s="41" t="e">
        <f>IF(Tableau_Liste_KPI[[#This Row],[Charge commandée]]="","",IF(Tableau_Liste_KPI[[#This Row],[Total]]&gt;Tableau_Liste_KPI[[#This Row],[Charge commandée]],"KO",""))</f>
        <v>#REF!</v>
      </c>
      <c r="AJ54" s="41" t="e">
        <f>IF(Tableau_Liste_KPI[[#This Row],[KPI Charges]]="KO",Tableau_Liste_KPI[[#This Row],[Charge commandée]]-Tableau_Liste_KPI[[#This Row],[Total]],"")</f>
        <v>#REF!</v>
      </c>
    </row>
    <row r="55" spans="1:36" ht="12" customHeight="1" x14ac:dyDescent="0.2">
      <c r="A55" s="25" t="s">
        <v>476</v>
      </c>
      <c r="B55" s="25" t="s">
        <v>555</v>
      </c>
      <c r="C55" s="12" t="s">
        <v>656</v>
      </c>
      <c r="D55" s="25" t="s">
        <v>33</v>
      </c>
      <c r="E55" s="25" t="s">
        <v>538</v>
      </c>
      <c r="F55" s="25" t="s">
        <v>34</v>
      </c>
      <c r="G55" s="25" t="s">
        <v>686</v>
      </c>
      <c r="H55" s="24">
        <v>43055.486805555556</v>
      </c>
      <c r="I55" s="24">
        <v>43055.487442129626</v>
      </c>
      <c r="J55" s="24" t="s">
        <v>225</v>
      </c>
      <c r="K55" s="71" t="s">
        <v>225</v>
      </c>
      <c r="L55" s="26" t="s">
        <v>225</v>
      </c>
      <c r="M55" s="26">
        <v>0</v>
      </c>
      <c r="N55" s="26">
        <v>10</v>
      </c>
      <c r="O55" s="25">
        <v>16</v>
      </c>
      <c r="P55" s="26" t="s">
        <v>225</v>
      </c>
      <c r="Q55" s="26">
        <v>10</v>
      </c>
      <c r="R55" s="39">
        <v>16</v>
      </c>
      <c r="S55" s="39">
        <v>24</v>
      </c>
      <c r="T55" s="39" t="s">
        <v>225</v>
      </c>
      <c r="U55" s="39">
        <v>43069.492361111108</v>
      </c>
      <c r="V55" s="39">
        <v>43081.635416666664</v>
      </c>
      <c r="W55" s="39" t="s">
        <v>694</v>
      </c>
      <c r="X55" s="39" t="s">
        <v>225</v>
      </c>
      <c r="Y55" s="39">
        <v>43109</v>
      </c>
      <c r="Z55" s="39">
        <v>43119</v>
      </c>
      <c r="AA55" s="26">
        <v>6088</v>
      </c>
      <c r="AB55" s="26">
        <v>8.1</v>
      </c>
      <c r="AC55" s="26">
        <f>SUMIF(Tableau_Liste_UO[[Code UO]:[Code UO]],Tableau_Liste_KPI[[#This Row],[Code UO]], Tableau_Liste_UO[RAF])</f>
        <v>0</v>
      </c>
      <c r="AD55" s="26" t="e">
        <f>SUMIF(Tableau_Liste_UO[[Code UO]:[Code UO]],Tableau_Liste_KPI[[#This Row],[Code UO]], #REF!)</f>
        <v>#REF!</v>
      </c>
      <c r="AE55" s="40" t="s">
        <v>225</v>
      </c>
      <c r="AF55" s="40" t="s">
        <v>225</v>
      </c>
      <c r="AG55" s="40" t="s">
        <v>721</v>
      </c>
      <c r="AH55" s="40"/>
      <c r="AI55" s="41" t="e">
        <f>IF(Tableau_Liste_KPI[[#This Row],[Charge commandée]]="","",IF(Tableau_Liste_KPI[[#This Row],[Total]]&gt;Tableau_Liste_KPI[[#This Row],[Charge commandée]],"KO",""))</f>
        <v>#REF!</v>
      </c>
      <c r="AJ55" s="41" t="e">
        <f>IF(Tableau_Liste_KPI[[#This Row],[KPI Charges]]="KO",Tableau_Liste_KPI[[#This Row],[Charge commandée]]-Tableau_Liste_KPI[[#This Row],[Total]],"")</f>
        <v>#REF!</v>
      </c>
    </row>
    <row r="56" spans="1:36" ht="12" customHeight="1" x14ac:dyDescent="0.2">
      <c r="A56" s="25" t="s">
        <v>477</v>
      </c>
      <c r="B56" s="25" t="s">
        <v>485</v>
      </c>
      <c r="C56" s="12" t="s">
        <v>281</v>
      </c>
      <c r="D56" s="25" t="s">
        <v>33</v>
      </c>
      <c r="E56" s="25" t="s">
        <v>544</v>
      </c>
      <c r="F56" s="25" t="s">
        <v>34</v>
      </c>
      <c r="G56" s="25" t="s">
        <v>701</v>
      </c>
      <c r="H56" s="24">
        <v>43055.482638888891</v>
      </c>
      <c r="I56" s="24">
        <v>43055.4840625</v>
      </c>
      <c r="J56" s="24" t="s">
        <v>225</v>
      </c>
      <c r="K56" s="71" t="s">
        <v>225</v>
      </c>
      <c r="L56" s="26" t="s">
        <v>225</v>
      </c>
      <c r="M56" s="26">
        <v>3</v>
      </c>
      <c r="N56" s="26">
        <v>24</v>
      </c>
      <c r="O56" s="25">
        <v>0</v>
      </c>
      <c r="P56" s="26" t="s">
        <v>225</v>
      </c>
      <c r="Q56" s="26">
        <v>27</v>
      </c>
      <c r="R56" s="39" t="s">
        <v>225</v>
      </c>
      <c r="S56" s="39" t="s">
        <v>225</v>
      </c>
      <c r="T56" s="39" t="s">
        <v>225</v>
      </c>
      <c r="U56" s="39" t="s">
        <v>225</v>
      </c>
      <c r="V56" s="39" t="s">
        <v>225</v>
      </c>
      <c r="W56" s="39" t="s">
        <v>694</v>
      </c>
      <c r="X56" s="39" t="s">
        <v>225</v>
      </c>
      <c r="Y56" s="39">
        <v>43063.482638888891</v>
      </c>
      <c r="Z56" s="39">
        <v>43063.482638888891</v>
      </c>
      <c r="AA56" s="26">
        <v>750</v>
      </c>
      <c r="AB56" s="26">
        <v>1</v>
      </c>
      <c r="AC56" s="26">
        <f>SUMIF(Tableau_Liste_UO[[Code UO]:[Code UO]],Tableau_Liste_KPI[[#This Row],[Code UO]], Tableau_Liste_UO[RAF])</f>
        <v>0</v>
      </c>
      <c r="AD56" s="26" t="e">
        <f>SUMIF(Tableau_Liste_UO[[Code UO]:[Code UO]],Tableau_Liste_KPI[[#This Row],[Code UO]], #REF!)</f>
        <v>#REF!</v>
      </c>
      <c r="AE56" s="40" t="s">
        <v>225</v>
      </c>
      <c r="AF56" s="40" t="s">
        <v>225</v>
      </c>
      <c r="AG56" s="40" t="s">
        <v>225</v>
      </c>
      <c r="AH56" s="40"/>
      <c r="AI56" s="41" t="e">
        <f>IF(Tableau_Liste_KPI[[#This Row],[Charge commandée]]="","",IF(Tableau_Liste_KPI[[#This Row],[Total]]&gt;Tableau_Liste_KPI[[#This Row],[Charge commandée]],"KO",""))</f>
        <v>#REF!</v>
      </c>
      <c r="AJ56" s="41" t="e">
        <f>IF(Tableau_Liste_KPI[[#This Row],[KPI Charges]]="KO",Tableau_Liste_KPI[[#This Row],[Charge commandée]]-Tableau_Liste_KPI[[#This Row],[Total]],"")</f>
        <v>#REF!</v>
      </c>
    </row>
    <row r="57" spans="1:36" ht="12" customHeight="1" x14ac:dyDescent="0.2">
      <c r="A57" s="25" t="s">
        <v>486</v>
      </c>
      <c r="B57" s="25" t="s">
        <v>556</v>
      </c>
      <c r="C57" s="12" t="s">
        <v>259</v>
      </c>
      <c r="D57" s="25" t="s">
        <v>37</v>
      </c>
      <c r="E57" s="25" t="s">
        <v>544</v>
      </c>
      <c r="F57" s="25" t="s">
        <v>34</v>
      </c>
      <c r="G57" s="25" t="s">
        <v>702</v>
      </c>
      <c r="H57" s="24">
        <v>43054.646527777775</v>
      </c>
      <c r="I57" s="24">
        <v>43056.595173611109</v>
      </c>
      <c r="J57" s="24" t="s">
        <v>225</v>
      </c>
      <c r="K57" s="71">
        <v>43090.701481481483</v>
      </c>
      <c r="L57" s="26" t="s">
        <v>225</v>
      </c>
      <c r="M57" s="26">
        <v>0</v>
      </c>
      <c r="N57" s="26">
        <v>24</v>
      </c>
      <c r="O57" s="25">
        <v>0</v>
      </c>
      <c r="P57" s="26" t="s">
        <v>225</v>
      </c>
      <c r="Q57" s="26">
        <v>24</v>
      </c>
      <c r="R57" s="39" t="s">
        <v>225</v>
      </c>
      <c r="S57" s="39" t="s">
        <v>225</v>
      </c>
      <c r="T57" s="39" t="s">
        <v>225</v>
      </c>
      <c r="U57" s="39" t="s">
        <v>225</v>
      </c>
      <c r="V57" s="39" t="s">
        <v>225</v>
      </c>
      <c r="W57" s="39" t="s">
        <v>694</v>
      </c>
      <c r="X57" s="39" t="s">
        <v>707</v>
      </c>
      <c r="Y57" s="39">
        <v>43056.629861111112</v>
      </c>
      <c r="Z57" s="39">
        <v>43056.629861111112</v>
      </c>
      <c r="AA57" s="26">
        <v>750</v>
      </c>
      <c r="AB57" s="26">
        <v>1</v>
      </c>
      <c r="AC57" s="26">
        <f>SUMIF(Tableau_Liste_UO[[Code UO]:[Code UO]],Tableau_Liste_KPI[[#This Row],[Code UO]], Tableau_Liste_UO[RAF])</f>
        <v>0</v>
      </c>
      <c r="AD57" s="26" t="e">
        <f>SUMIF(Tableau_Liste_UO[[Code UO]:[Code UO]],Tableau_Liste_KPI[[#This Row],[Code UO]], #REF!)</f>
        <v>#REF!</v>
      </c>
      <c r="AE57" s="40" t="s">
        <v>225</v>
      </c>
      <c r="AF57" s="40" t="s">
        <v>225</v>
      </c>
      <c r="AG57" s="40" t="s">
        <v>225</v>
      </c>
      <c r="AH57" s="40"/>
      <c r="AI57" s="41" t="e">
        <f>IF(Tableau_Liste_KPI[[#This Row],[Charge commandée]]="","",IF(Tableau_Liste_KPI[[#This Row],[Total]]&gt;Tableau_Liste_KPI[[#This Row],[Charge commandée]],"KO",""))</f>
        <v>#REF!</v>
      </c>
      <c r="AJ57" s="41" t="e">
        <f>IF(Tableau_Liste_KPI[[#This Row],[KPI Charges]]="KO",Tableau_Liste_KPI[[#This Row],[Charge commandée]]-Tableau_Liste_KPI[[#This Row],[Total]],"")</f>
        <v>#REF!</v>
      </c>
    </row>
    <row r="58" spans="1:36" ht="12" customHeight="1" x14ac:dyDescent="0.2">
      <c r="A58" s="12" t="s">
        <v>478</v>
      </c>
      <c r="B58" s="12" t="s">
        <v>487</v>
      </c>
      <c r="C58" s="12" t="s">
        <v>281</v>
      </c>
      <c r="D58" s="12" t="s">
        <v>37</v>
      </c>
      <c r="E58" s="12" t="s">
        <v>544</v>
      </c>
      <c r="F58" s="12" t="s">
        <v>34</v>
      </c>
      <c r="G58" s="12" t="s">
        <v>702</v>
      </c>
      <c r="H58" s="6">
        <v>43052.763194444444</v>
      </c>
      <c r="I58" s="6">
        <v>43052.763865740744</v>
      </c>
      <c r="J58" s="6" t="s">
        <v>225</v>
      </c>
      <c r="K58" s="69" t="s">
        <v>225</v>
      </c>
      <c r="L58" s="13" t="s">
        <v>225</v>
      </c>
      <c r="M58" s="13">
        <v>2</v>
      </c>
      <c r="N58" s="13">
        <v>28</v>
      </c>
      <c r="O58" s="12">
        <v>0</v>
      </c>
      <c r="P58" s="13" t="s">
        <v>225</v>
      </c>
      <c r="Q58" s="13">
        <v>30</v>
      </c>
      <c r="R58" s="33" t="s">
        <v>225</v>
      </c>
      <c r="S58" s="33" t="s">
        <v>225</v>
      </c>
      <c r="T58" s="33" t="s">
        <v>225</v>
      </c>
      <c r="U58" s="33" t="s">
        <v>225</v>
      </c>
      <c r="V58" s="33" t="s">
        <v>225</v>
      </c>
      <c r="W58" s="33" t="s">
        <v>694</v>
      </c>
      <c r="X58" s="33" t="s">
        <v>225</v>
      </c>
      <c r="Y58" s="33">
        <v>43063.728472222225</v>
      </c>
      <c r="Z58" s="33">
        <v>43063.728472222225</v>
      </c>
      <c r="AA58" s="13">
        <v>750</v>
      </c>
      <c r="AB58" s="13">
        <v>1</v>
      </c>
      <c r="AC58" s="13">
        <f>SUMIF(Tableau_Liste_UO[[Code UO]:[Code UO]],Tableau_Liste_KPI[[#This Row],[Code UO]], Tableau_Liste_UO[RAF])</f>
        <v>0</v>
      </c>
      <c r="AD58" s="13" t="e">
        <f>SUMIF(Tableau_Liste_UO[[Code UO]:[Code UO]],Tableau_Liste_KPI[[#This Row],[Code UO]], #REF!)</f>
        <v>#REF!</v>
      </c>
      <c r="AE58" s="34" t="s">
        <v>225</v>
      </c>
      <c r="AF58" s="34" t="s">
        <v>225</v>
      </c>
      <c r="AG58" s="34" t="s">
        <v>225</v>
      </c>
      <c r="AH58" s="34"/>
      <c r="AI58" s="35" t="e">
        <f>IF(Tableau_Liste_KPI[[#This Row],[Charge commandée]]="","",IF(Tableau_Liste_KPI[[#This Row],[Total]]&gt;Tableau_Liste_KPI[[#This Row],[Charge commandée]],"KO",""))</f>
        <v>#REF!</v>
      </c>
      <c r="AJ58" s="35" t="e">
        <f>IF(Tableau_Liste_KPI[[#This Row],[KPI Charges]]="KO",Tableau_Liste_KPI[[#This Row],[Charge commandée]]-Tableau_Liste_KPI[[#This Row],[Total]],"")</f>
        <v>#REF!</v>
      </c>
    </row>
    <row r="59" spans="1:36" ht="12" customHeight="1" x14ac:dyDescent="0.2">
      <c r="A59" s="25" t="s">
        <v>471</v>
      </c>
      <c r="B59" s="25" t="s">
        <v>473</v>
      </c>
      <c r="C59" s="12" t="s">
        <v>281</v>
      </c>
      <c r="D59" s="25" t="s">
        <v>37</v>
      </c>
      <c r="E59" s="25" t="s">
        <v>544</v>
      </c>
      <c r="F59" s="25" t="s">
        <v>34</v>
      </c>
      <c r="G59" s="25" t="s">
        <v>702</v>
      </c>
      <c r="H59" s="24">
        <v>43049.438194444447</v>
      </c>
      <c r="I59" s="24">
        <v>43049.439953703702</v>
      </c>
      <c r="J59" s="24" t="s">
        <v>225</v>
      </c>
      <c r="K59" s="71" t="s">
        <v>225</v>
      </c>
      <c r="L59" s="26" t="s">
        <v>225</v>
      </c>
      <c r="M59" s="26">
        <v>0</v>
      </c>
      <c r="N59" s="26">
        <v>30</v>
      </c>
      <c r="O59" s="25">
        <v>0</v>
      </c>
      <c r="P59" s="26" t="s">
        <v>225</v>
      </c>
      <c r="Q59" s="26">
        <v>30</v>
      </c>
      <c r="R59" s="39" t="s">
        <v>225</v>
      </c>
      <c r="S59" s="39" t="s">
        <v>225</v>
      </c>
      <c r="T59" s="39" t="s">
        <v>225</v>
      </c>
      <c r="U59" s="39" t="s">
        <v>225</v>
      </c>
      <c r="V59" s="39" t="s">
        <v>225</v>
      </c>
      <c r="W59" s="39" t="s">
        <v>694</v>
      </c>
      <c r="X59" s="39" t="s">
        <v>225</v>
      </c>
      <c r="Y59" s="39">
        <v>43063.439583333333</v>
      </c>
      <c r="Z59" s="39">
        <v>43063.439583333333</v>
      </c>
      <c r="AA59" s="26">
        <v>3000</v>
      </c>
      <c r="AB59" s="26">
        <v>4</v>
      </c>
      <c r="AC59" s="26">
        <f>SUMIF(Tableau_Liste_UO[[Code UO]:[Code UO]],Tableau_Liste_KPI[[#This Row],[Code UO]], Tableau_Liste_UO[RAF])</f>
        <v>0</v>
      </c>
      <c r="AD59" s="26" t="e">
        <f>SUMIF(Tableau_Liste_UO[[Code UO]:[Code UO]],Tableau_Liste_KPI[[#This Row],[Code UO]], #REF!)</f>
        <v>#REF!</v>
      </c>
      <c r="AE59" s="40" t="s">
        <v>225</v>
      </c>
      <c r="AF59" s="40" t="s">
        <v>225</v>
      </c>
      <c r="AG59" s="40" t="s">
        <v>225</v>
      </c>
      <c r="AH59" s="40"/>
      <c r="AI59" s="41" t="e">
        <f>IF(Tableau_Liste_KPI[[#This Row],[Charge commandée]]="","",IF(Tableau_Liste_KPI[[#This Row],[Total]]&gt;Tableau_Liste_KPI[[#This Row],[Charge commandée]],"KO",""))</f>
        <v>#REF!</v>
      </c>
      <c r="AJ59" s="41" t="e">
        <f>IF(Tableau_Liste_KPI[[#This Row],[KPI Charges]]="KO",Tableau_Liste_KPI[[#This Row],[Charge commandée]]-Tableau_Liste_KPI[[#This Row],[Total]],"")</f>
        <v>#REF!</v>
      </c>
    </row>
    <row r="60" spans="1:36" ht="12" customHeight="1" x14ac:dyDescent="0.2">
      <c r="A60" s="25" t="s">
        <v>472</v>
      </c>
      <c r="B60" s="25" t="s">
        <v>557</v>
      </c>
      <c r="C60" s="12" t="s">
        <v>173</v>
      </c>
      <c r="D60" s="25" t="s">
        <v>33</v>
      </c>
      <c r="E60" s="25" t="s">
        <v>538</v>
      </c>
      <c r="F60" s="25" t="s">
        <v>43</v>
      </c>
      <c r="G60" s="25" t="s">
        <v>696</v>
      </c>
      <c r="H60" s="24">
        <v>43048.680555555555</v>
      </c>
      <c r="I60" s="24">
        <v>43048.681041666663</v>
      </c>
      <c r="J60" s="24" t="s">
        <v>225</v>
      </c>
      <c r="K60" s="71" t="s">
        <v>225</v>
      </c>
      <c r="L60" s="26" t="s">
        <v>225</v>
      </c>
      <c r="M60" s="26">
        <v>2</v>
      </c>
      <c r="N60" s="26">
        <v>-2</v>
      </c>
      <c r="O60" s="25">
        <v>4</v>
      </c>
      <c r="P60" s="26" t="s">
        <v>225</v>
      </c>
      <c r="Q60" s="26" t="s">
        <v>225</v>
      </c>
      <c r="R60" s="39">
        <v>10</v>
      </c>
      <c r="S60" s="39">
        <v>15</v>
      </c>
      <c r="T60" s="39" t="s">
        <v>225</v>
      </c>
      <c r="U60" s="39">
        <v>43063.509027777778</v>
      </c>
      <c r="V60" s="39">
        <v>43056.434027777781</v>
      </c>
      <c r="W60" s="39" t="s">
        <v>694</v>
      </c>
      <c r="X60" s="39" t="s">
        <v>225</v>
      </c>
      <c r="Y60" s="39">
        <v>43068</v>
      </c>
      <c r="Z60" s="39">
        <v>43075</v>
      </c>
      <c r="AA60" s="26">
        <v>3424</v>
      </c>
      <c r="AB60" s="26">
        <v>5</v>
      </c>
      <c r="AC60" s="26">
        <f>SUMIF(Tableau_Liste_UO[[Code UO]:[Code UO]],Tableau_Liste_KPI[[#This Row],[Code UO]], Tableau_Liste_UO[RAF])</f>
        <v>0</v>
      </c>
      <c r="AD60" s="26" t="e">
        <f>SUMIF(Tableau_Liste_UO[[Code UO]:[Code UO]],Tableau_Liste_KPI[[#This Row],[Code UO]], #REF!)</f>
        <v>#REF!</v>
      </c>
      <c r="AE60" s="40" t="s">
        <v>225</v>
      </c>
      <c r="AF60" s="40" t="s">
        <v>225</v>
      </c>
      <c r="AG60" s="40" t="s">
        <v>225</v>
      </c>
      <c r="AH60" s="40"/>
      <c r="AI60" s="41" t="e">
        <f>IF(Tableau_Liste_KPI[[#This Row],[Charge commandée]]="","",IF(Tableau_Liste_KPI[[#This Row],[Total]]&gt;Tableau_Liste_KPI[[#This Row],[Charge commandée]],"KO",""))</f>
        <v>#REF!</v>
      </c>
      <c r="AJ60" s="41" t="e">
        <f>IF(Tableau_Liste_KPI[[#This Row],[KPI Charges]]="KO",Tableau_Liste_KPI[[#This Row],[Charge commandée]]-Tableau_Liste_KPI[[#This Row],[Total]],"")</f>
        <v>#REF!</v>
      </c>
    </row>
    <row r="61" spans="1:36" ht="12" customHeight="1" x14ac:dyDescent="0.2">
      <c r="A61" s="25" t="s">
        <v>474</v>
      </c>
      <c r="B61" s="25" t="s">
        <v>475</v>
      </c>
      <c r="C61" s="12" t="s">
        <v>281</v>
      </c>
      <c r="D61" s="25" t="s">
        <v>37</v>
      </c>
      <c r="E61" s="25" t="s">
        <v>540</v>
      </c>
      <c r="F61" s="25" t="s">
        <v>43</v>
      </c>
      <c r="G61" s="25" t="s">
        <v>693</v>
      </c>
      <c r="H61" s="24">
        <v>43048.593055555553</v>
      </c>
      <c r="I61" s="24">
        <v>43073.608055555553</v>
      </c>
      <c r="J61" s="24" t="s">
        <v>225</v>
      </c>
      <c r="K61" s="71" t="s">
        <v>225</v>
      </c>
      <c r="L61" s="26" t="s">
        <v>225</v>
      </c>
      <c r="M61" s="26">
        <v>0</v>
      </c>
      <c r="N61" s="26">
        <v>10</v>
      </c>
      <c r="O61" s="25">
        <v>3</v>
      </c>
      <c r="P61" s="26" t="s">
        <v>225</v>
      </c>
      <c r="Q61" s="26">
        <v>10</v>
      </c>
      <c r="R61" s="39">
        <v>7</v>
      </c>
      <c r="S61" s="39">
        <v>10</v>
      </c>
      <c r="T61" s="39">
        <v>43084.607638888891</v>
      </c>
      <c r="U61" s="39">
        <v>43084.540277777778</v>
      </c>
      <c r="V61" s="39" t="s">
        <v>225</v>
      </c>
      <c r="W61" s="39" t="s">
        <v>707</v>
      </c>
      <c r="X61" s="39" t="s">
        <v>225</v>
      </c>
      <c r="Y61" s="39">
        <v>43087</v>
      </c>
      <c r="Z61" s="39">
        <v>43090</v>
      </c>
      <c r="AA61" s="26">
        <v>4127</v>
      </c>
      <c r="AB61" s="26">
        <v>5.0999999999999996</v>
      </c>
      <c r="AC61" s="26">
        <f>SUMIF(Tableau_Liste_UO[[Code UO]:[Code UO]],Tableau_Liste_KPI[[#This Row],[Code UO]], Tableau_Liste_UO[RAF])</f>
        <v>0</v>
      </c>
      <c r="AD61" s="26" t="e">
        <f>SUMIF(Tableau_Liste_UO[[Code UO]:[Code UO]],Tableau_Liste_KPI[[#This Row],[Code UO]], #REF!)</f>
        <v>#REF!</v>
      </c>
      <c r="AE61" s="40" t="s">
        <v>721</v>
      </c>
      <c r="AF61" s="40" t="s">
        <v>225</v>
      </c>
      <c r="AG61" s="40" t="s">
        <v>225</v>
      </c>
      <c r="AH61" s="40"/>
      <c r="AI61" s="41" t="e">
        <f>IF(Tableau_Liste_KPI[[#This Row],[Charge commandée]]="","",IF(Tableau_Liste_KPI[[#This Row],[Total]]&gt;Tableau_Liste_KPI[[#This Row],[Charge commandée]],"KO",""))</f>
        <v>#REF!</v>
      </c>
      <c r="AJ61" s="41" t="e">
        <f>IF(Tableau_Liste_KPI[[#This Row],[KPI Charges]]="KO",Tableau_Liste_KPI[[#This Row],[Charge commandée]]-Tableau_Liste_KPI[[#This Row],[Total]],"")</f>
        <v>#REF!</v>
      </c>
    </row>
    <row r="62" spans="1:36" ht="12" customHeight="1" x14ac:dyDescent="0.2">
      <c r="A62" s="25" t="s">
        <v>464</v>
      </c>
      <c r="B62" s="25" t="s">
        <v>465</v>
      </c>
      <c r="C62" s="12" t="s">
        <v>174</v>
      </c>
      <c r="D62" s="25" t="s">
        <v>37</v>
      </c>
      <c r="E62" s="25" t="s">
        <v>63</v>
      </c>
      <c r="F62" s="25" t="s">
        <v>192</v>
      </c>
      <c r="G62" s="25" t="s">
        <v>710</v>
      </c>
      <c r="H62" s="24">
        <v>43047.729166666664</v>
      </c>
      <c r="I62" s="24">
        <v>43047.729861111111</v>
      </c>
      <c r="J62" s="24">
        <v>43056.735219907408</v>
      </c>
      <c r="K62" s="71" t="s">
        <v>225</v>
      </c>
      <c r="L62" s="26" t="s">
        <v>225</v>
      </c>
      <c r="M62" s="26">
        <v>3</v>
      </c>
      <c r="N62" s="26">
        <v>5</v>
      </c>
      <c r="O62" s="25">
        <v>0</v>
      </c>
      <c r="P62" s="26">
        <v>25</v>
      </c>
      <c r="Q62" s="26">
        <v>8</v>
      </c>
      <c r="R62" s="39">
        <v>4</v>
      </c>
      <c r="S62" s="39">
        <v>10</v>
      </c>
      <c r="T62" s="39">
        <v>43056.728472222225</v>
      </c>
      <c r="U62" s="39">
        <v>43053.59097222222</v>
      </c>
      <c r="V62" s="39" t="s">
        <v>225</v>
      </c>
      <c r="W62" s="39" t="s">
        <v>694</v>
      </c>
      <c r="X62" s="39" t="s">
        <v>225</v>
      </c>
      <c r="Y62" s="39">
        <v>43053</v>
      </c>
      <c r="Z62" s="39">
        <v>43061</v>
      </c>
      <c r="AA62" s="26">
        <v>3343</v>
      </c>
      <c r="AB62" s="26">
        <v>4.0999999999999996</v>
      </c>
      <c r="AC62" s="26">
        <f>SUMIF(Tableau_Liste_UO[[Code UO]:[Code UO]],Tableau_Liste_KPI[[#This Row],[Code UO]], Tableau_Liste_UO[RAF])</f>
        <v>0</v>
      </c>
      <c r="AD62" s="26" t="e">
        <f>SUMIF(Tableau_Liste_UO[[Code UO]:[Code UO]],Tableau_Liste_KPI[[#This Row],[Code UO]], #REF!)</f>
        <v>#REF!</v>
      </c>
      <c r="AE62" s="40" t="s">
        <v>721</v>
      </c>
      <c r="AF62" s="40" t="s">
        <v>225</v>
      </c>
      <c r="AG62" s="40" t="s">
        <v>225</v>
      </c>
      <c r="AH62" s="40"/>
      <c r="AI62" s="41" t="e">
        <f>IF(Tableau_Liste_KPI[[#This Row],[Charge commandée]]="","",IF(Tableau_Liste_KPI[[#This Row],[Total]]&gt;Tableau_Liste_KPI[[#This Row],[Charge commandée]],"KO",""))</f>
        <v>#REF!</v>
      </c>
      <c r="AJ62" s="41" t="e">
        <f>IF(Tableau_Liste_KPI[[#This Row],[KPI Charges]]="KO",Tableau_Liste_KPI[[#This Row],[Charge commandée]]-Tableau_Liste_KPI[[#This Row],[Total]],"")</f>
        <v>#REF!</v>
      </c>
    </row>
    <row r="63" spans="1:36" ht="12" customHeight="1" x14ac:dyDescent="0.2">
      <c r="A63" s="32" t="s">
        <v>466</v>
      </c>
      <c r="B63" s="32" t="s">
        <v>467</v>
      </c>
      <c r="C63" s="12" t="s">
        <v>259</v>
      </c>
      <c r="D63" s="12" t="s">
        <v>37</v>
      </c>
      <c r="E63" s="12" t="s">
        <v>63</v>
      </c>
      <c r="F63" s="12" t="s">
        <v>43</v>
      </c>
      <c r="G63" s="12" t="s">
        <v>700</v>
      </c>
      <c r="H63" s="6">
        <v>43047.40625</v>
      </c>
      <c r="I63" s="6">
        <v>43047.406736111108</v>
      </c>
      <c r="J63" s="6">
        <v>43060.528368055559</v>
      </c>
      <c r="K63" s="69">
        <v>43081.46775462963</v>
      </c>
      <c r="L63" s="13" t="s">
        <v>225</v>
      </c>
      <c r="M63" s="13">
        <v>0</v>
      </c>
      <c r="N63" s="13">
        <v>9</v>
      </c>
      <c r="O63" s="12">
        <v>0</v>
      </c>
      <c r="P63" s="13">
        <v>15</v>
      </c>
      <c r="Q63" s="13">
        <v>9</v>
      </c>
      <c r="R63" s="33">
        <v>2</v>
      </c>
      <c r="S63" s="33">
        <v>5</v>
      </c>
      <c r="T63" s="33">
        <v>43056.40625</v>
      </c>
      <c r="U63" s="33">
        <v>43049.540277777778</v>
      </c>
      <c r="V63" s="33">
        <v>43056.477083333331</v>
      </c>
      <c r="W63" s="33" t="s">
        <v>694</v>
      </c>
      <c r="X63" s="33" t="s">
        <v>707</v>
      </c>
      <c r="Y63" s="33">
        <v>43049</v>
      </c>
      <c r="Z63" s="33">
        <v>43054</v>
      </c>
      <c r="AA63" s="13">
        <v>825</v>
      </c>
      <c r="AB63" s="13">
        <v>1</v>
      </c>
      <c r="AC63" s="13">
        <f>SUMIF(Tableau_Liste_UO[[Code UO]:[Code UO]],Tableau_Liste_KPI[[#This Row],[Code UO]], Tableau_Liste_UO[RAF])</f>
        <v>0</v>
      </c>
      <c r="AD63" s="13" t="e">
        <f>SUMIF(Tableau_Liste_UO[[Code UO]:[Code UO]],Tableau_Liste_KPI[[#This Row],[Code UO]], #REF!)</f>
        <v>#REF!</v>
      </c>
      <c r="AE63" s="34" t="s">
        <v>721</v>
      </c>
      <c r="AF63" s="34" t="s">
        <v>721</v>
      </c>
      <c r="AG63" s="34" t="s">
        <v>225</v>
      </c>
      <c r="AH63" s="34"/>
      <c r="AI63" s="35" t="e">
        <f>IF(Tableau_Liste_KPI[[#This Row],[Charge commandée]]="","",IF(Tableau_Liste_KPI[[#This Row],[Total]]&gt;Tableau_Liste_KPI[[#This Row],[Charge commandée]],"KO",""))</f>
        <v>#REF!</v>
      </c>
      <c r="AJ63" s="35" t="e">
        <f>IF(Tableau_Liste_KPI[[#This Row],[KPI Charges]]="KO",Tableau_Liste_KPI[[#This Row],[Charge commandée]]-Tableau_Liste_KPI[[#This Row],[Total]],"")</f>
        <v>#REF!</v>
      </c>
    </row>
    <row r="64" spans="1:36" ht="12" customHeight="1" x14ac:dyDescent="0.2">
      <c r="A64" s="12" t="s">
        <v>468</v>
      </c>
      <c r="B64" s="12" t="s">
        <v>469</v>
      </c>
      <c r="C64" s="12" t="s">
        <v>281</v>
      </c>
      <c r="D64" s="12" t="s">
        <v>33</v>
      </c>
      <c r="E64" s="12" t="s">
        <v>544</v>
      </c>
      <c r="F64" s="12" t="s">
        <v>34</v>
      </c>
      <c r="G64" s="12" t="s">
        <v>701</v>
      </c>
      <c r="H64" s="6">
        <v>43046.609027777777</v>
      </c>
      <c r="I64" s="6">
        <v>43046.60974537037</v>
      </c>
      <c r="J64" s="6" t="s">
        <v>225</v>
      </c>
      <c r="K64" s="69" t="s">
        <v>225</v>
      </c>
      <c r="L64" s="13" t="s">
        <v>225</v>
      </c>
      <c r="M64" s="13">
        <v>0</v>
      </c>
      <c r="N64" s="13">
        <v>33</v>
      </c>
      <c r="O64" s="12">
        <v>0</v>
      </c>
      <c r="P64" s="13" t="s">
        <v>225</v>
      </c>
      <c r="Q64" s="13">
        <v>33</v>
      </c>
      <c r="R64" s="33" t="s">
        <v>225</v>
      </c>
      <c r="S64" s="33" t="s">
        <v>225</v>
      </c>
      <c r="T64" s="33" t="s">
        <v>225</v>
      </c>
      <c r="U64" s="33" t="s">
        <v>225</v>
      </c>
      <c r="V64" s="33" t="s">
        <v>225</v>
      </c>
      <c r="W64" s="33" t="s">
        <v>694</v>
      </c>
      <c r="X64" s="33" t="s">
        <v>225</v>
      </c>
      <c r="Y64" s="33">
        <v>43049.609027777777</v>
      </c>
      <c r="Z64" s="33">
        <v>43049.609027777777</v>
      </c>
      <c r="AA64" s="13">
        <v>750</v>
      </c>
      <c r="AB64" s="13">
        <v>1</v>
      </c>
      <c r="AC64" s="13">
        <f>SUMIF(Tableau_Liste_UO[[Code UO]:[Code UO]],Tableau_Liste_KPI[[#This Row],[Code UO]], Tableau_Liste_UO[RAF])</f>
        <v>0</v>
      </c>
      <c r="AD64" s="13" t="e">
        <f>SUMIF(Tableau_Liste_UO[[Code UO]:[Code UO]],Tableau_Liste_KPI[[#This Row],[Code UO]], #REF!)</f>
        <v>#REF!</v>
      </c>
      <c r="AE64" s="34" t="s">
        <v>225</v>
      </c>
      <c r="AF64" s="34" t="s">
        <v>225</v>
      </c>
      <c r="AG64" s="34" t="s">
        <v>225</v>
      </c>
      <c r="AH64" s="34"/>
      <c r="AI64" s="35" t="e">
        <f>IF(Tableau_Liste_KPI[[#This Row],[Charge commandée]]="","",IF(Tableau_Liste_KPI[[#This Row],[Total]]&gt;Tableau_Liste_KPI[[#This Row],[Charge commandée]],"KO",""))</f>
        <v>#REF!</v>
      </c>
      <c r="AJ64" s="35" t="e">
        <f>IF(Tableau_Liste_KPI[[#This Row],[KPI Charges]]="KO",Tableau_Liste_KPI[[#This Row],[Charge commandée]]-Tableau_Liste_KPI[[#This Row],[Total]],"")</f>
        <v>#REF!</v>
      </c>
    </row>
    <row r="65" spans="1:36" ht="12" customHeight="1" x14ac:dyDescent="0.2">
      <c r="A65" s="12" t="s">
        <v>463</v>
      </c>
      <c r="B65" s="12" t="s">
        <v>558</v>
      </c>
      <c r="C65" s="12" t="s">
        <v>259</v>
      </c>
      <c r="D65" s="12" t="s">
        <v>33</v>
      </c>
      <c r="E65" s="12" t="s">
        <v>538</v>
      </c>
      <c r="F65" s="12" t="s">
        <v>43</v>
      </c>
      <c r="G65" s="12" t="s">
        <v>696</v>
      </c>
      <c r="H65" s="6">
        <v>43041.435416666667</v>
      </c>
      <c r="I65" s="6">
        <v>43041.435740740744</v>
      </c>
      <c r="J65" s="6">
        <v>43063.68986111111</v>
      </c>
      <c r="K65" s="69">
        <v>43069.4378125</v>
      </c>
      <c r="L65" s="13" t="s">
        <v>225</v>
      </c>
      <c r="M65" s="13">
        <v>0</v>
      </c>
      <c r="N65" s="13">
        <v>16</v>
      </c>
      <c r="O65" s="12">
        <v>0</v>
      </c>
      <c r="P65" s="13">
        <v>4</v>
      </c>
      <c r="Q65" s="13">
        <v>16</v>
      </c>
      <c r="R65" s="33">
        <v>10</v>
      </c>
      <c r="S65" s="33">
        <v>15</v>
      </c>
      <c r="T65" s="33" t="s">
        <v>225</v>
      </c>
      <c r="U65" s="33">
        <v>43055.44027777778</v>
      </c>
      <c r="V65" s="33">
        <v>43067.593055555553</v>
      </c>
      <c r="W65" s="33" t="s">
        <v>694</v>
      </c>
      <c r="X65" s="33" t="s">
        <v>694</v>
      </c>
      <c r="Y65" s="33">
        <v>43055</v>
      </c>
      <c r="Z65" s="33">
        <v>43062</v>
      </c>
      <c r="AA65" s="13">
        <v>3424</v>
      </c>
      <c r="AB65" s="13">
        <v>5</v>
      </c>
      <c r="AC65" s="13">
        <f>SUMIF(Tableau_Liste_UO[[Code UO]:[Code UO]],Tableau_Liste_KPI[[#This Row],[Code UO]], Tableau_Liste_UO[RAF])</f>
        <v>0</v>
      </c>
      <c r="AD65" s="13" t="e">
        <f>SUMIF(Tableau_Liste_UO[[Code UO]:[Code UO]],Tableau_Liste_KPI[[#This Row],[Code UO]], #REF!)</f>
        <v>#REF!</v>
      </c>
      <c r="AE65" s="34" t="s">
        <v>721</v>
      </c>
      <c r="AF65" s="34" t="s">
        <v>721</v>
      </c>
      <c r="AG65" s="34" t="s">
        <v>225</v>
      </c>
      <c r="AH65" s="34"/>
      <c r="AI65" s="35" t="e">
        <f>IF(Tableau_Liste_KPI[[#This Row],[Charge commandée]]="","",IF(Tableau_Liste_KPI[[#This Row],[Total]]&gt;Tableau_Liste_KPI[[#This Row],[Charge commandée]],"KO",""))</f>
        <v>#REF!</v>
      </c>
      <c r="AJ65" s="35" t="e">
        <f>IF(Tableau_Liste_KPI[[#This Row],[KPI Charges]]="KO",Tableau_Liste_KPI[[#This Row],[Charge commandée]]-Tableau_Liste_KPI[[#This Row],[Total]],"")</f>
        <v>#REF!</v>
      </c>
    </row>
    <row r="66" spans="1:36" ht="12" customHeight="1" x14ac:dyDescent="0.2">
      <c r="A66" s="12" t="s">
        <v>459</v>
      </c>
      <c r="B66" s="12" t="s">
        <v>460</v>
      </c>
      <c r="C66" s="12" t="s">
        <v>259</v>
      </c>
      <c r="D66" s="12" t="s">
        <v>33</v>
      </c>
      <c r="E66" s="12" t="s">
        <v>544</v>
      </c>
      <c r="F66" s="12" t="s">
        <v>34</v>
      </c>
      <c r="G66" s="12" t="s">
        <v>701</v>
      </c>
      <c r="H66" s="6">
        <v>43035.757638888892</v>
      </c>
      <c r="I66" s="6">
        <v>43035.761377314811</v>
      </c>
      <c r="J66" s="6" t="s">
        <v>225</v>
      </c>
      <c r="K66" s="69">
        <v>43048.677881944444</v>
      </c>
      <c r="L66" s="13" t="s">
        <v>225</v>
      </c>
      <c r="M66" s="13">
        <v>2</v>
      </c>
      <c r="N66" s="13">
        <v>7</v>
      </c>
      <c r="O66" s="12">
        <v>0</v>
      </c>
      <c r="P66" s="13" t="s">
        <v>225</v>
      </c>
      <c r="Q66" s="13">
        <v>9</v>
      </c>
      <c r="R66" s="33" t="s">
        <v>225</v>
      </c>
      <c r="S66" s="33" t="s">
        <v>225</v>
      </c>
      <c r="T66" s="33" t="s">
        <v>225</v>
      </c>
      <c r="U66" s="33" t="s">
        <v>225</v>
      </c>
      <c r="V66" s="33" t="s">
        <v>225</v>
      </c>
      <c r="W66" s="33" t="s">
        <v>703</v>
      </c>
      <c r="X66" s="33" t="s">
        <v>694</v>
      </c>
      <c r="Y66" s="33">
        <v>43042.757638888892</v>
      </c>
      <c r="Z66" s="33">
        <v>43042.757638888892</v>
      </c>
      <c r="AA66" s="13">
        <v>750</v>
      </c>
      <c r="AB66" s="13">
        <v>1</v>
      </c>
      <c r="AC66" s="13">
        <f>SUMIF(Tableau_Liste_UO[[Code UO]:[Code UO]],Tableau_Liste_KPI[[#This Row],[Code UO]], Tableau_Liste_UO[RAF])</f>
        <v>0</v>
      </c>
      <c r="AD66" s="13" t="e">
        <f>SUMIF(Tableau_Liste_UO[[Code UO]:[Code UO]],Tableau_Liste_KPI[[#This Row],[Code UO]], #REF!)</f>
        <v>#REF!</v>
      </c>
      <c r="AE66" s="34" t="s">
        <v>225</v>
      </c>
      <c r="AF66" s="34" t="s">
        <v>225</v>
      </c>
      <c r="AG66" s="34" t="s">
        <v>225</v>
      </c>
      <c r="AH66" s="34"/>
      <c r="AI66" s="35" t="e">
        <f>IF(Tableau_Liste_KPI[[#This Row],[Charge commandée]]="","",IF(Tableau_Liste_KPI[[#This Row],[Total]]&gt;Tableau_Liste_KPI[[#This Row],[Charge commandée]],"KO",""))</f>
        <v>#REF!</v>
      </c>
      <c r="AJ66" s="35" t="e">
        <f>IF(Tableau_Liste_KPI[[#This Row],[KPI Charges]]="KO",Tableau_Liste_KPI[[#This Row],[Charge commandée]]-Tableau_Liste_KPI[[#This Row],[Total]],"")</f>
        <v>#REF!</v>
      </c>
    </row>
    <row r="67" spans="1:36" ht="12" customHeight="1" x14ac:dyDescent="0.2">
      <c r="A67" s="12" t="s">
        <v>457</v>
      </c>
      <c r="B67" s="12" t="s">
        <v>458</v>
      </c>
      <c r="C67" s="12" t="s">
        <v>259</v>
      </c>
      <c r="D67" s="12" t="s">
        <v>33</v>
      </c>
      <c r="E67" s="12" t="s">
        <v>99</v>
      </c>
      <c r="F67" s="12" t="s">
        <v>225</v>
      </c>
      <c r="G67" s="12" t="s">
        <v>714</v>
      </c>
      <c r="H67" s="6">
        <v>43035.545138888891</v>
      </c>
      <c r="I67" s="6">
        <v>43035.545486111114</v>
      </c>
      <c r="J67" s="6">
        <v>43047.372349537036</v>
      </c>
      <c r="K67" s="69">
        <v>43048.707476851851</v>
      </c>
      <c r="L67" s="13" t="s">
        <v>225</v>
      </c>
      <c r="M67" s="13">
        <v>0</v>
      </c>
      <c r="N67" s="13">
        <v>7</v>
      </c>
      <c r="O67" s="12">
        <v>0</v>
      </c>
      <c r="P67" s="13">
        <v>1</v>
      </c>
      <c r="Q67" s="13">
        <v>7</v>
      </c>
      <c r="R67" s="33" t="s">
        <v>225</v>
      </c>
      <c r="S67" s="33" t="s">
        <v>225</v>
      </c>
      <c r="T67" s="33" t="s">
        <v>225</v>
      </c>
      <c r="U67" s="33">
        <v>43049.662499999999</v>
      </c>
      <c r="V67" s="33" t="s">
        <v>225</v>
      </c>
      <c r="W67" s="33" t="s">
        <v>703</v>
      </c>
      <c r="X67" s="33" t="s">
        <v>694</v>
      </c>
      <c r="Y67" s="33" t="s">
        <v>225</v>
      </c>
      <c r="Z67" s="33" t="s">
        <v>225</v>
      </c>
      <c r="AA67" s="13">
        <v>635</v>
      </c>
      <c r="AB67" s="13">
        <v>0.7</v>
      </c>
      <c r="AC67" s="13">
        <f>SUMIF(Tableau_Liste_UO[[Code UO]:[Code UO]],Tableau_Liste_KPI[[#This Row],[Code UO]], Tableau_Liste_UO[RAF])</f>
        <v>0</v>
      </c>
      <c r="AD67" s="13" t="e">
        <f>SUMIF(Tableau_Liste_UO[[Code UO]:[Code UO]],Tableau_Liste_KPI[[#This Row],[Code UO]], #REF!)</f>
        <v>#REF!</v>
      </c>
      <c r="AE67" s="34" t="s">
        <v>225</v>
      </c>
      <c r="AF67" s="34" t="s">
        <v>225</v>
      </c>
      <c r="AG67" s="34" t="s">
        <v>225</v>
      </c>
      <c r="AH67" s="34"/>
      <c r="AI67" s="35" t="e">
        <f>IF(Tableau_Liste_KPI[[#This Row],[Charge commandée]]="","",IF(Tableau_Liste_KPI[[#This Row],[Total]]&gt;Tableau_Liste_KPI[[#This Row],[Charge commandée]],"KO",""))</f>
        <v>#REF!</v>
      </c>
      <c r="AJ67" s="35" t="e">
        <f>IF(Tableau_Liste_KPI[[#This Row],[KPI Charges]]="KO",Tableau_Liste_KPI[[#This Row],[Charge commandée]]-Tableau_Liste_KPI[[#This Row],[Total]],"")</f>
        <v>#REF!</v>
      </c>
    </row>
    <row r="68" spans="1:36" ht="12" customHeight="1" x14ac:dyDescent="0.2">
      <c r="A68" s="12" t="s">
        <v>455</v>
      </c>
      <c r="B68" s="12" t="s">
        <v>456</v>
      </c>
      <c r="C68" s="12" t="s">
        <v>281</v>
      </c>
      <c r="D68" s="12" t="s">
        <v>33</v>
      </c>
      <c r="E68" s="12" t="s">
        <v>544</v>
      </c>
      <c r="F68" s="12" t="s">
        <v>34</v>
      </c>
      <c r="G68" s="12" t="s">
        <v>701</v>
      </c>
      <c r="H68" s="6">
        <v>43035.470138888886</v>
      </c>
      <c r="I68" s="6">
        <v>43035.471192129633</v>
      </c>
      <c r="J68" s="6" t="s">
        <v>225</v>
      </c>
      <c r="K68" s="69" t="s">
        <v>225</v>
      </c>
      <c r="L68" s="13" t="s">
        <v>225</v>
      </c>
      <c r="M68" s="13">
        <v>0</v>
      </c>
      <c r="N68" s="13">
        <v>39</v>
      </c>
      <c r="O68" s="12">
        <v>0</v>
      </c>
      <c r="P68" s="13" t="s">
        <v>225</v>
      </c>
      <c r="Q68" s="13">
        <v>39</v>
      </c>
      <c r="R68" s="33" t="s">
        <v>225</v>
      </c>
      <c r="S68" s="33" t="s">
        <v>225</v>
      </c>
      <c r="T68" s="33" t="s">
        <v>225</v>
      </c>
      <c r="U68" s="33" t="s">
        <v>225</v>
      </c>
      <c r="V68" s="33" t="s">
        <v>225</v>
      </c>
      <c r="W68" s="33" t="s">
        <v>703</v>
      </c>
      <c r="X68" s="33" t="s">
        <v>225</v>
      </c>
      <c r="Y68" s="33">
        <v>43069.470138888886</v>
      </c>
      <c r="Z68" s="33">
        <v>43069.470138888886</v>
      </c>
      <c r="AA68" s="13">
        <v>2250</v>
      </c>
      <c r="AB68" s="13">
        <v>3</v>
      </c>
      <c r="AC68" s="13">
        <f>SUMIF(Tableau_Liste_UO[[Code UO]:[Code UO]],Tableau_Liste_KPI[[#This Row],[Code UO]], Tableau_Liste_UO[RAF])</f>
        <v>0</v>
      </c>
      <c r="AD68" s="13" t="e">
        <f>SUMIF(Tableau_Liste_UO[[Code UO]:[Code UO]],Tableau_Liste_KPI[[#This Row],[Code UO]], #REF!)</f>
        <v>#REF!</v>
      </c>
      <c r="AE68" s="34" t="s">
        <v>225</v>
      </c>
      <c r="AF68" s="34" t="s">
        <v>225</v>
      </c>
      <c r="AG68" s="34" t="s">
        <v>225</v>
      </c>
      <c r="AH68" s="34"/>
      <c r="AI68" s="35" t="e">
        <f>IF(Tableau_Liste_KPI[[#This Row],[Charge commandée]]="","",IF(Tableau_Liste_KPI[[#This Row],[Total]]&gt;Tableau_Liste_KPI[[#This Row],[Charge commandée]],"KO",""))</f>
        <v>#REF!</v>
      </c>
      <c r="AJ68" s="35" t="e">
        <f>IF(Tableau_Liste_KPI[[#This Row],[KPI Charges]]="KO",Tableau_Liste_KPI[[#This Row],[Charge commandée]]-Tableau_Liste_KPI[[#This Row],[Total]],"")</f>
        <v>#REF!</v>
      </c>
    </row>
    <row r="69" spans="1:36" ht="12" customHeight="1" x14ac:dyDescent="0.2">
      <c r="A69" s="12" t="s">
        <v>453</v>
      </c>
      <c r="B69" s="12" t="s">
        <v>454</v>
      </c>
      <c r="C69" s="12" t="s">
        <v>281</v>
      </c>
      <c r="D69" s="12" t="s">
        <v>37</v>
      </c>
      <c r="E69" s="12" t="s">
        <v>544</v>
      </c>
      <c r="F69" s="12" t="s">
        <v>34</v>
      </c>
      <c r="G69" s="12" t="s">
        <v>702</v>
      </c>
      <c r="H69" s="6">
        <v>43035.461805555555</v>
      </c>
      <c r="I69" s="6">
        <v>43052.582175925927</v>
      </c>
      <c r="J69" s="6" t="s">
        <v>225</v>
      </c>
      <c r="K69" s="69" t="s">
        <v>225</v>
      </c>
      <c r="L69" s="13" t="s">
        <v>225</v>
      </c>
      <c r="M69" s="13">
        <v>0</v>
      </c>
      <c r="N69" s="13">
        <v>29</v>
      </c>
      <c r="O69" s="12">
        <v>0</v>
      </c>
      <c r="P69" s="13" t="s">
        <v>225</v>
      </c>
      <c r="Q69" s="13">
        <v>29</v>
      </c>
      <c r="R69" s="33" t="s">
        <v>225</v>
      </c>
      <c r="S69" s="33" t="s">
        <v>225</v>
      </c>
      <c r="T69" s="33" t="s">
        <v>225</v>
      </c>
      <c r="U69" s="33" t="s">
        <v>225</v>
      </c>
      <c r="V69" s="33" t="s">
        <v>225</v>
      </c>
      <c r="W69" s="33" t="s">
        <v>694</v>
      </c>
      <c r="X69" s="33" t="s">
        <v>225</v>
      </c>
      <c r="Y69" s="33">
        <v>43069.999305555553</v>
      </c>
      <c r="Z69" s="33">
        <v>43069.999305555553</v>
      </c>
      <c r="AA69" s="13">
        <v>8250</v>
      </c>
      <c r="AB69" s="13">
        <v>11</v>
      </c>
      <c r="AC69" s="13">
        <f>SUMIF(Tableau_Liste_UO[[Code UO]:[Code UO]],Tableau_Liste_KPI[[#This Row],[Code UO]], Tableau_Liste_UO[RAF])</f>
        <v>0</v>
      </c>
      <c r="AD69" s="13" t="e">
        <f>SUMIF(Tableau_Liste_UO[[Code UO]:[Code UO]],Tableau_Liste_KPI[[#This Row],[Code UO]], #REF!)</f>
        <v>#REF!</v>
      </c>
      <c r="AE69" s="34" t="s">
        <v>225</v>
      </c>
      <c r="AF69" s="34" t="s">
        <v>225</v>
      </c>
      <c r="AG69" s="34" t="s">
        <v>225</v>
      </c>
      <c r="AH69" s="34"/>
      <c r="AI69" s="35" t="e">
        <f>IF(Tableau_Liste_KPI[[#This Row],[Charge commandée]]="","",IF(Tableau_Liste_KPI[[#This Row],[Total]]&gt;Tableau_Liste_KPI[[#This Row],[Charge commandée]],"KO",""))</f>
        <v>#REF!</v>
      </c>
      <c r="AJ69" s="35" t="e">
        <f>IF(Tableau_Liste_KPI[[#This Row],[KPI Charges]]="KO",Tableau_Liste_KPI[[#This Row],[Charge commandée]]-Tableau_Liste_KPI[[#This Row],[Total]],"")</f>
        <v>#REF!</v>
      </c>
    </row>
    <row r="70" spans="1:36" ht="12" customHeight="1" x14ac:dyDescent="0.2">
      <c r="A70" s="12" t="s">
        <v>451</v>
      </c>
      <c r="B70" s="12" t="s">
        <v>452</v>
      </c>
      <c r="C70" s="12" t="s">
        <v>656</v>
      </c>
      <c r="D70" s="12" t="s">
        <v>37</v>
      </c>
      <c r="E70" s="12" t="s">
        <v>63</v>
      </c>
      <c r="F70" s="12" t="s">
        <v>192</v>
      </c>
      <c r="G70" s="12" t="s">
        <v>710</v>
      </c>
      <c r="H70" s="6">
        <v>43034.587500000001</v>
      </c>
      <c r="I70" s="6">
        <v>43034.598136574074</v>
      </c>
      <c r="J70" s="6" t="s">
        <v>225</v>
      </c>
      <c r="K70" s="69" t="s">
        <v>225</v>
      </c>
      <c r="L70" s="13" t="s">
        <v>225</v>
      </c>
      <c r="M70" s="13">
        <v>4</v>
      </c>
      <c r="N70" s="13">
        <v>17</v>
      </c>
      <c r="O70" s="12">
        <v>20</v>
      </c>
      <c r="P70" s="13" t="s">
        <v>225</v>
      </c>
      <c r="Q70" s="13">
        <v>21</v>
      </c>
      <c r="R70" s="33">
        <v>4</v>
      </c>
      <c r="S70" s="33">
        <v>10</v>
      </c>
      <c r="T70" s="33">
        <v>43084.510416666664</v>
      </c>
      <c r="U70" s="33">
        <v>43048.654861111114</v>
      </c>
      <c r="V70" s="33">
        <v>43105.6875</v>
      </c>
      <c r="W70" s="33" t="s">
        <v>703</v>
      </c>
      <c r="X70" s="33" t="s">
        <v>225</v>
      </c>
      <c r="Y70" s="33">
        <v>43069</v>
      </c>
      <c r="Z70" s="33">
        <v>43077</v>
      </c>
      <c r="AA70" s="13">
        <v>3343</v>
      </c>
      <c r="AB70" s="13">
        <v>4.0999999999999996</v>
      </c>
      <c r="AC70" s="13">
        <f>SUMIF(Tableau_Liste_UO[[Code UO]:[Code UO]],Tableau_Liste_KPI[[#This Row],[Code UO]], Tableau_Liste_UO[RAF])</f>
        <v>0</v>
      </c>
      <c r="AD70" s="13" t="e">
        <f>SUMIF(Tableau_Liste_UO[[Code UO]:[Code UO]],Tableau_Liste_KPI[[#This Row],[Code UO]], #REF!)</f>
        <v>#REF!</v>
      </c>
      <c r="AE70" s="34" t="s">
        <v>721</v>
      </c>
      <c r="AF70" s="34" t="s">
        <v>721</v>
      </c>
      <c r="AG70" s="34" t="s">
        <v>225</v>
      </c>
      <c r="AH70" s="34"/>
      <c r="AI70" s="35" t="e">
        <f>IF(Tableau_Liste_KPI[[#This Row],[Charge commandée]]="","",IF(Tableau_Liste_KPI[[#This Row],[Total]]&gt;Tableau_Liste_KPI[[#This Row],[Charge commandée]],"KO",""))</f>
        <v>#REF!</v>
      </c>
      <c r="AJ70" s="35" t="e">
        <f>IF(Tableau_Liste_KPI[[#This Row],[KPI Charges]]="KO",Tableau_Liste_KPI[[#This Row],[Charge commandée]]-Tableau_Liste_KPI[[#This Row],[Total]],"")</f>
        <v>#REF!</v>
      </c>
    </row>
    <row r="71" spans="1:36" ht="12" customHeight="1" x14ac:dyDescent="0.2">
      <c r="A71" s="12" t="s">
        <v>450</v>
      </c>
      <c r="B71" s="12" t="s">
        <v>559</v>
      </c>
      <c r="C71" s="12" t="s">
        <v>281</v>
      </c>
      <c r="D71" s="12" t="s">
        <v>37</v>
      </c>
      <c r="E71" s="12" t="s">
        <v>539</v>
      </c>
      <c r="F71" s="12" t="s">
        <v>192</v>
      </c>
      <c r="G71" s="12" t="s">
        <v>713</v>
      </c>
      <c r="H71" s="6">
        <v>43034.578472222223</v>
      </c>
      <c r="I71" s="6">
        <v>43034.579918981479</v>
      </c>
      <c r="J71" s="6" t="s">
        <v>225</v>
      </c>
      <c r="K71" s="69" t="s">
        <v>225</v>
      </c>
      <c r="L71" s="13" t="s">
        <v>225</v>
      </c>
      <c r="M71" s="13">
        <v>-1</v>
      </c>
      <c r="N71" s="13">
        <v>21</v>
      </c>
      <c r="O71" s="12">
        <v>19</v>
      </c>
      <c r="P71" s="13" t="s">
        <v>225</v>
      </c>
      <c r="Q71" s="13">
        <v>20</v>
      </c>
      <c r="R71" s="33">
        <v>25</v>
      </c>
      <c r="S71" s="33">
        <v>40</v>
      </c>
      <c r="T71" s="33">
        <v>43154.510416666664</v>
      </c>
      <c r="U71" s="33">
        <v>43091.779166666667</v>
      </c>
      <c r="V71" s="33">
        <v>43105.667361111111</v>
      </c>
      <c r="W71" s="33" t="s">
        <v>703</v>
      </c>
      <c r="X71" s="33" t="s">
        <v>225</v>
      </c>
      <c r="Y71" s="33">
        <v>43105</v>
      </c>
      <c r="Z71" s="33">
        <v>43126</v>
      </c>
      <c r="AA71" s="13">
        <v>9752</v>
      </c>
      <c r="AB71" s="13">
        <v>12.6</v>
      </c>
      <c r="AC71" s="13">
        <f>SUMIF(Tableau_Liste_UO[[Code UO]:[Code UO]],Tableau_Liste_KPI[[#This Row],[Code UO]], Tableau_Liste_UO[RAF])</f>
        <v>0</v>
      </c>
      <c r="AD71" s="13" t="e">
        <f>SUMIF(Tableau_Liste_UO[[Code UO]:[Code UO]],Tableau_Liste_KPI[[#This Row],[Code UO]], #REF!)</f>
        <v>#REF!</v>
      </c>
      <c r="AE71" s="34" t="s">
        <v>225</v>
      </c>
      <c r="AF71" s="34" t="s">
        <v>225</v>
      </c>
      <c r="AG71" s="34" t="s">
        <v>225</v>
      </c>
      <c r="AH71" s="34"/>
      <c r="AI71" s="35" t="e">
        <f>IF(Tableau_Liste_KPI[[#This Row],[Charge commandée]]="","",IF(Tableau_Liste_KPI[[#This Row],[Total]]&gt;Tableau_Liste_KPI[[#This Row],[Charge commandée]],"KO",""))</f>
        <v>#REF!</v>
      </c>
      <c r="AJ71" s="35" t="e">
        <f>IF(Tableau_Liste_KPI[[#This Row],[KPI Charges]]="KO",Tableau_Liste_KPI[[#This Row],[Charge commandée]]-Tableau_Liste_KPI[[#This Row],[Total]],"")</f>
        <v>#REF!</v>
      </c>
    </row>
    <row r="72" spans="1:36" ht="12" customHeight="1" x14ac:dyDescent="0.2">
      <c r="A72" s="12" t="s">
        <v>449</v>
      </c>
      <c r="B72" s="12" t="s">
        <v>560</v>
      </c>
      <c r="C72" s="12" t="s">
        <v>656</v>
      </c>
      <c r="D72" s="12" t="s">
        <v>37</v>
      </c>
      <c r="E72" s="12" t="s">
        <v>539</v>
      </c>
      <c r="F72" s="12" t="s">
        <v>192</v>
      </c>
      <c r="G72" s="12" t="s">
        <v>713</v>
      </c>
      <c r="H72" s="6">
        <v>43034.511111111111</v>
      </c>
      <c r="I72" s="6">
        <v>43034.57984953704</v>
      </c>
      <c r="J72" s="6" t="s">
        <v>225</v>
      </c>
      <c r="K72" s="69" t="s">
        <v>225</v>
      </c>
      <c r="L72" s="13" t="s">
        <v>225</v>
      </c>
      <c r="M72" s="13">
        <v>-1</v>
      </c>
      <c r="N72" s="13">
        <v>13</v>
      </c>
      <c r="O72" s="12">
        <v>27</v>
      </c>
      <c r="P72" s="13" t="s">
        <v>225</v>
      </c>
      <c r="Q72" s="13">
        <v>12</v>
      </c>
      <c r="R72" s="33">
        <v>25</v>
      </c>
      <c r="S72" s="33">
        <v>40</v>
      </c>
      <c r="T72" s="33">
        <v>43076.510416666664</v>
      </c>
      <c r="U72" s="33">
        <v>43091.779861111114</v>
      </c>
      <c r="V72" s="33">
        <v>43105.71875</v>
      </c>
      <c r="W72" s="33" t="s">
        <v>703</v>
      </c>
      <c r="X72" s="33" t="s">
        <v>225</v>
      </c>
      <c r="Y72" s="33">
        <v>43117</v>
      </c>
      <c r="Z72" s="33">
        <v>43138</v>
      </c>
      <c r="AA72" s="13">
        <v>9752</v>
      </c>
      <c r="AB72" s="13">
        <v>12.6</v>
      </c>
      <c r="AC72" s="13">
        <f>SUMIF(Tableau_Liste_UO[[Code UO]:[Code UO]],Tableau_Liste_KPI[[#This Row],[Code UO]], Tableau_Liste_UO[RAF])</f>
        <v>0</v>
      </c>
      <c r="AD72" s="13" t="e">
        <f>SUMIF(Tableau_Liste_UO[[Code UO]:[Code UO]],Tableau_Liste_KPI[[#This Row],[Code UO]], #REF!)</f>
        <v>#REF!</v>
      </c>
      <c r="AE72" s="34" t="s">
        <v>225</v>
      </c>
      <c r="AF72" s="34" t="s">
        <v>225</v>
      </c>
      <c r="AG72" s="34" t="s">
        <v>225</v>
      </c>
      <c r="AH72" s="34"/>
      <c r="AI72" s="35" t="e">
        <f>IF(Tableau_Liste_KPI[[#This Row],[Charge commandée]]="","",IF(Tableau_Liste_KPI[[#This Row],[Total]]&gt;Tableau_Liste_KPI[[#This Row],[Charge commandée]],"KO",""))</f>
        <v>#REF!</v>
      </c>
      <c r="AJ72" s="35" t="e">
        <f>IF(Tableau_Liste_KPI[[#This Row],[KPI Charges]]="KO",Tableau_Liste_KPI[[#This Row],[Charge commandée]]-Tableau_Liste_KPI[[#This Row],[Total]],"")</f>
        <v>#REF!</v>
      </c>
    </row>
    <row r="73" spans="1:36" ht="12" customHeight="1" x14ac:dyDescent="0.2">
      <c r="A73" s="12" t="s">
        <v>447</v>
      </c>
      <c r="B73" s="12" t="s">
        <v>448</v>
      </c>
      <c r="C73" s="12" t="s">
        <v>259</v>
      </c>
      <c r="D73" s="12" t="s">
        <v>37</v>
      </c>
      <c r="E73" s="12" t="s">
        <v>544</v>
      </c>
      <c r="F73" s="12" t="s">
        <v>34</v>
      </c>
      <c r="G73" s="12" t="s">
        <v>702</v>
      </c>
      <c r="H73" s="6">
        <v>43033.599999999999</v>
      </c>
      <c r="I73" s="6">
        <v>43033.601597222223</v>
      </c>
      <c r="J73" s="6" t="s">
        <v>225</v>
      </c>
      <c r="K73" s="69">
        <v>43069.504444444443</v>
      </c>
      <c r="L73" s="13" t="s">
        <v>225</v>
      </c>
      <c r="M73" s="13">
        <v>4</v>
      </c>
      <c r="N73" s="13">
        <v>22</v>
      </c>
      <c r="O73" s="12">
        <v>0</v>
      </c>
      <c r="P73" s="13" t="s">
        <v>225</v>
      </c>
      <c r="Q73" s="13">
        <v>26</v>
      </c>
      <c r="R73" s="33" t="s">
        <v>225</v>
      </c>
      <c r="S73" s="33" t="s">
        <v>225</v>
      </c>
      <c r="T73" s="33" t="s">
        <v>225</v>
      </c>
      <c r="U73" s="33" t="s">
        <v>225</v>
      </c>
      <c r="V73" s="33" t="s">
        <v>225</v>
      </c>
      <c r="W73" s="33" t="s">
        <v>703</v>
      </c>
      <c r="X73" s="33" t="s">
        <v>694</v>
      </c>
      <c r="Y73" s="33">
        <v>43048.5</v>
      </c>
      <c r="Z73" s="33">
        <v>43048.5</v>
      </c>
      <c r="AA73" s="13">
        <v>1500</v>
      </c>
      <c r="AB73" s="13">
        <v>2</v>
      </c>
      <c r="AC73" s="13">
        <f>SUMIF(Tableau_Liste_UO[[Code UO]:[Code UO]],Tableau_Liste_KPI[[#This Row],[Code UO]], Tableau_Liste_UO[RAF])</f>
        <v>0</v>
      </c>
      <c r="AD73" s="13" t="e">
        <f>SUMIF(Tableau_Liste_UO[[Code UO]:[Code UO]],Tableau_Liste_KPI[[#This Row],[Code UO]], #REF!)</f>
        <v>#REF!</v>
      </c>
      <c r="AE73" s="34" t="s">
        <v>225</v>
      </c>
      <c r="AF73" s="34" t="s">
        <v>225</v>
      </c>
      <c r="AG73" s="34" t="s">
        <v>225</v>
      </c>
      <c r="AH73" s="34"/>
      <c r="AI73" s="35" t="e">
        <f>IF(Tableau_Liste_KPI[[#This Row],[Charge commandée]]="","",IF(Tableau_Liste_KPI[[#This Row],[Total]]&gt;Tableau_Liste_KPI[[#This Row],[Charge commandée]],"KO",""))</f>
        <v>#REF!</v>
      </c>
      <c r="AJ73" s="35" t="e">
        <f>IF(Tableau_Liste_KPI[[#This Row],[KPI Charges]]="KO",Tableau_Liste_KPI[[#This Row],[Charge commandée]]-Tableau_Liste_KPI[[#This Row],[Total]],"")</f>
        <v>#REF!</v>
      </c>
    </row>
    <row r="74" spans="1:36" ht="12" customHeight="1" x14ac:dyDescent="0.2">
      <c r="A74" s="55" t="s">
        <v>446</v>
      </c>
      <c r="B74" s="12" t="s">
        <v>561</v>
      </c>
      <c r="C74" s="12" t="s">
        <v>259</v>
      </c>
      <c r="D74" s="12" t="s">
        <v>33</v>
      </c>
      <c r="E74" s="12" t="s">
        <v>539</v>
      </c>
      <c r="F74" s="12" t="s">
        <v>34</v>
      </c>
      <c r="G74" s="12" t="s">
        <v>699</v>
      </c>
      <c r="H74" s="6">
        <v>43033.35833333333</v>
      </c>
      <c r="I74" s="6">
        <v>43056.758611111109</v>
      </c>
      <c r="J74" s="6">
        <v>43062.499224537038</v>
      </c>
      <c r="K74" s="69">
        <v>43069.437951388885</v>
      </c>
      <c r="L74" s="13" t="s">
        <v>225</v>
      </c>
      <c r="M74" s="13">
        <v>2</v>
      </c>
      <c r="N74" s="13">
        <v>3</v>
      </c>
      <c r="O74" s="12">
        <v>0</v>
      </c>
      <c r="P74" s="13">
        <v>5</v>
      </c>
      <c r="Q74" s="13">
        <v>5</v>
      </c>
      <c r="R74" s="33">
        <v>8</v>
      </c>
      <c r="S74" s="33">
        <v>11</v>
      </c>
      <c r="T74" s="33" t="s">
        <v>225</v>
      </c>
      <c r="U74" s="33">
        <v>43063.392361111109</v>
      </c>
      <c r="V74" s="33" t="s">
        <v>225</v>
      </c>
      <c r="W74" s="33" t="s">
        <v>694</v>
      </c>
      <c r="X74" s="33" t="s">
        <v>694</v>
      </c>
      <c r="Y74" s="33">
        <v>43068</v>
      </c>
      <c r="Z74" s="33">
        <v>43073</v>
      </c>
      <c r="AA74" s="13">
        <v>3044</v>
      </c>
      <c r="AB74" s="13">
        <v>4</v>
      </c>
      <c r="AC74" s="13">
        <f>SUMIF(Tableau_Liste_UO[[Code UO]:[Code UO]],Tableau_Liste_KPI[[#This Row],[Code UO]], Tableau_Liste_UO[RAF])</f>
        <v>0</v>
      </c>
      <c r="AD74" s="13" t="e">
        <f>SUMIF(Tableau_Liste_UO[[Code UO]:[Code UO]],Tableau_Liste_KPI[[#This Row],[Code UO]], #REF!)</f>
        <v>#REF!</v>
      </c>
      <c r="AE74" s="34" t="s">
        <v>225</v>
      </c>
      <c r="AF74" s="34" t="s">
        <v>225</v>
      </c>
      <c r="AG74" s="34" t="s">
        <v>225</v>
      </c>
      <c r="AH74" s="34"/>
      <c r="AI74" s="35" t="e">
        <f>IF(Tableau_Liste_KPI[[#This Row],[Charge commandée]]="","",IF(Tableau_Liste_KPI[[#This Row],[Total]]&gt;Tableau_Liste_KPI[[#This Row],[Charge commandée]],"KO",""))</f>
        <v>#REF!</v>
      </c>
      <c r="AJ74" s="35" t="e">
        <f>IF(Tableau_Liste_KPI[[#This Row],[KPI Charges]]="KO",Tableau_Liste_KPI[[#This Row],[Charge commandée]]-Tableau_Liste_KPI[[#This Row],[Total]],"")</f>
        <v>#REF!</v>
      </c>
    </row>
    <row r="75" spans="1:36" ht="14.25" customHeight="1" x14ac:dyDescent="0.2">
      <c r="A75" s="12" t="s">
        <v>445</v>
      </c>
      <c r="B75" s="12" t="s">
        <v>562</v>
      </c>
      <c r="C75" s="12" t="s">
        <v>259</v>
      </c>
      <c r="D75" s="12" t="s">
        <v>33</v>
      </c>
      <c r="E75" s="12" t="s">
        <v>538</v>
      </c>
      <c r="F75" s="12" t="s">
        <v>34</v>
      </c>
      <c r="G75" s="12" t="s">
        <v>686</v>
      </c>
      <c r="H75" s="6">
        <v>43033.357638888891</v>
      </c>
      <c r="I75" s="6">
        <v>43033.358425925922</v>
      </c>
      <c r="J75" s="6">
        <v>43053.619212962964</v>
      </c>
      <c r="K75" s="69">
        <v>43056.755462962959</v>
      </c>
      <c r="L75" s="13" t="s">
        <v>225</v>
      </c>
      <c r="M75" s="13">
        <v>4</v>
      </c>
      <c r="N75" s="13">
        <v>10</v>
      </c>
      <c r="O75" s="12">
        <v>0</v>
      </c>
      <c r="P75" s="13">
        <v>3</v>
      </c>
      <c r="Q75" s="13">
        <v>14</v>
      </c>
      <c r="R75" s="33">
        <v>16</v>
      </c>
      <c r="S75" s="33">
        <v>24</v>
      </c>
      <c r="T75" s="33" t="s">
        <v>225</v>
      </c>
      <c r="U75" s="33">
        <v>43048.40625</v>
      </c>
      <c r="V75" s="33" t="s">
        <v>225</v>
      </c>
      <c r="W75" s="33" t="s">
        <v>703</v>
      </c>
      <c r="X75" s="33" t="s">
        <v>694</v>
      </c>
      <c r="Y75" s="33">
        <v>43056</v>
      </c>
      <c r="Z75" s="33">
        <v>43068</v>
      </c>
      <c r="AA75" s="13">
        <v>6088</v>
      </c>
      <c r="AB75" s="13">
        <v>8.1</v>
      </c>
      <c r="AC75" s="13">
        <f>SUMIF(Tableau_Liste_UO[[Code UO]:[Code UO]],Tableau_Liste_KPI[[#This Row],[Code UO]], Tableau_Liste_UO[RAF])</f>
        <v>0</v>
      </c>
      <c r="AD75" s="13" t="e">
        <f>SUMIF(Tableau_Liste_UO[[Code UO]:[Code UO]],Tableau_Liste_KPI[[#This Row],[Code UO]], #REF!)</f>
        <v>#REF!</v>
      </c>
      <c r="AE75" s="34" t="s">
        <v>225</v>
      </c>
      <c r="AF75" s="34" t="s">
        <v>225</v>
      </c>
      <c r="AG75" s="34" t="s">
        <v>225</v>
      </c>
      <c r="AH75" s="34"/>
      <c r="AI75" s="35" t="e">
        <f>IF(Tableau_Liste_KPI[[#This Row],[Charge commandée]]="","",IF(Tableau_Liste_KPI[[#This Row],[Total]]&gt;Tableau_Liste_KPI[[#This Row],[Charge commandée]],"KO",""))</f>
        <v>#REF!</v>
      </c>
      <c r="AJ75" s="35" t="e">
        <f>IF(Tableau_Liste_KPI[[#This Row],[KPI Charges]]="KO",Tableau_Liste_KPI[[#This Row],[Charge commandée]]-Tableau_Liste_KPI[[#This Row],[Total]],"")</f>
        <v>#REF!</v>
      </c>
    </row>
    <row r="76" spans="1:36" ht="12" customHeight="1" x14ac:dyDescent="0.2">
      <c r="A76" s="25" t="s">
        <v>443</v>
      </c>
      <c r="B76" s="25" t="s">
        <v>444</v>
      </c>
      <c r="C76" s="12" t="s">
        <v>174</v>
      </c>
      <c r="D76" s="25" t="s">
        <v>33</v>
      </c>
      <c r="E76" s="25" t="s">
        <v>44</v>
      </c>
      <c r="F76" s="25" t="s">
        <v>225</v>
      </c>
      <c r="G76" s="25" t="s">
        <v>689</v>
      </c>
      <c r="H76" s="24">
        <v>43026.499305555553</v>
      </c>
      <c r="I76" s="24">
        <v>43026.499814814815</v>
      </c>
      <c r="J76" s="24">
        <v>43062.355821759258</v>
      </c>
      <c r="K76" s="71" t="s">
        <v>225</v>
      </c>
      <c r="L76" s="26" t="s">
        <v>225</v>
      </c>
      <c r="M76" s="26">
        <v>0</v>
      </c>
      <c r="N76" s="26">
        <v>6</v>
      </c>
      <c r="O76" s="25">
        <v>18</v>
      </c>
      <c r="P76" s="26">
        <v>21</v>
      </c>
      <c r="Q76" s="26">
        <v>6</v>
      </c>
      <c r="R76" s="39">
        <v>10</v>
      </c>
      <c r="S76" s="39">
        <v>15</v>
      </c>
      <c r="T76" s="39" t="s">
        <v>225</v>
      </c>
      <c r="U76" s="39">
        <v>43013.732638888891</v>
      </c>
      <c r="V76" s="39">
        <v>43069.623611111114</v>
      </c>
      <c r="W76" s="39" t="s">
        <v>703</v>
      </c>
      <c r="X76" s="39" t="s">
        <v>225</v>
      </c>
      <c r="Y76" s="39">
        <v>43067</v>
      </c>
      <c r="Z76" s="39">
        <v>43074</v>
      </c>
      <c r="AA76" s="26">
        <v>912</v>
      </c>
      <c r="AB76" s="26">
        <v>1</v>
      </c>
      <c r="AC76" s="26">
        <f>SUMIF(Tableau_Liste_UO[[Code UO]:[Code UO]],Tableau_Liste_KPI[[#This Row],[Code UO]], Tableau_Liste_UO[RAF])</f>
        <v>0</v>
      </c>
      <c r="AD76" s="26" t="e">
        <f>SUMIF(Tableau_Liste_UO[[Code UO]:[Code UO]],Tableau_Liste_KPI[[#This Row],[Code UO]], #REF!)</f>
        <v>#REF!</v>
      </c>
      <c r="AE76" s="40" t="s">
        <v>225</v>
      </c>
      <c r="AF76" s="40" t="s">
        <v>225</v>
      </c>
      <c r="AG76" s="40" t="s">
        <v>225</v>
      </c>
      <c r="AH76" s="40"/>
      <c r="AI76" s="41" t="e">
        <f>IF(Tableau_Liste_KPI[[#This Row],[Charge commandée]]="","",IF(Tableau_Liste_KPI[[#This Row],[Total]]&gt;Tableau_Liste_KPI[[#This Row],[Charge commandée]],"KO",""))</f>
        <v>#REF!</v>
      </c>
      <c r="AJ76" s="41" t="e">
        <f>IF(Tableau_Liste_KPI[[#This Row],[KPI Charges]]="KO",Tableau_Liste_KPI[[#This Row],[Charge commandée]]-Tableau_Liste_KPI[[#This Row],[Total]],"")</f>
        <v>#REF!</v>
      </c>
    </row>
    <row r="77" spans="1:36" ht="12" customHeight="1" x14ac:dyDescent="0.2">
      <c r="A77" s="25" t="s">
        <v>442</v>
      </c>
      <c r="B77" s="25" t="s">
        <v>563</v>
      </c>
      <c r="C77" s="12" t="s">
        <v>656</v>
      </c>
      <c r="D77" s="25" t="s">
        <v>33</v>
      </c>
      <c r="E77" s="25" t="s">
        <v>538</v>
      </c>
      <c r="F77" s="25" t="s">
        <v>43</v>
      </c>
      <c r="G77" s="25" t="s">
        <v>696</v>
      </c>
      <c r="H77" s="24">
        <v>43025.756249999999</v>
      </c>
      <c r="I77" s="24">
        <v>43025.756909722222</v>
      </c>
      <c r="J77" s="24">
        <v>43045.424490740741</v>
      </c>
      <c r="K77" s="71" t="s">
        <v>225</v>
      </c>
      <c r="L77" s="26" t="s">
        <v>225</v>
      </c>
      <c r="M77" s="26">
        <v>4</v>
      </c>
      <c r="N77" s="26">
        <v>9</v>
      </c>
      <c r="O77" s="25">
        <v>31</v>
      </c>
      <c r="P77" s="26">
        <v>3</v>
      </c>
      <c r="Q77" s="26">
        <v>13</v>
      </c>
      <c r="R77" s="39">
        <v>10</v>
      </c>
      <c r="S77" s="39">
        <v>15</v>
      </c>
      <c r="T77" s="39" t="s">
        <v>225</v>
      </c>
      <c r="U77" s="39">
        <v>43039.619444444441</v>
      </c>
      <c r="V77" s="39" t="s">
        <v>225</v>
      </c>
      <c r="W77" s="39" t="s">
        <v>703</v>
      </c>
      <c r="X77" s="39" t="s">
        <v>225</v>
      </c>
      <c r="Y77" s="39">
        <v>43083</v>
      </c>
      <c r="Z77" s="39">
        <v>43090</v>
      </c>
      <c r="AA77" s="26">
        <v>3424</v>
      </c>
      <c r="AB77" s="26">
        <v>5</v>
      </c>
      <c r="AC77" s="26">
        <f>SUMIF(Tableau_Liste_UO[[Code UO]:[Code UO]],Tableau_Liste_KPI[[#This Row],[Code UO]], Tableau_Liste_UO[RAF])</f>
        <v>0</v>
      </c>
      <c r="AD77" s="26" t="e">
        <f>SUMIF(Tableau_Liste_UO[[Code UO]:[Code UO]],Tableau_Liste_KPI[[#This Row],[Code UO]], #REF!)</f>
        <v>#REF!</v>
      </c>
      <c r="AE77" s="40" t="s">
        <v>721</v>
      </c>
      <c r="AF77" s="40" t="s">
        <v>225</v>
      </c>
      <c r="AG77" s="40" t="s">
        <v>225</v>
      </c>
      <c r="AH77" s="40"/>
      <c r="AI77" s="41" t="e">
        <f>IF(Tableau_Liste_KPI[[#This Row],[Charge commandée]]="","",IF(Tableau_Liste_KPI[[#This Row],[Total]]&gt;Tableau_Liste_KPI[[#This Row],[Charge commandée]],"KO",""))</f>
        <v>#REF!</v>
      </c>
      <c r="AJ77" s="41" t="e">
        <f>IF(Tableau_Liste_KPI[[#This Row],[KPI Charges]]="KO",Tableau_Liste_KPI[[#This Row],[Charge commandée]]-Tableau_Liste_KPI[[#This Row],[Total]],"")</f>
        <v>#REF!</v>
      </c>
    </row>
    <row r="78" spans="1:36" ht="12" customHeight="1" x14ac:dyDescent="0.2">
      <c r="A78" s="12" t="s">
        <v>440</v>
      </c>
      <c r="B78" s="12" t="s">
        <v>441</v>
      </c>
      <c r="C78" s="12" t="s">
        <v>174</v>
      </c>
      <c r="D78" s="12" t="s">
        <v>33</v>
      </c>
      <c r="E78" s="12" t="s">
        <v>44</v>
      </c>
      <c r="F78" s="12" t="s">
        <v>225</v>
      </c>
      <c r="G78" s="12" t="s">
        <v>689</v>
      </c>
      <c r="H78" s="6">
        <v>43025.584722222222</v>
      </c>
      <c r="I78" s="6">
        <v>43084.67428240741</v>
      </c>
      <c r="J78" s="6">
        <v>43084.679409722223</v>
      </c>
      <c r="K78" s="69" t="s">
        <v>225</v>
      </c>
      <c r="L78" s="13" t="s">
        <v>225</v>
      </c>
      <c r="M78" s="13">
        <v>0</v>
      </c>
      <c r="N78" s="13">
        <v>-1</v>
      </c>
      <c r="O78" s="12">
        <v>0</v>
      </c>
      <c r="P78" s="13">
        <v>5</v>
      </c>
      <c r="Q78" s="13">
        <v>-1</v>
      </c>
      <c r="R78" s="33">
        <v>10</v>
      </c>
      <c r="S78" s="33">
        <v>15</v>
      </c>
      <c r="T78" s="33" t="s">
        <v>225</v>
      </c>
      <c r="U78" s="33">
        <v>43084.677083333336</v>
      </c>
      <c r="V78" s="33" t="s">
        <v>225</v>
      </c>
      <c r="W78" s="33" t="s">
        <v>707</v>
      </c>
      <c r="X78" s="33" t="s">
        <v>225</v>
      </c>
      <c r="Y78" s="33">
        <v>43108</v>
      </c>
      <c r="Z78" s="33">
        <v>43115</v>
      </c>
      <c r="AA78" s="13">
        <v>912</v>
      </c>
      <c r="AB78" s="13">
        <v>1</v>
      </c>
      <c r="AC78" s="13">
        <f>SUMIF(Tableau_Liste_UO[[Code UO]:[Code UO]],Tableau_Liste_KPI[[#This Row],[Code UO]], Tableau_Liste_UO[RAF])</f>
        <v>0</v>
      </c>
      <c r="AD78" s="13" t="e">
        <f>SUMIF(Tableau_Liste_UO[[Code UO]:[Code UO]],Tableau_Liste_KPI[[#This Row],[Code UO]], #REF!)</f>
        <v>#REF!</v>
      </c>
      <c r="AE78" s="34" t="s">
        <v>225</v>
      </c>
      <c r="AF78" s="34" t="s">
        <v>225</v>
      </c>
      <c r="AG78" s="34" t="s">
        <v>225</v>
      </c>
      <c r="AH78" s="34"/>
      <c r="AI78" s="35" t="e">
        <f>IF(Tableau_Liste_KPI[[#This Row],[Charge commandée]]="","",IF(Tableau_Liste_KPI[[#This Row],[Total]]&gt;Tableau_Liste_KPI[[#This Row],[Charge commandée]],"KO",""))</f>
        <v>#REF!</v>
      </c>
      <c r="AJ78" s="35" t="e">
        <f>IF(Tableau_Liste_KPI[[#This Row],[KPI Charges]]="KO",Tableau_Liste_KPI[[#This Row],[Charge commandée]]-Tableau_Liste_KPI[[#This Row],[Total]],"")</f>
        <v>#REF!</v>
      </c>
    </row>
    <row r="79" spans="1:36" ht="12" customHeight="1" x14ac:dyDescent="0.2">
      <c r="A79" s="12" t="s">
        <v>439</v>
      </c>
      <c r="B79" s="12" t="s">
        <v>557</v>
      </c>
      <c r="C79" s="12" t="s">
        <v>173</v>
      </c>
      <c r="D79" s="12" t="s">
        <v>33</v>
      </c>
      <c r="E79" s="12" t="s">
        <v>538</v>
      </c>
      <c r="F79" s="12" t="s">
        <v>43</v>
      </c>
      <c r="G79" s="12" t="s">
        <v>696</v>
      </c>
      <c r="H79" s="6">
        <v>43025.584027777775</v>
      </c>
      <c r="I79" s="6">
        <v>43025.584780092591</v>
      </c>
      <c r="J79" s="6" t="s">
        <v>225</v>
      </c>
      <c r="K79" s="69" t="s">
        <v>225</v>
      </c>
      <c r="L79" s="13" t="s">
        <v>225</v>
      </c>
      <c r="M79" s="13">
        <v>5</v>
      </c>
      <c r="N79" s="13">
        <v>12</v>
      </c>
      <c r="O79" s="12">
        <v>0</v>
      </c>
      <c r="P79" s="13" t="s">
        <v>225</v>
      </c>
      <c r="Q79" s="13">
        <v>17</v>
      </c>
      <c r="R79" s="33">
        <v>10</v>
      </c>
      <c r="S79" s="33">
        <v>15</v>
      </c>
      <c r="T79" s="33" t="s">
        <v>225</v>
      </c>
      <c r="U79" s="33">
        <v>43039.509027777778</v>
      </c>
      <c r="V79" s="33">
        <v>43056.434027777781</v>
      </c>
      <c r="W79" s="33" t="s">
        <v>703</v>
      </c>
      <c r="X79" s="33" t="s">
        <v>225</v>
      </c>
      <c r="Y79" s="33">
        <v>43039</v>
      </c>
      <c r="Z79" s="33">
        <v>43047</v>
      </c>
      <c r="AA79" s="13">
        <v>3424</v>
      </c>
      <c r="AB79" s="13">
        <v>5</v>
      </c>
      <c r="AC79" s="13">
        <f>SUMIF(Tableau_Liste_UO[[Code UO]:[Code UO]],Tableau_Liste_KPI[[#This Row],[Code UO]], Tableau_Liste_UO[RAF])</f>
        <v>0</v>
      </c>
      <c r="AD79" s="13" t="e">
        <f>SUMIF(Tableau_Liste_UO[[Code UO]:[Code UO]],Tableau_Liste_KPI[[#This Row],[Code UO]], #REF!)</f>
        <v>#REF!</v>
      </c>
      <c r="AE79" s="34" t="s">
        <v>721</v>
      </c>
      <c r="AF79" s="34" t="s">
        <v>721</v>
      </c>
      <c r="AG79" s="34" t="s">
        <v>225</v>
      </c>
      <c r="AH79" s="34"/>
      <c r="AI79" s="35" t="e">
        <f>IF(Tableau_Liste_KPI[[#This Row],[Charge commandée]]="","",IF(Tableau_Liste_KPI[[#This Row],[Total]]&gt;Tableau_Liste_KPI[[#This Row],[Charge commandée]],"KO",""))</f>
        <v>#REF!</v>
      </c>
      <c r="AJ79" s="35" t="e">
        <f>IF(Tableau_Liste_KPI[[#This Row],[KPI Charges]]="KO",Tableau_Liste_KPI[[#This Row],[Charge commandée]]-Tableau_Liste_KPI[[#This Row],[Total]],"")</f>
        <v>#REF!</v>
      </c>
    </row>
    <row r="80" spans="1:36" ht="12" customHeight="1" x14ac:dyDescent="0.2">
      <c r="A80" s="12" t="s">
        <v>251</v>
      </c>
      <c r="B80" s="12" t="s">
        <v>438</v>
      </c>
      <c r="C80" s="12" t="s">
        <v>259</v>
      </c>
      <c r="D80" s="12" t="s">
        <v>37</v>
      </c>
      <c r="E80" s="12" t="s">
        <v>63</v>
      </c>
      <c r="F80" s="12" t="s">
        <v>43</v>
      </c>
      <c r="G80" s="12" t="s">
        <v>700</v>
      </c>
      <c r="H80" s="6">
        <v>43025.43472222222</v>
      </c>
      <c r="I80" s="6">
        <v>43025.43546296296</v>
      </c>
      <c r="J80" s="6">
        <v>43034.557696759257</v>
      </c>
      <c r="K80" s="69">
        <v>43061.487650462965</v>
      </c>
      <c r="L80" s="13" t="s">
        <v>225</v>
      </c>
      <c r="M80" s="13">
        <v>0</v>
      </c>
      <c r="N80" s="13">
        <v>7</v>
      </c>
      <c r="O80" s="12">
        <v>0</v>
      </c>
      <c r="P80" s="13">
        <v>18</v>
      </c>
      <c r="Q80" s="13">
        <v>7</v>
      </c>
      <c r="R80" s="33">
        <v>2</v>
      </c>
      <c r="S80" s="33">
        <v>5</v>
      </c>
      <c r="T80" s="33">
        <v>43035.43472222222</v>
      </c>
      <c r="U80" s="33">
        <v>43028.661111111112</v>
      </c>
      <c r="V80" s="33">
        <v>43035.432638888888</v>
      </c>
      <c r="W80" s="33" t="s">
        <v>703</v>
      </c>
      <c r="X80" s="33" t="s">
        <v>694</v>
      </c>
      <c r="Y80" s="33">
        <v>43027</v>
      </c>
      <c r="Z80" s="33">
        <v>43032</v>
      </c>
      <c r="AA80" s="13">
        <v>825</v>
      </c>
      <c r="AB80" s="13">
        <v>1</v>
      </c>
      <c r="AC80" s="13">
        <f>SUMIF(Tableau_Liste_UO[[Code UO]:[Code UO]],Tableau_Liste_KPI[[#This Row],[Code UO]], Tableau_Liste_UO[RAF])</f>
        <v>0</v>
      </c>
      <c r="AD80" s="13" t="e">
        <f>SUMIF(Tableau_Liste_UO[[Code UO]:[Code UO]],Tableau_Liste_KPI[[#This Row],[Code UO]], #REF!)</f>
        <v>#REF!</v>
      </c>
      <c r="AE80" s="34" t="s">
        <v>721</v>
      </c>
      <c r="AF80" s="34" t="s">
        <v>721</v>
      </c>
      <c r="AG80" s="34" t="s">
        <v>225</v>
      </c>
      <c r="AH80" s="34"/>
      <c r="AI80" s="35" t="e">
        <f>IF(Tableau_Liste_KPI[[#This Row],[Charge commandée]]="","",IF(Tableau_Liste_KPI[[#This Row],[Total]]&gt;Tableau_Liste_KPI[[#This Row],[Charge commandée]],"KO",""))</f>
        <v>#REF!</v>
      </c>
      <c r="AJ80" s="35" t="e">
        <f>IF(Tableau_Liste_KPI[[#This Row],[KPI Charges]]="KO",Tableau_Liste_KPI[[#This Row],[Charge commandée]]-Tableau_Liste_KPI[[#This Row],[Total]],"")</f>
        <v>#REF!</v>
      </c>
    </row>
    <row r="81" spans="1:36" ht="12" customHeight="1" x14ac:dyDescent="0.2">
      <c r="A81" s="12" t="s">
        <v>250</v>
      </c>
      <c r="B81" s="12" t="s">
        <v>564</v>
      </c>
      <c r="C81" s="12" t="s">
        <v>281</v>
      </c>
      <c r="D81" s="12" t="s">
        <v>37</v>
      </c>
      <c r="E81" s="12" t="s">
        <v>544</v>
      </c>
      <c r="F81" s="12" t="s">
        <v>34</v>
      </c>
      <c r="G81" s="12" t="s">
        <v>702</v>
      </c>
      <c r="H81" s="6">
        <v>43024.76666666667</v>
      </c>
      <c r="I81" s="6">
        <v>43024.76767361111</v>
      </c>
      <c r="J81" s="6" t="s">
        <v>225</v>
      </c>
      <c r="K81" s="69" t="s">
        <v>225</v>
      </c>
      <c r="L81" s="13" t="s">
        <v>225</v>
      </c>
      <c r="M81" s="13">
        <v>3</v>
      </c>
      <c r="N81" s="13">
        <v>46</v>
      </c>
      <c r="O81" s="12">
        <v>0</v>
      </c>
      <c r="P81" s="13" t="s">
        <v>225</v>
      </c>
      <c r="Q81" s="13">
        <v>49</v>
      </c>
      <c r="R81" s="33" t="s">
        <v>225</v>
      </c>
      <c r="S81" s="33" t="s">
        <v>225</v>
      </c>
      <c r="T81" s="33" t="s">
        <v>225</v>
      </c>
      <c r="U81" s="33" t="s">
        <v>225</v>
      </c>
      <c r="V81" s="33" t="s">
        <v>225</v>
      </c>
      <c r="W81" s="33" t="s">
        <v>703</v>
      </c>
      <c r="X81" s="33" t="s">
        <v>225</v>
      </c>
      <c r="Y81" s="33">
        <v>43080.75</v>
      </c>
      <c r="Z81" s="33">
        <v>43080.75</v>
      </c>
      <c r="AA81" s="13">
        <v>3750</v>
      </c>
      <c r="AB81" s="13">
        <v>5</v>
      </c>
      <c r="AC81" s="13">
        <f>SUMIF(Tableau_Liste_UO[[Code UO]:[Code UO]],Tableau_Liste_KPI[[#This Row],[Code UO]], Tableau_Liste_UO[RAF])</f>
        <v>0</v>
      </c>
      <c r="AD81" s="13" t="e">
        <f>SUMIF(Tableau_Liste_UO[[Code UO]:[Code UO]],Tableau_Liste_KPI[[#This Row],[Code UO]], #REF!)</f>
        <v>#REF!</v>
      </c>
      <c r="AE81" s="34" t="s">
        <v>225</v>
      </c>
      <c r="AF81" s="34" t="s">
        <v>225</v>
      </c>
      <c r="AG81" s="34" t="s">
        <v>225</v>
      </c>
      <c r="AH81" s="34"/>
      <c r="AI81" s="35" t="e">
        <f>IF(Tableau_Liste_KPI[[#This Row],[Charge commandée]]="","",IF(Tableau_Liste_KPI[[#This Row],[Total]]&gt;Tableau_Liste_KPI[[#This Row],[Charge commandée]],"KO",""))</f>
        <v>#REF!</v>
      </c>
      <c r="AJ81" s="35" t="e">
        <f>IF(Tableau_Liste_KPI[[#This Row],[KPI Charges]]="KO",Tableau_Liste_KPI[[#This Row],[Charge commandée]]-Tableau_Liste_KPI[[#This Row],[Total]],"")</f>
        <v>#REF!</v>
      </c>
    </row>
    <row r="82" spans="1:36" ht="12" customHeight="1" x14ac:dyDescent="0.2">
      <c r="A82" s="12" t="s">
        <v>437</v>
      </c>
      <c r="B82" s="12" t="s">
        <v>565</v>
      </c>
      <c r="C82" s="12" t="s">
        <v>259</v>
      </c>
      <c r="D82" s="12" t="s">
        <v>33</v>
      </c>
      <c r="E82" s="12" t="s">
        <v>539</v>
      </c>
      <c r="F82" s="12" t="s">
        <v>43</v>
      </c>
      <c r="G82" s="12" t="s">
        <v>698</v>
      </c>
      <c r="H82" s="6">
        <v>43024.731249999997</v>
      </c>
      <c r="I82" s="6">
        <v>43039.711655092593</v>
      </c>
      <c r="J82" s="6">
        <v>43048.533807870372</v>
      </c>
      <c r="K82" s="69">
        <v>43059.488946759258</v>
      </c>
      <c r="L82" s="13" t="s">
        <v>225</v>
      </c>
      <c r="M82" s="13">
        <v>0</v>
      </c>
      <c r="N82" s="13">
        <v>1</v>
      </c>
      <c r="O82" s="12">
        <v>4</v>
      </c>
      <c r="P82" s="13">
        <v>7</v>
      </c>
      <c r="Q82" s="13">
        <v>1</v>
      </c>
      <c r="R82" s="33">
        <v>5</v>
      </c>
      <c r="S82" s="33">
        <v>8</v>
      </c>
      <c r="T82" s="33" t="s">
        <v>225</v>
      </c>
      <c r="U82" s="33">
        <v>43048.729861111111</v>
      </c>
      <c r="V82" s="33" t="s">
        <v>225</v>
      </c>
      <c r="W82" s="33" t="s">
        <v>703</v>
      </c>
      <c r="X82" s="33" t="s">
        <v>694</v>
      </c>
      <c r="Y82" s="33">
        <v>43053</v>
      </c>
      <c r="Z82" s="33">
        <v>43056</v>
      </c>
      <c r="AA82" s="13">
        <v>1522</v>
      </c>
      <c r="AB82" s="13">
        <v>2</v>
      </c>
      <c r="AC82" s="13">
        <f>SUMIF(Tableau_Liste_UO[[Code UO]:[Code UO]],Tableau_Liste_KPI[[#This Row],[Code UO]], Tableau_Liste_UO[RAF])</f>
        <v>0</v>
      </c>
      <c r="AD82" s="13" t="e">
        <f>SUMIF(Tableau_Liste_UO[[Code UO]:[Code UO]],Tableau_Liste_KPI[[#This Row],[Code UO]], #REF!)</f>
        <v>#REF!</v>
      </c>
      <c r="AE82" s="34" t="s">
        <v>225</v>
      </c>
      <c r="AF82" s="34" t="s">
        <v>225</v>
      </c>
      <c r="AG82" s="34" t="s">
        <v>225</v>
      </c>
      <c r="AH82" s="34"/>
      <c r="AI82" s="35" t="e">
        <f>IF(Tableau_Liste_KPI[[#This Row],[Charge commandée]]="","",IF(Tableau_Liste_KPI[[#This Row],[Total]]&gt;Tableau_Liste_KPI[[#This Row],[Charge commandée]],"KO",""))</f>
        <v>#REF!</v>
      </c>
      <c r="AJ82" s="35" t="e">
        <f>IF(Tableau_Liste_KPI[[#This Row],[KPI Charges]]="KO",Tableau_Liste_KPI[[#This Row],[Charge commandée]]-Tableau_Liste_KPI[[#This Row],[Total]],"")</f>
        <v>#REF!</v>
      </c>
    </row>
    <row r="83" spans="1:36" ht="12" customHeight="1" x14ac:dyDescent="0.2">
      <c r="A83" s="21" t="s">
        <v>249</v>
      </c>
      <c r="B83" s="21" t="s">
        <v>566</v>
      </c>
      <c r="C83" s="12" t="s">
        <v>259</v>
      </c>
      <c r="D83" s="21" t="s">
        <v>33</v>
      </c>
      <c r="E83" s="21" t="s">
        <v>538</v>
      </c>
      <c r="F83" s="21" t="s">
        <v>43</v>
      </c>
      <c r="G83" s="21" t="s">
        <v>696</v>
      </c>
      <c r="H83" s="22">
        <v>43024.731249999997</v>
      </c>
      <c r="I83" s="22">
        <v>43024.731770833336</v>
      </c>
      <c r="J83" s="22">
        <v>43039.54960648148</v>
      </c>
      <c r="K83" s="70">
        <v>43039.712500000001</v>
      </c>
      <c r="L83" s="23" t="s">
        <v>225</v>
      </c>
      <c r="M83" s="23">
        <v>3</v>
      </c>
      <c r="N83" s="23">
        <v>9</v>
      </c>
      <c r="O83" s="21">
        <v>0</v>
      </c>
      <c r="P83" s="23">
        <v>-1</v>
      </c>
      <c r="Q83" s="23">
        <v>12</v>
      </c>
      <c r="R83" s="36">
        <v>10</v>
      </c>
      <c r="S83" s="36">
        <v>15</v>
      </c>
      <c r="T83" s="36" t="s">
        <v>225</v>
      </c>
      <c r="U83" s="36">
        <v>43033.383333333331</v>
      </c>
      <c r="V83" s="36">
        <v>43039.694444444445</v>
      </c>
      <c r="W83" s="36" t="s">
        <v>703</v>
      </c>
      <c r="X83" s="36" t="s">
        <v>703</v>
      </c>
      <c r="Y83" s="36">
        <v>43038</v>
      </c>
      <c r="Z83" s="36">
        <v>43046</v>
      </c>
      <c r="AA83" s="23">
        <v>3424</v>
      </c>
      <c r="AB83" s="23">
        <v>5</v>
      </c>
      <c r="AC83" s="23">
        <f>SUMIF(Tableau_Liste_UO[[Code UO]:[Code UO]],Tableau_Liste_KPI[[#This Row],[Code UO]], Tableau_Liste_UO[RAF])</f>
        <v>0</v>
      </c>
      <c r="AD83" s="23" t="e">
        <f>SUMIF(Tableau_Liste_UO[[Code UO]:[Code UO]],Tableau_Liste_KPI[[#This Row],[Code UO]], #REF!)</f>
        <v>#REF!</v>
      </c>
      <c r="AE83" s="37" t="s">
        <v>721</v>
      </c>
      <c r="AF83" s="37" t="s">
        <v>225</v>
      </c>
      <c r="AG83" s="37" t="s">
        <v>225</v>
      </c>
      <c r="AH83" s="37"/>
      <c r="AI83" s="38" t="e">
        <f>IF(Tableau_Liste_KPI[[#This Row],[Charge commandée]]="","",IF(Tableau_Liste_KPI[[#This Row],[Total]]&gt;Tableau_Liste_KPI[[#This Row],[Charge commandée]],"KO",""))</f>
        <v>#REF!</v>
      </c>
      <c r="AJ83" s="38" t="e">
        <f>IF(Tableau_Liste_KPI[[#This Row],[KPI Charges]]="KO",Tableau_Liste_KPI[[#This Row],[Charge commandée]]-Tableau_Liste_KPI[[#This Row],[Total]],"")</f>
        <v>#REF!</v>
      </c>
    </row>
    <row r="84" spans="1:36" ht="12" customHeight="1" x14ac:dyDescent="0.2">
      <c r="A84" s="12" t="s">
        <v>248</v>
      </c>
      <c r="B84" s="12" t="s">
        <v>436</v>
      </c>
      <c r="C84" s="12" t="s">
        <v>259</v>
      </c>
      <c r="D84" s="12" t="s">
        <v>33</v>
      </c>
      <c r="E84" s="12" t="s">
        <v>44</v>
      </c>
      <c r="F84" s="12" t="s">
        <v>225</v>
      </c>
      <c r="G84" s="12" t="s">
        <v>689</v>
      </c>
      <c r="H84" s="6">
        <v>43024.473611111112</v>
      </c>
      <c r="I84" s="6">
        <v>43024.47420138889</v>
      </c>
      <c r="J84" s="6">
        <v>43026.639317129629</v>
      </c>
      <c r="K84" s="69">
        <v>43027.471562500003</v>
      </c>
      <c r="L84" s="13" t="s">
        <v>225</v>
      </c>
      <c r="M84" s="13">
        <v>0</v>
      </c>
      <c r="N84" s="13">
        <v>2</v>
      </c>
      <c r="O84" s="12">
        <v>0</v>
      </c>
      <c r="P84" s="13">
        <v>1</v>
      </c>
      <c r="Q84" s="13">
        <v>2</v>
      </c>
      <c r="R84" s="33">
        <v>10</v>
      </c>
      <c r="S84" s="33">
        <v>15</v>
      </c>
      <c r="T84" s="33" t="s">
        <v>225</v>
      </c>
      <c r="U84" s="33">
        <v>43031.493055555555</v>
      </c>
      <c r="V84" s="33">
        <v>43069.545138888891</v>
      </c>
      <c r="W84" s="33" t="s">
        <v>703</v>
      </c>
      <c r="X84" s="33" t="s">
        <v>703</v>
      </c>
      <c r="Y84" s="33">
        <v>43038</v>
      </c>
      <c r="Z84" s="33">
        <v>43046</v>
      </c>
      <c r="AA84" s="13">
        <v>912</v>
      </c>
      <c r="AB84" s="13">
        <v>1</v>
      </c>
      <c r="AC84" s="13">
        <f>SUMIF(Tableau_Liste_UO[[Code UO]:[Code UO]],Tableau_Liste_KPI[[#This Row],[Code UO]], Tableau_Liste_UO[RAF])</f>
        <v>0</v>
      </c>
      <c r="AD84" s="13" t="e">
        <f>SUMIF(Tableau_Liste_UO[[Code UO]:[Code UO]],Tableau_Liste_KPI[[#This Row],[Code UO]], #REF!)</f>
        <v>#REF!</v>
      </c>
      <c r="AE84" s="34" t="s">
        <v>225</v>
      </c>
      <c r="AF84" s="34" t="s">
        <v>225</v>
      </c>
      <c r="AG84" s="34" t="s">
        <v>225</v>
      </c>
      <c r="AH84" s="34"/>
      <c r="AI84" s="35" t="e">
        <f>IF(Tableau_Liste_KPI[[#This Row],[Charge commandée]]="","",IF(Tableau_Liste_KPI[[#This Row],[Total]]&gt;Tableau_Liste_KPI[[#This Row],[Charge commandée]],"KO",""))</f>
        <v>#REF!</v>
      </c>
      <c r="AJ84" s="35" t="e">
        <f>IF(Tableau_Liste_KPI[[#This Row],[KPI Charges]]="KO",Tableau_Liste_KPI[[#This Row],[Charge commandée]]-Tableau_Liste_KPI[[#This Row],[Total]],"")</f>
        <v>#REF!</v>
      </c>
    </row>
    <row r="85" spans="1:36" ht="12" customHeight="1" x14ac:dyDescent="0.2">
      <c r="A85" s="32" t="s">
        <v>247</v>
      </c>
      <c r="B85" s="32" t="s">
        <v>436</v>
      </c>
      <c r="C85" s="12" t="s">
        <v>173</v>
      </c>
      <c r="D85" s="21" t="s">
        <v>33</v>
      </c>
      <c r="E85" s="21" t="s">
        <v>544</v>
      </c>
      <c r="F85" s="21" t="s">
        <v>34</v>
      </c>
      <c r="G85" s="21" t="s">
        <v>701</v>
      </c>
      <c r="H85" s="22">
        <v>43024.472916666666</v>
      </c>
      <c r="I85" s="22">
        <v>43024.473564814813</v>
      </c>
      <c r="J85" s="22" t="s">
        <v>225</v>
      </c>
      <c r="K85" s="70" t="s">
        <v>225</v>
      </c>
      <c r="L85" s="23" t="s">
        <v>225</v>
      </c>
      <c r="M85" s="23">
        <v>0</v>
      </c>
      <c r="N85" s="23">
        <v>0</v>
      </c>
      <c r="O85" s="21">
        <v>0</v>
      </c>
      <c r="P85" s="23" t="s">
        <v>225</v>
      </c>
      <c r="Q85" s="23" t="s">
        <v>225</v>
      </c>
      <c r="R85" s="36" t="s">
        <v>225</v>
      </c>
      <c r="S85" s="36" t="s">
        <v>225</v>
      </c>
      <c r="T85" s="36" t="s">
        <v>225</v>
      </c>
      <c r="U85" s="36" t="s">
        <v>225</v>
      </c>
      <c r="V85" s="36" t="s">
        <v>225</v>
      </c>
      <c r="W85" s="36" t="s">
        <v>703</v>
      </c>
      <c r="X85" s="36" t="s">
        <v>225</v>
      </c>
      <c r="Y85" s="36">
        <v>43039.717361111114</v>
      </c>
      <c r="Z85" s="36">
        <v>43039.717361111114</v>
      </c>
      <c r="AA85" s="23">
        <v>1500</v>
      </c>
      <c r="AB85" s="23">
        <v>2</v>
      </c>
      <c r="AC85" s="23">
        <f>SUMIF(Tableau_Liste_UO[[Code UO]:[Code UO]],Tableau_Liste_KPI[[#This Row],[Code UO]], Tableau_Liste_UO[RAF])</f>
        <v>0</v>
      </c>
      <c r="AD85" s="23" t="e">
        <f>SUMIF(Tableau_Liste_UO[[Code UO]:[Code UO]],Tableau_Liste_KPI[[#This Row],[Code UO]], #REF!)</f>
        <v>#REF!</v>
      </c>
      <c r="AE85" s="37" t="s">
        <v>225</v>
      </c>
      <c r="AF85" s="37" t="s">
        <v>225</v>
      </c>
      <c r="AG85" s="37" t="s">
        <v>225</v>
      </c>
      <c r="AH85" s="37"/>
      <c r="AI85" s="38" t="e">
        <f>IF(Tableau_Liste_KPI[[#This Row],[Charge commandée]]="","",IF(Tableau_Liste_KPI[[#This Row],[Total]]&gt;Tableau_Liste_KPI[[#This Row],[Charge commandée]],"KO",""))</f>
        <v>#REF!</v>
      </c>
      <c r="AJ85" s="38" t="e">
        <f>IF(Tableau_Liste_KPI[[#This Row],[KPI Charges]]="KO",Tableau_Liste_KPI[[#This Row],[Charge commandée]]-Tableau_Liste_KPI[[#This Row],[Total]],"")</f>
        <v>#REF!</v>
      </c>
    </row>
    <row r="86" spans="1:36" ht="12" customHeight="1" x14ac:dyDescent="0.2">
      <c r="A86" s="25" t="s">
        <v>435</v>
      </c>
      <c r="B86" s="25" t="s">
        <v>567</v>
      </c>
      <c r="C86" s="12" t="s">
        <v>309</v>
      </c>
      <c r="D86" s="25" t="s">
        <v>33</v>
      </c>
      <c r="E86" s="25" t="s">
        <v>539</v>
      </c>
      <c r="F86" s="25" t="s">
        <v>34</v>
      </c>
      <c r="G86" s="25" t="s">
        <v>699</v>
      </c>
      <c r="H86" s="24">
        <v>43020.793055555558</v>
      </c>
      <c r="I86" s="24" t="s">
        <v>225</v>
      </c>
      <c r="J86" s="24" t="s">
        <v>225</v>
      </c>
      <c r="K86" s="71" t="s">
        <v>225</v>
      </c>
      <c r="L86" s="26">
        <v>70.206944444442343</v>
      </c>
      <c r="M86" s="26">
        <v>0</v>
      </c>
      <c r="N86" s="26">
        <v>0</v>
      </c>
      <c r="O86" s="25">
        <v>0</v>
      </c>
      <c r="P86" s="26" t="s">
        <v>225</v>
      </c>
      <c r="Q86" s="26" t="s">
        <v>225</v>
      </c>
      <c r="R86" s="39">
        <v>8</v>
      </c>
      <c r="S86" s="39">
        <v>11</v>
      </c>
      <c r="T86" s="39" t="s">
        <v>225</v>
      </c>
      <c r="U86" s="39" t="s">
        <v>225</v>
      </c>
      <c r="V86" s="39" t="s">
        <v>225</v>
      </c>
      <c r="W86" s="39" t="s">
        <v>225</v>
      </c>
      <c r="X86" s="39" t="s">
        <v>225</v>
      </c>
      <c r="Y86" s="39" t="s">
        <v>225</v>
      </c>
      <c r="Z86" s="39" t="s">
        <v>225</v>
      </c>
      <c r="AA86" s="26">
        <v>3044</v>
      </c>
      <c r="AB86" s="26">
        <v>4</v>
      </c>
      <c r="AC86" s="26">
        <f>SUMIF(Tableau_Liste_UO[[Code UO]:[Code UO]],Tableau_Liste_KPI[[#This Row],[Code UO]], Tableau_Liste_UO[RAF])</f>
        <v>0</v>
      </c>
      <c r="AD86" s="26" t="e">
        <f>SUMIF(Tableau_Liste_UO[[Code UO]:[Code UO]],Tableau_Liste_KPI[[#This Row],[Code UO]], #REF!)</f>
        <v>#REF!</v>
      </c>
      <c r="AE86" s="40" t="s">
        <v>225</v>
      </c>
      <c r="AF86" s="40" t="s">
        <v>225</v>
      </c>
      <c r="AG86" s="40" t="s">
        <v>225</v>
      </c>
      <c r="AH86" s="40"/>
      <c r="AI86" s="41" t="e">
        <f>IF(Tableau_Liste_KPI[[#This Row],[Charge commandée]]="","",IF(Tableau_Liste_KPI[[#This Row],[Total]]&gt;Tableau_Liste_KPI[[#This Row],[Charge commandée]],"KO",""))</f>
        <v>#REF!</v>
      </c>
      <c r="AJ86" s="41" t="e">
        <f>IF(Tableau_Liste_KPI[[#This Row],[KPI Charges]]="KO",Tableau_Liste_KPI[[#This Row],[Charge commandée]]-Tableau_Liste_KPI[[#This Row],[Total]],"")</f>
        <v>#REF!</v>
      </c>
    </row>
    <row r="87" spans="1:36" ht="12" customHeight="1" x14ac:dyDescent="0.2">
      <c r="A87" s="12" t="s">
        <v>246</v>
      </c>
      <c r="B87" s="12" t="s">
        <v>568</v>
      </c>
      <c r="C87" s="12" t="s">
        <v>656</v>
      </c>
      <c r="D87" s="12" t="s">
        <v>33</v>
      </c>
      <c r="E87" s="12" t="s">
        <v>538</v>
      </c>
      <c r="F87" s="12" t="s">
        <v>34</v>
      </c>
      <c r="G87" s="12" t="s">
        <v>686</v>
      </c>
      <c r="H87" s="11">
        <v>43020.792361111111</v>
      </c>
      <c r="I87" s="11">
        <v>43020.79310185185</v>
      </c>
      <c r="J87" s="11" t="s">
        <v>225</v>
      </c>
      <c r="K87" s="73" t="s">
        <v>225</v>
      </c>
      <c r="L87" s="15" t="s">
        <v>225</v>
      </c>
      <c r="M87" s="15">
        <v>3</v>
      </c>
      <c r="N87" s="15">
        <v>17</v>
      </c>
      <c r="O87" s="10">
        <v>31</v>
      </c>
      <c r="P87" s="13" t="s">
        <v>225</v>
      </c>
      <c r="Q87" s="13">
        <v>20</v>
      </c>
      <c r="R87" s="33">
        <v>16</v>
      </c>
      <c r="S87" s="33">
        <v>24</v>
      </c>
      <c r="T87" s="33" t="s">
        <v>225</v>
      </c>
      <c r="U87" s="33">
        <v>43045.520833333336</v>
      </c>
      <c r="V87" s="33">
        <v>43102.477777777778</v>
      </c>
      <c r="W87" s="33" t="s">
        <v>703</v>
      </c>
      <c r="X87" s="33" t="s">
        <v>225</v>
      </c>
      <c r="Y87" s="33">
        <v>43088</v>
      </c>
      <c r="Z87" s="33">
        <v>43108</v>
      </c>
      <c r="AA87" s="13">
        <v>6088</v>
      </c>
      <c r="AB87" s="13">
        <v>8.1</v>
      </c>
      <c r="AC87" s="13">
        <f>SUMIF(Tableau_Liste_UO[[Code UO]:[Code UO]],Tableau_Liste_KPI[[#This Row],[Code UO]], Tableau_Liste_UO[RAF])</f>
        <v>0</v>
      </c>
      <c r="AD87" s="13" t="e">
        <f>SUMIF(Tableau_Liste_UO[[Code UO]:[Code UO]],Tableau_Liste_KPI[[#This Row],[Code UO]], #REF!)</f>
        <v>#REF!</v>
      </c>
      <c r="AE87" s="34" t="s">
        <v>721</v>
      </c>
      <c r="AF87" s="34" t="s">
        <v>225</v>
      </c>
      <c r="AG87" s="34" t="s">
        <v>225</v>
      </c>
      <c r="AH87" s="34"/>
      <c r="AI87" s="35" t="e">
        <f>IF(Tableau_Liste_KPI[[#This Row],[Charge commandée]]="","",IF(Tableau_Liste_KPI[[#This Row],[Total]]&gt;Tableau_Liste_KPI[[#This Row],[Charge commandée]],"KO",""))</f>
        <v>#REF!</v>
      </c>
      <c r="AJ87" s="35" t="e">
        <f>IF(Tableau_Liste_KPI[[#This Row],[KPI Charges]]="KO",Tableau_Liste_KPI[[#This Row],[Charge commandée]]-Tableau_Liste_KPI[[#This Row],[Total]],"")</f>
        <v>#REF!</v>
      </c>
    </row>
    <row r="88" spans="1:36" ht="12" customHeight="1" x14ac:dyDescent="0.2">
      <c r="A88" s="21" t="s">
        <v>434</v>
      </c>
      <c r="B88" s="21" t="s">
        <v>569</v>
      </c>
      <c r="C88" s="12" t="s">
        <v>309</v>
      </c>
      <c r="D88" s="21" t="s">
        <v>33</v>
      </c>
      <c r="E88" s="21" t="s">
        <v>538</v>
      </c>
      <c r="F88" s="21" t="s">
        <v>34</v>
      </c>
      <c r="G88" s="21" t="s">
        <v>686</v>
      </c>
      <c r="H88" s="22">
        <v>43020.790277777778</v>
      </c>
      <c r="I88" s="22" t="s">
        <v>225</v>
      </c>
      <c r="J88" s="22" t="s">
        <v>225</v>
      </c>
      <c r="K88" s="70" t="s">
        <v>225</v>
      </c>
      <c r="L88" s="23">
        <v>70.209722222221899</v>
      </c>
      <c r="M88" s="23">
        <v>0</v>
      </c>
      <c r="N88" s="23">
        <v>0</v>
      </c>
      <c r="O88" s="21">
        <v>0</v>
      </c>
      <c r="P88" s="23" t="s">
        <v>225</v>
      </c>
      <c r="Q88" s="23" t="s">
        <v>225</v>
      </c>
      <c r="R88" s="36">
        <v>16</v>
      </c>
      <c r="S88" s="36">
        <v>24</v>
      </c>
      <c r="T88" s="36" t="s">
        <v>225</v>
      </c>
      <c r="U88" s="36" t="s">
        <v>225</v>
      </c>
      <c r="V88" s="36" t="s">
        <v>225</v>
      </c>
      <c r="W88" s="36" t="s">
        <v>225</v>
      </c>
      <c r="X88" s="36" t="s">
        <v>225</v>
      </c>
      <c r="Y88" s="36" t="s">
        <v>225</v>
      </c>
      <c r="Z88" s="36" t="s">
        <v>225</v>
      </c>
      <c r="AA88" s="23">
        <v>6088</v>
      </c>
      <c r="AB88" s="23">
        <v>8.1</v>
      </c>
      <c r="AC88" s="23">
        <f>SUMIF(Tableau_Liste_UO[[Code UO]:[Code UO]],Tableau_Liste_KPI[[#This Row],[Code UO]], Tableau_Liste_UO[RAF])</f>
        <v>0</v>
      </c>
      <c r="AD88" s="23" t="e">
        <f>SUMIF(Tableau_Liste_UO[[Code UO]:[Code UO]],Tableau_Liste_KPI[[#This Row],[Code UO]], #REF!)</f>
        <v>#REF!</v>
      </c>
      <c r="AE88" s="37" t="s">
        <v>225</v>
      </c>
      <c r="AF88" s="37" t="s">
        <v>225</v>
      </c>
      <c r="AG88" s="37" t="s">
        <v>225</v>
      </c>
      <c r="AH88" s="37"/>
      <c r="AI88" s="38" t="e">
        <f>IF(Tableau_Liste_KPI[[#This Row],[Charge commandée]]="","",IF(Tableau_Liste_KPI[[#This Row],[Total]]&gt;Tableau_Liste_KPI[[#This Row],[Charge commandée]],"KO",""))</f>
        <v>#REF!</v>
      </c>
      <c r="AJ88" s="38" t="e">
        <f>IF(Tableau_Liste_KPI[[#This Row],[KPI Charges]]="KO",Tableau_Liste_KPI[[#This Row],[Charge commandée]]-Tableau_Liste_KPI[[#This Row],[Total]],"")</f>
        <v>#REF!</v>
      </c>
    </row>
    <row r="89" spans="1:36" ht="12" customHeight="1" x14ac:dyDescent="0.2">
      <c r="A89" s="21" t="s">
        <v>245</v>
      </c>
      <c r="B89" s="21" t="s">
        <v>570</v>
      </c>
      <c r="C89" s="12" t="s">
        <v>656</v>
      </c>
      <c r="D89" s="21" t="s">
        <v>33</v>
      </c>
      <c r="E89" s="21" t="s">
        <v>538</v>
      </c>
      <c r="F89" s="21" t="s">
        <v>34</v>
      </c>
      <c r="G89" s="21" t="s">
        <v>686</v>
      </c>
      <c r="H89" s="22">
        <v>43020.789583333331</v>
      </c>
      <c r="I89" s="22">
        <v>43020.790416666663</v>
      </c>
      <c r="J89" s="22" t="s">
        <v>225</v>
      </c>
      <c r="K89" s="70" t="s">
        <v>225</v>
      </c>
      <c r="L89" s="23" t="s">
        <v>225</v>
      </c>
      <c r="M89" s="23">
        <v>3</v>
      </c>
      <c r="N89" s="23">
        <v>12</v>
      </c>
      <c r="O89" s="21">
        <v>36</v>
      </c>
      <c r="P89" s="23" t="s">
        <v>225</v>
      </c>
      <c r="Q89" s="23">
        <v>15</v>
      </c>
      <c r="R89" s="36">
        <v>16</v>
      </c>
      <c r="S89" s="36">
        <v>24</v>
      </c>
      <c r="T89" s="36" t="s">
        <v>225</v>
      </c>
      <c r="U89" s="36">
        <v>43045.523611111108</v>
      </c>
      <c r="V89" s="36">
        <v>43069.486805555556</v>
      </c>
      <c r="W89" s="36" t="s">
        <v>703</v>
      </c>
      <c r="X89" s="36" t="s">
        <v>225</v>
      </c>
      <c r="Y89" s="36">
        <v>43103</v>
      </c>
      <c r="Z89" s="36">
        <v>43115</v>
      </c>
      <c r="AA89" s="23">
        <v>6088</v>
      </c>
      <c r="AB89" s="23">
        <v>8.1</v>
      </c>
      <c r="AC89" s="23">
        <f>SUMIF(Tableau_Liste_UO[[Code UO]:[Code UO]],Tableau_Liste_KPI[[#This Row],[Code UO]], Tableau_Liste_UO[RAF])</f>
        <v>0</v>
      </c>
      <c r="AD89" s="23" t="e">
        <f>SUMIF(Tableau_Liste_UO[[Code UO]:[Code UO]],Tableau_Liste_KPI[[#This Row],[Code UO]], #REF!)</f>
        <v>#REF!</v>
      </c>
      <c r="AE89" s="37" t="s">
        <v>225</v>
      </c>
      <c r="AF89" s="37" t="s">
        <v>225</v>
      </c>
      <c r="AG89" s="37" t="s">
        <v>721</v>
      </c>
      <c r="AH89" s="37"/>
      <c r="AI89" s="38" t="e">
        <f>IF(Tableau_Liste_KPI[[#This Row],[Charge commandée]]="","",IF(Tableau_Liste_KPI[[#This Row],[Total]]&gt;Tableau_Liste_KPI[[#This Row],[Charge commandée]],"KO",""))</f>
        <v>#REF!</v>
      </c>
      <c r="AJ89" s="38" t="e">
        <f>IF(Tableau_Liste_KPI[[#This Row],[KPI Charges]]="KO",Tableau_Liste_KPI[[#This Row],[Charge commandée]]-Tableau_Liste_KPI[[#This Row],[Total]],"")</f>
        <v>#REF!</v>
      </c>
    </row>
    <row r="90" spans="1:36" ht="12" customHeight="1" x14ac:dyDescent="0.2">
      <c r="A90" s="21" t="s">
        <v>433</v>
      </c>
      <c r="B90" s="21" t="s">
        <v>571</v>
      </c>
      <c r="C90" s="12" t="s">
        <v>309</v>
      </c>
      <c r="D90" s="21" t="s">
        <v>33</v>
      </c>
      <c r="E90" s="21" t="s">
        <v>539</v>
      </c>
      <c r="F90" s="21" t="s">
        <v>34</v>
      </c>
      <c r="G90" s="21" t="s">
        <v>699</v>
      </c>
      <c r="H90" s="22">
        <v>43020.787499999999</v>
      </c>
      <c r="I90" s="22" t="s">
        <v>225</v>
      </c>
      <c r="J90" s="22" t="s">
        <v>225</v>
      </c>
      <c r="K90" s="70" t="s">
        <v>225</v>
      </c>
      <c r="L90" s="23">
        <v>70.212500000001455</v>
      </c>
      <c r="M90" s="23">
        <v>0</v>
      </c>
      <c r="N90" s="23">
        <v>0</v>
      </c>
      <c r="O90" s="21">
        <v>0</v>
      </c>
      <c r="P90" s="23" t="s">
        <v>225</v>
      </c>
      <c r="Q90" s="23" t="s">
        <v>225</v>
      </c>
      <c r="R90" s="36">
        <v>8</v>
      </c>
      <c r="S90" s="36">
        <v>11</v>
      </c>
      <c r="T90" s="36" t="s">
        <v>225</v>
      </c>
      <c r="U90" s="36" t="s">
        <v>225</v>
      </c>
      <c r="V90" s="36" t="s">
        <v>225</v>
      </c>
      <c r="W90" s="36" t="s">
        <v>225</v>
      </c>
      <c r="X90" s="36" t="s">
        <v>225</v>
      </c>
      <c r="Y90" s="36" t="s">
        <v>225</v>
      </c>
      <c r="Z90" s="36" t="s">
        <v>225</v>
      </c>
      <c r="AA90" s="23">
        <v>3044</v>
      </c>
      <c r="AB90" s="23">
        <v>4</v>
      </c>
      <c r="AC90" s="23">
        <f>SUMIF(Tableau_Liste_UO[[Code UO]:[Code UO]],Tableau_Liste_KPI[[#This Row],[Code UO]], Tableau_Liste_UO[RAF])</f>
        <v>0</v>
      </c>
      <c r="AD90" s="23" t="e">
        <f>SUMIF(Tableau_Liste_UO[[Code UO]:[Code UO]],Tableau_Liste_KPI[[#This Row],[Code UO]], #REF!)</f>
        <v>#REF!</v>
      </c>
      <c r="AE90" s="37" t="s">
        <v>225</v>
      </c>
      <c r="AF90" s="37" t="s">
        <v>225</v>
      </c>
      <c r="AG90" s="37" t="s">
        <v>225</v>
      </c>
      <c r="AH90" s="37"/>
      <c r="AI90" s="38" t="e">
        <f>IF(Tableau_Liste_KPI[[#This Row],[Charge commandée]]="","",IF(Tableau_Liste_KPI[[#This Row],[Total]]&gt;Tableau_Liste_KPI[[#This Row],[Charge commandée]],"KO",""))</f>
        <v>#REF!</v>
      </c>
      <c r="AJ90" s="38" t="e">
        <f>IF(Tableau_Liste_KPI[[#This Row],[KPI Charges]]="KO",Tableau_Liste_KPI[[#This Row],[Charge commandée]]-Tableau_Liste_KPI[[#This Row],[Total]],"")</f>
        <v>#REF!</v>
      </c>
    </row>
    <row r="91" spans="1:36" ht="12" customHeight="1" x14ac:dyDescent="0.2">
      <c r="A91" s="12" t="s">
        <v>244</v>
      </c>
      <c r="B91" s="12" t="s">
        <v>572</v>
      </c>
      <c r="C91" s="12" t="s">
        <v>173</v>
      </c>
      <c r="D91" s="12" t="s">
        <v>33</v>
      </c>
      <c r="E91" s="12" t="s">
        <v>538</v>
      </c>
      <c r="F91" s="12" t="s">
        <v>34</v>
      </c>
      <c r="G91" s="12" t="s">
        <v>686</v>
      </c>
      <c r="H91" s="6">
        <v>43020.787499999999</v>
      </c>
      <c r="I91" s="6">
        <v>43020.787916666668</v>
      </c>
      <c r="J91" s="6" t="s">
        <v>225</v>
      </c>
      <c r="K91" s="69" t="s">
        <v>225</v>
      </c>
      <c r="L91" s="13" t="s">
        <v>225</v>
      </c>
      <c r="M91" s="13">
        <v>3</v>
      </c>
      <c r="N91" s="13">
        <v>11</v>
      </c>
      <c r="O91" s="12">
        <v>28</v>
      </c>
      <c r="P91" s="13" t="s">
        <v>225</v>
      </c>
      <c r="Q91" s="13">
        <v>14</v>
      </c>
      <c r="R91" s="33">
        <v>16</v>
      </c>
      <c r="S91" s="33">
        <v>24</v>
      </c>
      <c r="T91" s="33" t="s">
        <v>225</v>
      </c>
      <c r="U91" s="33">
        <v>43045.525694444441</v>
      </c>
      <c r="V91" s="33">
        <v>43069.490972222222</v>
      </c>
      <c r="W91" s="33" t="s">
        <v>703</v>
      </c>
      <c r="X91" s="33" t="s">
        <v>225</v>
      </c>
      <c r="Y91" s="33">
        <v>43083</v>
      </c>
      <c r="Z91" s="33">
        <v>43103</v>
      </c>
      <c r="AA91" s="13">
        <v>6088</v>
      </c>
      <c r="AB91" s="13">
        <v>8.1</v>
      </c>
      <c r="AC91" s="13">
        <f>SUMIF(Tableau_Liste_UO[[Code UO]:[Code UO]],Tableau_Liste_KPI[[#This Row],[Code UO]], Tableau_Liste_UO[RAF])</f>
        <v>0</v>
      </c>
      <c r="AD91" s="13" t="e">
        <f>SUMIF(Tableau_Liste_UO[[Code UO]:[Code UO]],Tableau_Liste_KPI[[#This Row],[Code UO]], #REF!)</f>
        <v>#REF!</v>
      </c>
      <c r="AE91" s="34" t="s">
        <v>225</v>
      </c>
      <c r="AF91" s="34" t="s">
        <v>225</v>
      </c>
      <c r="AG91" s="34" t="s">
        <v>225</v>
      </c>
      <c r="AH91" s="34"/>
      <c r="AI91" s="35" t="e">
        <f>IF(Tableau_Liste_KPI[[#This Row],[Charge commandée]]="","",IF(Tableau_Liste_KPI[[#This Row],[Total]]&gt;Tableau_Liste_KPI[[#This Row],[Charge commandée]],"KO",""))</f>
        <v>#REF!</v>
      </c>
      <c r="AJ91" s="35" t="e">
        <f>IF(Tableau_Liste_KPI[[#This Row],[KPI Charges]]="KO",Tableau_Liste_KPI[[#This Row],[Charge commandée]]-Tableau_Liste_KPI[[#This Row],[Total]],"")</f>
        <v>#REF!</v>
      </c>
    </row>
    <row r="92" spans="1:36" ht="12" customHeight="1" x14ac:dyDescent="0.2">
      <c r="A92" s="21" t="s">
        <v>243</v>
      </c>
      <c r="B92" s="21" t="s">
        <v>432</v>
      </c>
      <c r="C92" s="12" t="s">
        <v>174</v>
      </c>
      <c r="D92" s="21" t="s">
        <v>33</v>
      </c>
      <c r="E92" s="21" t="s">
        <v>44</v>
      </c>
      <c r="F92" s="21" t="s">
        <v>225</v>
      </c>
      <c r="G92" s="21" t="s">
        <v>689</v>
      </c>
      <c r="H92" s="22">
        <v>43020.772916666669</v>
      </c>
      <c r="I92" s="22">
        <v>43020.773263888892</v>
      </c>
      <c r="J92" s="22">
        <v>43073.498483796298</v>
      </c>
      <c r="K92" s="70" t="s">
        <v>225</v>
      </c>
      <c r="L92" s="23" t="s">
        <v>225</v>
      </c>
      <c r="M92" s="23">
        <v>2</v>
      </c>
      <c r="N92" s="23">
        <v>3</v>
      </c>
      <c r="O92" s="21">
        <v>31</v>
      </c>
      <c r="P92" s="23">
        <v>14</v>
      </c>
      <c r="Q92" s="23">
        <v>5</v>
      </c>
      <c r="R92" s="36">
        <v>10</v>
      </c>
      <c r="S92" s="36">
        <v>15</v>
      </c>
      <c r="T92" s="36" t="s">
        <v>225</v>
      </c>
      <c r="U92" s="36">
        <v>43028.508333333331</v>
      </c>
      <c r="V92" s="36">
        <v>43069.543749999997</v>
      </c>
      <c r="W92" s="36" t="s">
        <v>703</v>
      </c>
      <c r="X92" s="36" t="s">
        <v>225</v>
      </c>
      <c r="Y92" s="36">
        <v>43080</v>
      </c>
      <c r="Z92" s="36">
        <v>43087</v>
      </c>
      <c r="AA92" s="23">
        <v>912</v>
      </c>
      <c r="AB92" s="23">
        <v>1</v>
      </c>
      <c r="AC92" s="23">
        <f>SUMIF(Tableau_Liste_UO[[Code UO]:[Code UO]],Tableau_Liste_KPI[[#This Row],[Code UO]], Tableau_Liste_UO[RAF])</f>
        <v>0</v>
      </c>
      <c r="AD92" s="23" t="e">
        <f>SUMIF(Tableau_Liste_UO[[Code UO]:[Code UO]],Tableau_Liste_KPI[[#This Row],[Code UO]], #REF!)</f>
        <v>#REF!</v>
      </c>
      <c r="AE92" s="37" t="s">
        <v>225</v>
      </c>
      <c r="AF92" s="37" t="s">
        <v>225</v>
      </c>
      <c r="AG92" s="37" t="s">
        <v>225</v>
      </c>
      <c r="AH92" s="37"/>
      <c r="AI92" s="38" t="e">
        <f>IF(Tableau_Liste_KPI[[#This Row],[Charge commandée]]="","",IF(Tableau_Liste_KPI[[#This Row],[Total]]&gt;Tableau_Liste_KPI[[#This Row],[Charge commandée]],"KO",""))</f>
        <v>#REF!</v>
      </c>
      <c r="AJ92" s="38" t="e">
        <f>IF(Tableau_Liste_KPI[[#This Row],[KPI Charges]]="KO",Tableau_Liste_KPI[[#This Row],[Charge commandée]]-Tableau_Liste_KPI[[#This Row],[Total]],"")</f>
        <v>#REF!</v>
      </c>
    </row>
    <row r="93" spans="1:36" ht="12" customHeight="1" x14ac:dyDescent="0.2">
      <c r="A93" s="21" t="s">
        <v>242</v>
      </c>
      <c r="B93" s="21" t="s">
        <v>573</v>
      </c>
      <c r="C93" s="12" t="s">
        <v>259</v>
      </c>
      <c r="D93" s="21" t="s">
        <v>33</v>
      </c>
      <c r="E93" s="21" t="s">
        <v>538</v>
      </c>
      <c r="F93" s="21" t="s">
        <v>43</v>
      </c>
      <c r="G93" s="21" t="s">
        <v>696</v>
      </c>
      <c r="H93" s="22">
        <v>43020.422222222223</v>
      </c>
      <c r="I93" s="22">
        <v>43020.422523148147</v>
      </c>
      <c r="J93" s="22">
        <v>43039.551342592589</v>
      </c>
      <c r="K93" s="70">
        <v>43048.710138888891</v>
      </c>
      <c r="L93" s="23" t="s">
        <v>225</v>
      </c>
      <c r="M93" s="23">
        <v>2</v>
      </c>
      <c r="N93" s="23">
        <v>12</v>
      </c>
      <c r="O93" s="21">
        <v>0</v>
      </c>
      <c r="P93" s="23">
        <v>6</v>
      </c>
      <c r="Q93" s="23">
        <v>14</v>
      </c>
      <c r="R93" s="36">
        <v>10</v>
      </c>
      <c r="S93" s="36">
        <v>15</v>
      </c>
      <c r="T93" s="36" t="s">
        <v>225</v>
      </c>
      <c r="U93" s="36">
        <v>43033.443055555559</v>
      </c>
      <c r="V93" s="36">
        <v>43039.542361111111</v>
      </c>
      <c r="W93" s="36" t="s">
        <v>703</v>
      </c>
      <c r="X93" s="36" t="s">
        <v>694</v>
      </c>
      <c r="Y93" s="36">
        <v>43034</v>
      </c>
      <c r="Z93" s="36">
        <v>43042</v>
      </c>
      <c r="AA93" s="23">
        <v>3424</v>
      </c>
      <c r="AB93" s="23">
        <v>5</v>
      </c>
      <c r="AC93" s="23">
        <f>SUMIF(Tableau_Liste_UO[[Code UO]:[Code UO]],Tableau_Liste_KPI[[#This Row],[Code UO]], Tableau_Liste_UO[RAF])</f>
        <v>0</v>
      </c>
      <c r="AD93" s="23" t="e">
        <f>SUMIF(Tableau_Liste_UO[[Code UO]:[Code UO]],Tableau_Liste_KPI[[#This Row],[Code UO]], #REF!)</f>
        <v>#REF!</v>
      </c>
      <c r="AE93" s="37" t="s">
        <v>721</v>
      </c>
      <c r="AF93" s="37" t="s">
        <v>225</v>
      </c>
      <c r="AG93" s="37" t="s">
        <v>225</v>
      </c>
      <c r="AH93" s="37"/>
      <c r="AI93" s="38" t="e">
        <f>IF(Tableau_Liste_KPI[[#This Row],[Charge commandée]]="","",IF(Tableau_Liste_KPI[[#This Row],[Total]]&gt;Tableau_Liste_KPI[[#This Row],[Charge commandée]],"KO",""))</f>
        <v>#REF!</v>
      </c>
      <c r="AJ93" s="38" t="e">
        <f>IF(Tableau_Liste_KPI[[#This Row],[KPI Charges]]="KO",Tableau_Liste_KPI[[#This Row],[Charge commandée]]-Tableau_Liste_KPI[[#This Row],[Total]],"")</f>
        <v>#REF!</v>
      </c>
    </row>
    <row r="94" spans="1:36" ht="12" customHeight="1" x14ac:dyDescent="0.2">
      <c r="A94" s="21" t="s">
        <v>241</v>
      </c>
      <c r="B94" s="21" t="s">
        <v>431</v>
      </c>
      <c r="C94" s="12" t="s">
        <v>259</v>
      </c>
      <c r="D94" s="21" t="s">
        <v>37</v>
      </c>
      <c r="E94" s="21" t="s">
        <v>544</v>
      </c>
      <c r="F94" s="21" t="s">
        <v>34</v>
      </c>
      <c r="G94" s="21" t="s">
        <v>702</v>
      </c>
      <c r="H94" s="22">
        <v>43019.706250000003</v>
      </c>
      <c r="I94" s="22">
        <v>43020.672337962962</v>
      </c>
      <c r="J94" s="22" t="s">
        <v>225</v>
      </c>
      <c r="K94" s="70">
        <v>43027.54550925926</v>
      </c>
      <c r="L94" s="23" t="s">
        <v>225</v>
      </c>
      <c r="M94" s="23">
        <v>0</v>
      </c>
      <c r="N94" s="23">
        <v>5</v>
      </c>
      <c r="O94" s="21">
        <v>0</v>
      </c>
      <c r="P94" s="23" t="s">
        <v>225</v>
      </c>
      <c r="Q94" s="23">
        <v>5</v>
      </c>
      <c r="R94" s="36" t="s">
        <v>225</v>
      </c>
      <c r="S94" s="36" t="s">
        <v>225</v>
      </c>
      <c r="T94" s="36" t="s">
        <v>225</v>
      </c>
      <c r="U94" s="36" t="s">
        <v>225</v>
      </c>
      <c r="V94" s="36" t="s">
        <v>225</v>
      </c>
      <c r="W94" s="36" t="s">
        <v>703</v>
      </c>
      <c r="X94" s="36" t="s">
        <v>703</v>
      </c>
      <c r="Y94" s="36">
        <v>43012.67083333333</v>
      </c>
      <c r="Z94" s="36">
        <v>43012.67083333333</v>
      </c>
      <c r="AA94" s="23">
        <v>750</v>
      </c>
      <c r="AB94" s="23">
        <v>1</v>
      </c>
      <c r="AC94" s="23">
        <f>SUMIF(Tableau_Liste_UO[[Code UO]:[Code UO]],Tableau_Liste_KPI[[#This Row],[Code UO]], Tableau_Liste_UO[RAF])</f>
        <v>0</v>
      </c>
      <c r="AD94" s="23" t="e">
        <f>SUMIF(Tableau_Liste_UO[[Code UO]:[Code UO]],Tableau_Liste_KPI[[#This Row],[Code UO]], #REF!)</f>
        <v>#REF!</v>
      </c>
      <c r="AE94" s="37" t="s">
        <v>225</v>
      </c>
      <c r="AF94" s="37" t="s">
        <v>225</v>
      </c>
      <c r="AG94" s="37" t="s">
        <v>225</v>
      </c>
      <c r="AH94" s="37"/>
      <c r="AI94" s="38" t="e">
        <f>IF(Tableau_Liste_KPI[[#This Row],[Charge commandée]]="","",IF(Tableau_Liste_KPI[[#This Row],[Total]]&gt;Tableau_Liste_KPI[[#This Row],[Charge commandée]],"KO",""))</f>
        <v>#REF!</v>
      </c>
      <c r="AJ94" s="38" t="e">
        <f>IF(Tableau_Liste_KPI[[#This Row],[KPI Charges]]="KO",Tableau_Liste_KPI[[#This Row],[Charge commandée]]-Tableau_Liste_KPI[[#This Row],[Total]],"")</f>
        <v>#REF!</v>
      </c>
    </row>
    <row r="95" spans="1:36" ht="12" customHeight="1" x14ac:dyDescent="0.2">
      <c r="A95" s="32" t="s">
        <v>240</v>
      </c>
      <c r="B95" s="12" t="s">
        <v>430</v>
      </c>
      <c r="C95" s="12" t="s">
        <v>259</v>
      </c>
      <c r="D95" s="12" t="s">
        <v>33</v>
      </c>
      <c r="E95" s="12" t="s">
        <v>544</v>
      </c>
      <c r="F95" s="12" t="s">
        <v>34</v>
      </c>
      <c r="G95" s="12" t="s">
        <v>701</v>
      </c>
      <c r="H95" s="6">
        <v>43018.623611111114</v>
      </c>
      <c r="I95" s="6">
        <v>43018.623969907407</v>
      </c>
      <c r="J95" s="6" t="s">
        <v>225</v>
      </c>
      <c r="K95" s="69">
        <v>43048.681585648148</v>
      </c>
      <c r="L95" s="13" t="s">
        <v>225</v>
      </c>
      <c r="M95" s="13">
        <v>3</v>
      </c>
      <c r="N95" s="13">
        <v>19</v>
      </c>
      <c r="O95" s="12">
        <v>0</v>
      </c>
      <c r="P95" s="13" t="s">
        <v>225</v>
      </c>
      <c r="Q95" s="13">
        <v>22</v>
      </c>
      <c r="R95" s="33" t="s">
        <v>225</v>
      </c>
      <c r="S95" s="33" t="s">
        <v>225</v>
      </c>
      <c r="T95" s="33" t="s">
        <v>225</v>
      </c>
      <c r="U95" s="33" t="s">
        <v>225</v>
      </c>
      <c r="V95" s="33" t="s">
        <v>225</v>
      </c>
      <c r="W95" s="33" t="s">
        <v>703</v>
      </c>
      <c r="X95" s="33" t="s">
        <v>694</v>
      </c>
      <c r="Y95" s="33">
        <v>43035.622916666667</v>
      </c>
      <c r="Z95" s="33">
        <v>43035.622916666667</v>
      </c>
      <c r="AA95" s="13">
        <v>750</v>
      </c>
      <c r="AB95" s="13">
        <v>1</v>
      </c>
      <c r="AC95" s="13">
        <f>SUMIF(Tableau_Liste_UO[[Code UO]:[Code UO]],Tableau_Liste_KPI[[#This Row],[Code UO]], Tableau_Liste_UO[RAF])</f>
        <v>0</v>
      </c>
      <c r="AD95" s="13" t="e">
        <f>SUMIF(Tableau_Liste_UO[[Code UO]:[Code UO]],Tableau_Liste_KPI[[#This Row],[Code UO]], #REF!)</f>
        <v>#REF!</v>
      </c>
      <c r="AE95" s="34" t="s">
        <v>225</v>
      </c>
      <c r="AF95" s="34" t="s">
        <v>225</v>
      </c>
      <c r="AG95" s="34" t="s">
        <v>225</v>
      </c>
      <c r="AH95" s="34"/>
      <c r="AI95" s="35" t="e">
        <f>IF(Tableau_Liste_KPI[[#This Row],[Charge commandée]]="","",IF(Tableau_Liste_KPI[[#This Row],[Total]]&gt;Tableau_Liste_KPI[[#This Row],[Charge commandée]],"KO",""))</f>
        <v>#REF!</v>
      </c>
      <c r="AJ95" s="35" t="e">
        <f>IF(Tableau_Liste_KPI[[#This Row],[KPI Charges]]="KO",Tableau_Liste_KPI[[#This Row],[Charge commandée]]-Tableau_Liste_KPI[[#This Row],[Total]],"")</f>
        <v>#REF!</v>
      </c>
    </row>
    <row r="96" spans="1:36" ht="12" x14ac:dyDescent="0.2">
      <c r="A96" s="32" t="s">
        <v>428</v>
      </c>
      <c r="B96" s="12" t="s">
        <v>429</v>
      </c>
      <c r="C96" s="12" t="s">
        <v>174</v>
      </c>
      <c r="D96" s="12" t="s">
        <v>33</v>
      </c>
      <c r="E96" s="12" t="s">
        <v>539</v>
      </c>
      <c r="F96" s="12" t="s">
        <v>43</v>
      </c>
      <c r="G96" s="12" t="s">
        <v>698</v>
      </c>
      <c r="H96" s="6">
        <v>43017.477083333331</v>
      </c>
      <c r="I96" s="6">
        <v>43048.719444444447</v>
      </c>
      <c r="J96" s="6">
        <v>43077.49590277778</v>
      </c>
      <c r="K96" s="69" t="s">
        <v>225</v>
      </c>
      <c r="L96" s="13" t="s">
        <v>225</v>
      </c>
      <c r="M96" s="13">
        <v>2</v>
      </c>
      <c r="N96" s="13">
        <v>-2</v>
      </c>
      <c r="O96" s="12">
        <v>20</v>
      </c>
      <c r="P96" s="13">
        <v>10</v>
      </c>
      <c r="Q96" s="13" t="s">
        <v>225</v>
      </c>
      <c r="R96" s="33">
        <v>5</v>
      </c>
      <c r="S96" s="33">
        <v>8</v>
      </c>
      <c r="T96" s="33" t="s">
        <v>225</v>
      </c>
      <c r="U96" s="33">
        <v>43056.386111111111</v>
      </c>
      <c r="V96" s="33" t="s">
        <v>225</v>
      </c>
      <c r="W96" s="33" t="s">
        <v>694</v>
      </c>
      <c r="X96" s="33" t="s">
        <v>225</v>
      </c>
      <c r="Y96" s="33">
        <v>43083</v>
      </c>
      <c r="Z96" s="33">
        <v>43088</v>
      </c>
      <c r="AA96" s="13">
        <v>1522</v>
      </c>
      <c r="AB96" s="13">
        <v>2</v>
      </c>
      <c r="AC96" s="13">
        <f>SUMIF(Tableau_Liste_UO[[Code UO]:[Code UO]],Tableau_Liste_KPI[[#This Row],[Code UO]], Tableau_Liste_UO[RAF])</f>
        <v>0</v>
      </c>
      <c r="AD96" s="13" t="e">
        <f>SUMIF(Tableau_Liste_UO[[Code UO]:[Code UO]],Tableau_Liste_KPI[[#This Row],[Code UO]], #REF!)</f>
        <v>#REF!</v>
      </c>
      <c r="AE96" s="34" t="s">
        <v>225</v>
      </c>
      <c r="AF96" s="34" t="s">
        <v>225</v>
      </c>
      <c r="AG96" s="34" t="s">
        <v>225</v>
      </c>
      <c r="AH96" s="34"/>
      <c r="AI96" s="35" t="e">
        <f>IF(Tableau_Liste_KPI[[#This Row],[Charge commandée]]="","",IF(Tableau_Liste_KPI[[#This Row],[Total]]&gt;Tableau_Liste_KPI[[#This Row],[Charge commandée]],"KO",""))</f>
        <v>#REF!</v>
      </c>
      <c r="AJ96" s="35" t="e">
        <f>IF(Tableau_Liste_KPI[[#This Row],[KPI Charges]]="KO",Tableau_Liste_KPI[[#This Row],[Charge commandée]]-Tableau_Liste_KPI[[#This Row],[Total]],"")</f>
        <v>#REF!</v>
      </c>
    </row>
    <row r="97" spans="1:36" ht="12" x14ac:dyDescent="0.2">
      <c r="A97" s="12" t="s">
        <v>427</v>
      </c>
      <c r="B97" s="12" t="s">
        <v>574</v>
      </c>
      <c r="C97" s="12" t="s">
        <v>259</v>
      </c>
      <c r="D97" s="12" t="s">
        <v>33</v>
      </c>
      <c r="E97" s="12" t="s">
        <v>539</v>
      </c>
      <c r="F97" s="12" t="s">
        <v>43</v>
      </c>
      <c r="G97" s="12" t="s">
        <v>698</v>
      </c>
      <c r="H97" s="6">
        <v>43017.472916666666</v>
      </c>
      <c r="I97" s="6">
        <v>43027.470763888887</v>
      </c>
      <c r="J97" s="6">
        <v>43034.530034722222</v>
      </c>
      <c r="K97" s="69">
        <v>43048.711516203701</v>
      </c>
      <c r="L97" s="13" t="s">
        <v>225</v>
      </c>
      <c r="M97" s="13">
        <v>2</v>
      </c>
      <c r="N97" s="13">
        <v>-2</v>
      </c>
      <c r="O97" s="12">
        <v>4</v>
      </c>
      <c r="P97" s="13">
        <v>9</v>
      </c>
      <c r="Q97" s="13" t="s">
        <v>225</v>
      </c>
      <c r="R97" s="33">
        <v>5</v>
      </c>
      <c r="S97" s="33">
        <v>8</v>
      </c>
      <c r="T97" s="33" t="s">
        <v>225</v>
      </c>
      <c r="U97" s="33">
        <v>43034.618055555555</v>
      </c>
      <c r="V97" s="33" t="s">
        <v>225</v>
      </c>
      <c r="W97" s="33" t="s">
        <v>703</v>
      </c>
      <c r="X97" s="33" t="s">
        <v>694</v>
      </c>
      <c r="Y97" s="33">
        <v>43041</v>
      </c>
      <c r="Z97" s="33">
        <v>43046</v>
      </c>
      <c r="AA97" s="13">
        <v>1522</v>
      </c>
      <c r="AB97" s="13">
        <v>2</v>
      </c>
      <c r="AC97" s="13">
        <f>SUMIF(Tableau_Liste_UO[[Code UO]:[Code UO]],Tableau_Liste_KPI[[#This Row],[Code UO]], Tableau_Liste_UO[RAF])</f>
        <v>0</v>
      </c>
      <c r="AD97" s="13" t="e">
        <f>SUMIF(Tableau_Liste_UO[[Code UO]:[Code UO]],Tableau_Liste_KPI[[#This Row],[Code UO]], #REF!)</f>
        <v>#REF!</v>
      </c>
      <c r="AE97" s="34" t="s">
        <v>225</v>
      </c>
      <c r="AF97" s="34" t="s">
        <v>225</v>
      </c>
      <c r="AG97" s="34" t="s">
        <v>225</v>
      </c>
      <c r="AH97" s="34"/>
      <c r="AI97" s="35" t="e">
        <f>IF(Tableau_Liste_KPI[[#This Row],[Charge commandée]]="","",IF(Tableau_Liste_KPI[[#This Row],[Total]]&gt;Tableau_Liste_KPI[[#This Row],[Charge commandée]],"KO",""))</f>
        <v>#REF!</v>
      </c>
      <c r="AJ97" s="35" t="e">
        <f>IF(Tableau_Liste_KPI[[#This Row],[KPI Charges]]="KO",Tableau_Liste_KPI[[#This Row],[Charge commandée]]-Tableau_Liste_KPI[[#This Row],[Total]],"")</f>
        <v>#REF!</v>
      </c>
    </row>
    <row r="98" spans="1:36" ht="12" x14ac:dyDescent="0.2">
      <c r="A98" s="21" t="s">
        <v>239</v>
      </c>
      <c r="B98" s="21" t="s">
        <v>575</v>
      </c>
      <c r="C98" s="12" t="s">
        <v>259</v>
      </c>
      <c r="D98" s="21" t="s">
        <v>33</v>
      </c>
      <c r="E98" s="21" t="s">
        <v>538</v>
      </c>
      <c r="F98" s="21" t="s">
        <v>43</v>
      </c>
      <c r="G98" s="21" t="s">
        <v>696</v>
      </c>
      <c r="H98" s="22">
        <v>43017.472916666666</v>
      </c>
      <c r="I98" s="22">
        <v>43017.473460648151</v>
      </c>
      <c r="J98" s="22">
        <v>43026.382777777777</v>
      </c>
      <c r="K98" s="70">
        <v>43027.471134259256</v>
      </c>
      <c r="L98" s="23" t="s">
        <v>225</v>
      </c>
      <c r="M98" s="23">
        <v>0</v>
      </c>
      <c r="N98" s="23">
        <v>7</v>
      </c>
      <c r="O98" s="21">
        <v>0</v>
      </c>
      <c r="P98" s="23">
        <v>1</v>
      </c>
      <c r="Q98" s="23">
        <v>7</v>
      </c>
      <c r="R98" s="36">
        <v>10</v>
      </c>
      <c r="S98" s="36">
        <v>15</v>
      </c>
      <c r="T98" s="36" t="s">
        <v>225</v>
      </c>
      <c r="U98" s="36">
        <v>43025.594444444447</v>
      </c>
      <c r="V98" s="36" t="s">
        <v>225</v>
      </c>
      <c r="W98" s="36" t="s">
        <v>703</v>
      </c>
      <c r="X98" s="36" t="s">
        <v>703</v>
      </c>
      <c r="Y98" s="36">
        <v>43031</v>
      </c>
      <c r="Z98" s="36">
        <v>43038</v>
      </c>
      <c r="AA98" s="23">
        <v>3424</v>
      </c>
      <c r="AB98" s="23">
        <v>5</v>
      </c>
      <c r="AC98" s="23">
        <f>SUMIF(Tableau_Liste_UO[[Code UO]:[Code UO]],Tableau_Liste_KPI[[#This Row],[Code UO]], Tableau_Liste_UO[RAF])</f>
        <v>0</v>
      </c>
      <c r="AD98" s="23" t="e">
        <f>SUMIF(Tableau_Liste_UO[[Code UO]:[Code UO]],Tableau_Liste_KPI[[#This Row],[Code UO]], #REF!)</f>
        <v>#REF!</v>
      </c>
      <c r="AE98" s="37" t="s">
        <v>225</v>
      </c>
      <c r="AF98" s="37" t="s">
        <v>225</v>
      </c>
      <c r="AG98" s="37" t="s">
        <v>225</v>
      </c>
      <c r="AH98" s="37"/>
      <c r="AI98" s="38" t="e">
        <f>IF(Tableau_Liste_KPI[[#This Row],[Charge commandée]]="","",IF(Tableau_Liste_KPI[[#This Row],[Total]]&gt;Tableau_Liste_KPI[[#This Row],[Charge commandée]],"KO",""))</f>
        <v>#REF!</v>
      </c>
      <c r="AJ98" s="38" t="e">
        <f>IF(Tableau_Liste_KPI[[#This Row],[KPI Charges]]="KO",Tableau_Liste_KPI[[#This Row],[Charge commandée]]-Tableau_Liste_KPI[[#This Row],[Total]],"")</f>
        <v>#REF!</v>
      </c>
    </row>
    <row r="99" spans="1:36" ht="12" x14ac:dyDescent="0.2">
      <c r="A99" s="12" t="s">
        <v>226</v>
      </c>
      <c r="B99" s="12" t="s">
        <v>576</v>
      </c>
      <c r="C99" s="12" t="s">
        <v>281</v>
      </c>
      <c r="D99" s="12" t="s">
        <v>33</v>
      </c>
      <c r="E99" s="12" t="s">
        <v>544</v>
      </c>
      <c r="F99" s="12" t="s">
        <v>34</v>
      </c>
      <c r="G99" s="12" t="s">
        <v>701</v>
      </c>
      <c r="H99" s="6">
        <v>43014.388888888891</v>
      </c>
      <c r="I99" s="6">
        <v>43014.38921296296</v>
      </c>
      <c r="J99" s="6" t="s">
        <v>225</v>
      </c>
      <c r="K99" s="69" t="s">
        <v>225</v>
      </c>
      <c r="L99" s="13" t="s">
        <v>225</v>
      </c>
      <c r="M99" s="13">
        <v>0</v>
      </c>
      <c r="N99" s="13">
        <v>54</v>
      </c>
      <c r="O99" s="12">
        <v>0</v>
      </c>
      <c r="P99" s="13" t="s">
        <v>225</v>
      </c>
      <c r="Q99" s="13">
        <v>54</v>
      </c>
      <c r="R99" s="33" t="s">
        <v>225</v>
      </c>
      <c r="S99" s="33" t="s">
        <v>225</v>
      </c>
      <c r="T99" s="33" t="s">
        <v>225</v>
      </c>
      <c r="U99" s="33" t="s">
        <v>225</v>
      </c>
      <c r="V99" s="33" t="s">
        <v>225</v>
      </c>
      <c r="W99" s="33" t="s">
        <v>703</v>
      </c>
      <c r="X99" s="33" t="s">
        <v>225</v>
      </c>
      <c r="Y99" s="33">
        <v>43028.388194444444</v>
      </c>
      <c r="Z99" s="33">
        <v>43028.388194444444</v>
      </c>
      <c r="AA99" s="13">
        <v>750</v>
      </c>
      <c r="AB99" s="13">
        <v>1</v>
      </c>
      <c r="AC99" s="13">
        <f>SUMIF(Tableau_Liste_UO[[Code UO]:[Code UO]],Tableau_Liste_KPI[[#This Row],[Code UO]], Tableau_Liste_UO[RAF])</f>
        <v>0</v>
      </c>
      <c r="AD99" s="13" t="e">
        <f>SUMIF(Tableau_Liste_UO[[Code UO]:[Code UO]],Tableau_Liste_KPI[[#This Row],[Code UO]], #REF!)</f>
        <v>#REF!</v>
      </c>
      <c r="AE99" s="34" t="s">
        <v>225</v>
      </c>
      <c r="AF99" s="34" t="s">
        <v>225</v>
      </c>
      <c r="AG99" s="34" t="s">
        <v>225</v>
      </c>
      <c r="AH99" s="34"/>
      <c r="AI99" s="35" t="e">
        <f>IF(Tableau_Liste_KPI[[#This Row],[Charge commandée]]="","",IF(Tableau_Liste_KPI[[#This Row],[Total]]&gt;Tableau_Liste_KPI[[#This Row],[Charge commandée]],"KO",""))</f>
        <v>#REF!</v>
      </c>
      <c r="AJ99" s="35" t="e">
        <f>IF(Tableau_Liste_KPI[[#This Row],[KPI Charges]]="KO",Tableau_Liste_KPI[[#This Row],[Charge commandée]]-Tableau_Liste_KPI[[#This Row],[Total]],"")</f>
        <v>#REF!</v>
      </c>
    </row>
    <row r="100" spans="1:36" ht="12" x14ac:dyDescent="0.2">
      <c r="A100" s="12" t="s">
        <v>227</v>
      </c>
      <c r="B100" s="12" t="s">
        <v>426</v>
      </c>
      <c r="C100" s="12" t="s">
        <v>259</v>
      </c>
      <c r="D100" s="12" t="s">
        <v>33</v>
      </c>
      <c r="E100" s="12" t="s">
        <v>99</v>
      </c>
      <c r="F100" s="12" t="s">
        <v>225</v>
      </c>
      <c r="G100" s="12" t="s">
        <v>714</v>
      </c>
      <c r="H100" s="6">
        <v>43013.738194444442</v>
      </c>
      <c r="I100" s="6">
        <v>43013.739479166667</v>
      </c>
      <c r="J100" s="6">
        <v>43041.396736111114</v>
      </c>
      <c r="K100" s="69">
        <v>43048.712083333332</v>
      </c>
      <c r="L100" s="13" t="s">
        <v>225</v>
      </c>
      <c r="M100" s="13">
        <v>2</v>
      </c>
      <c r="N100" s="13">
        <v>1</v>
      </c>
      <c r="O100" s="12">
        <v>16</v>
      </c>
      <c r="P100" s="13">
        <v>5</v>
      </c>
      <c r="Q100" s="13">
        <v>3</v>
      </c>
      <c r="R100" s="33" t="s">
        <v>225</v>
      </c>
      <c r="S100" s="33" t="s">
        <v>225</v>
      </c>
      <c r="T100" s="33">
        <v>43019.737500000003</v>
      </c>
      <c r="U100" s="33">
        <v>43021.381944444445</v>
      </c>
      <c r="V100" s="33">
        <v>43054.538888888892</v>
      </c>
      <c r="W100" s="33" t="s">
        <v>703</v>
      </c>
      <c r="X100" s="33" t="s">
        <v>694</v>
      </c>
      <c r="Y100" s="33" t="s">
        <v>225</v>
      </c>
      <c r="Z100" s="33" t="s">
        <v>225</v>
      </c>
      <c r="AA100" s="13">
        <v>635</v>
      </c>
      <c r="AB100" s="13">
        <v>0.7</v>
      </c>
      <c r="AC100" s="13">
        <f>SUMIF(Tableau_Liste_UO[[Code UO]:[Code UO]],Tableau_Liste_KPI[[#This Row],[Code UO]], Tableau_Liste_UO[RAF])</f>
        <v>0</v>
      </c>
      <c r="AD100" s="13" t="e">
        <f>SUMIF(Tableau_Liste_UO[[Code UO]:[Code UO]],Tableau_Liste_KPI[[#This Row],[Code UO]], #REF!)</f>
        <v>#REF!</v>
      </c>
      <c r="AE100" s="34" t="s">
        <v>225</v>
      </c>
      <c r="AF100" s="34" t="s">
        <v>225</v>
      </c>
      <c r="AG100" s="34" t="s">
        <v>225</v>
      </c>
      <c r="AH100" s="34"/>
      <c r="AI100" s="35" t="e">
        <f>IF(Tableau_Liste_KPI[[#This Row],[Charge commandée]]="","",IF(Tableau_Liste_KPI[[#This Row],[Total]]&gt;Tableau_Liste_KPI[[#This Row],[Charge commandée]],"KO",""))</f>
        <v>#REF!</v>
      </c>
      <c r="AJ100" s="35" t="e">
        <f>IF(Tableau_Liste_KPI[[#This Row],[KPI Charges]]="KO",Tableau_Liste_KPI[[#This Row],[Charge commandée]]-Tableau_Liste_KPI[[#This Row],[Total]],"")</f>
        <v>#REF!</v>
      </c>
    </row>
    <row r="101" spans="1:36" ht="12" x14ac:dyDescent="0.2">
      <c r="A101" s="12" t="s">
        <v>228</v>
      </c>
      <c r="B101" s="12" t="s">
        <v>405</v>
      </c>
      <c r="C101" s="12" t="s">
        <v>259</v>
      </c>
      <c r="D101" s="12" t="s">
        <v>33</v>
      </c>
      <c r="E101" s="12" t="s">
        <v>544</v>
      </c>
      <c r="F101" s="12" t="s">
        <v>34</v>
      </c>
      <c r="G101" s="12" t="s">
        <v>701</v>
      </c>
      <c r="H101" s="6">
        <v>43013.717361111114</v>
      </c>
      <c r="I101" s="6">
        <v>43013.717997685184</v>
      </c>
      <c r="J101" s="6" t="s">
        <v>225</v>
      </c>
      <c r="K101" s="69">
        <v>43024.472905092596</v>
      </c>
      <c r="L101" s="13" t="s">
        <v>225</v>
      </c>
      <c r="M101" s="13">
        <v>2</v>
      </c>
      <c r="N101" s="13">
        <v>6</v>
      </c>
      <c r="O101" s="12">
        <v>0</v>
      </c>
      <c r="P101" s="13" t="s">
        <v>225</v>
      </c>
      <c r="Q101" s="13">
        <v>8</v>
      </c>
      <c r="R101" s="33" t="s">
        <v>225</v>
      </c>
      <c r="S101" s="33" t="s">
        <v>225</v>
      </c>
      <c r="T101" s="33" t="s">
        <v>225</v>
      </c>
      <c r="U101" s="33" t="s">
        <v>225</v>
      </c>
      <c r="V101" s="33" t="s">
        <v>225</v>
      </c>
      <c r="W101" s="33" t="s">
        <v>703</v>
      </c>
      <c r="X101" s="33" t="s">
        <v>703</v>
      </c>
      <c r="Y101" s="33">
        <v>43039.717361111114</v>
      </c>
      <c r="Z101" s="33">
        <v>43039.717361111114</v>
      </c>
      <c r="AA101" s="13">
        <v>1500</v>
      </c>
      <c r="AB101" s="13">
        <v>2</v>
      </c>
      <c r="AC101" s="13">
        <f>SUMIF(Tableau_Liste_UO[[Code UO]:[Code UO]],Tableau_Liste_KPI[[#This Row],[Code UO]], Tableau_Liste_UO[RAF])</f>
        <v>0</v>
      </c>
      <c r="AD101" s="13" t="e">
        <f>SUMIF(Tableau_Liste_UO[[Code UO]:[Code UO]],Tableau_Liste_KPI[[#This Row],[Code UO]], #REF!)</f>
        <v>#REF!</v>
      </c>
      <c r="AE101" s="34" t="s">
        <v>225</v>
      </c>
      <c r="AF101" s="34" t="s">
        <v>225</v>
      </c>
      <c r="AG101" s="34" t="s">
        <v>225</v>
      </c>
      <c r="AH101" s="34"/>
      <c r="AI101" s="35" t="e">
        <f>IF(Tableau_Liste_KPI[[#This Row],[Charge commandée]]="","",IF(Tableau_Liste_KPI[[#This Row],[Total]]&gt;Tableau_Liste_KPI[[#This Row],[Charge commandée]],"KO",""))</f>
        <v>#REF!</v>
      </c>
      <c r="AJ101" s="35" t="e">
        <f>IF(Tableau_Liste_KPI[[#This Row],[KPI Charges]]="KO",Tableau_Liste_KPI[[#This Row],[Charge commandée]]-Tableau_Liste_KPI[[#This Row],[Total]],"")</f>
        <v>#REF!</v>
      </c>
    </row>
    <row r="102" spans="1:36" ht="12" x14ac:dyDescent="0.2">
      <c r="A102" s="12" t="s">
        <v>229</v>
      </c>
      <c r="B102" s="12" t="s">
        <v>425</v>
      </c>
      <c r="C102" s="12" t="s">
        <v>281</v>
      </c>
      <c r="D102" s="12" t="s">
        <v>33</v>
      </c>
      <c r="E102" s="12" t="s">
        <v>544</v>
      </c>
      <c r="F102" s="12" t="s">
        <v>34</v>
      </c>
      <c r="G102" s="12" t="s">
        <v>701</v>
      </c>
      <c r="H102" s="6">
        <v>43013.712500000001</v>
      </c>
      <c r="I102" s="6">
        <v>43013.717164351852</v>
      </c>
      <c r="J102" s="6" t="s">
        <v>225</v>
      </c>
      <c r="K102" s="69" t="s">
        <v>225</v>
      </c>
      <c r="L102" s="13" t="s">
        <v>225</v>
      </c>
      <c r="M102" s="13">
        <v>3</v>
      </c>
      <c r="N102" s="13">
        <v>53</v>
      </c>
      <c r="O102" s="12">
        <v>0</v>
      </c>
      <c r="P102" s="13" t="s">
        <v>225</v>
      </c>
      <c r="Q102" s="13">
        <v>56</v>
      </c>
      <c r="R102" s="33" t="s">
        <v>225</v>
      </c>
      <c r="S102" s="33" t="s">
        <v>225</v>
      </c>
      <c r="T102" s="33" t="s">
        <v>225</v>
      </c>
      <c r="U102" s="33" t="s">
        <v>225</v>
      </c>
      <c r="V102" s="33" t="s">
        <v>225</v>
      </c>
      <c r="W102" s="33" t="s">
        <v>703</v>
      </c>
      <c r="X102" s="33" t="s">
        <v>225</v>
      </c>
      <c r="Y102" s="33">
        <v>43111.716666666667</v>
      </c>
      <c r="Z102" s="33">
        <v>43111.716666666667</v>
      </c>
      <c r="AA102" s="13">
        <v>3750</v>
      </c>
      <c r="AB102" s="13">
        <v>5</v>
      </c>
      <c r="AC102" s="13">
        <f>SUMIF(Tableau_Liste_UO[[Code UO]:[Code UO]],Tableau_Liste_KPI[[#This Row],[Code UO]], Tableau_Liste_UO[RAF])</f>
        <v>0</v>
      </c>
      <c r="AD102" s="13" t="e">
        <f>SUMIF(Tableau_Liste_UO[[Code UO]:[Code UO]],Tableau_Liste_KPI[[#This Row],[Code UO]], #REF!)</f>
        <v>#REF!</v>
      </c>
      <c r="AE102" s="34" t="s">
        <v>225</v>
      </c>
      <c r="AF102" s="34" t="s">
        <v>225</v>
      </c>
      <c r="AG102" s="34" t="s">
        <v>225</v>
      </c>
      <c r="AH102" s="34"/>
      <c r="AI102" s="35" t="e">
        <f>IF(Tableau_Liste_KPI[[#This Row],[Charge commandée]]="","",IF(Tableau_Liste_KPI[[#This Row],[Total]]&gt;Tableau_Liste_KPI[[#This Row],[Charge commandée]],"KO",""))</f>
        <v>#REF!</v>
      </c>
      <c r="AJ102" s="35" t="e">
        <f>IF(Tableau_Liste_KPI[[#This Row],[KPI Charges]]="KO",Tableau_Liste_KPI[[#This Row],[Charge commandée]]-Tableau_Liste_KPI[[#This Row],[Total]],"")</f>
        <v>#REF!</v>
      </c>
    </row>
    <row r="103" spans="1:36" ht="12" x14ac:dyDescent="0.2">
      <c r="A103" s="12" t="s">
        <v>230</v>
      </c>
      <c r="B103" s="12" t="s">
        <v>423</v>
      </c>
      <c r="C103" s="12" t="s">
        <v>656</v>
      </c>
      <c r="D103" s="12" t="s">
        <v>37</v>
      </c>
      <c r="E103" s="12" t="s">
        <v>540</v>
      </c>
      <c r="F103" s="12" t="s">
        <v>192</v>
      </c>
      <c r="G103" s="12" t="s">
        <v>695</v>
      </c>
      <c r="H103" s="6">
        <v>43013.656944444447</v>
      </c>
      <c r="I103" s="6">
        <v>43013.65730324074</v>
      </c>
      <c r="J103" s="6" t="s">
        <v>225</v>
      </c>
      <c r="K103" s="69" t="s">
        <v>225</v>
      </c>
      <c r="L103" s="13" t="s">
        <v>225</v>
      </c>
      <c r="M103" s="13">
        <v>15</v>
      </c>
      <c r="N103" s="13">
        <v>4</v>
      </c>
      <c r="O103" s="12">
        <v>36</v>
      </c>
      <c r="P103" s="13" t="s">
        <v>225</v>
      </c>
      <c r="Q103" s="13">
        <v>19</v>
      </c>
      <c r="R103" s="33">
        <v>15</v>
      </c>
      <c r="S103" s="33">
        <v>25</v>
      </c>
      <c r="T103" s="33">
        <v>43035.65347222222</v>
      </c>
      <c r="U103" s="33">
        <v>43063.672222222223</v>
      </c>
      <c r="V103" s="33" t="s">
        <v>225</v>
      </c>
      <c r="W103" s="33" t="s">
        <v>703</v>
      </c>
      <c r="X103" s="33" t="s">
        <v>225</v>
      </c>
      <c r="Y103" s="33">
        <v>43087</v>
      </c>
      <c r="Z103" s="33">
        <v>43109</v>
      </c>
      <c r="AA103" s="13">
        <v>7874</v>
      </c>
      <c r="AB103" s="13">
        <v>9.6</v>
      </c>
      <c r="AC103" s="13">
        <f>SUMIF(Tableau_Liste_UO[[Code UO]:[Code UO]],Tableau_Liste_KPI[[#This Row],[Code UO]], Tableau_Liste_UO[RAF])</f>
        <v>0</v>
      </c>
      <c r="AD103" s="13" t="e">
        <f>SUMIF(Tableau_Liste_UO[[Code UO]:[Code UO]],Tableau_Liste_KPI[[#This Row],[Code UO]], #REF!)</f>
        <v>#REF!</v>
      </c>
      <c r="AE103" s="34" t="s">
        <v>721</v>
      </c>
      <c r="AF103" s="34" t="s">
        <v>225</v>
      </c>
      <c r="AG103" s="34" t="s">
        <v>225</v>
      </c>
      <c r="AH103" s="34"/>
      <c r="AI103" s="35" t="e">
        <f>IF(Tableau_Liste_KPI[[#This Row],[Charge commandée]]="","",IF(Tableau_Liste_KPI[[#This Row],[Total]]&gt;Tableau_Liste_KPI[[#This Row],[Charge commandée]],"KO",""))</f>
        <v>#REF!</v>
      </c>
      <c r="AJ103" s="35" t="e">
        <f>IF(Tableau_Liste_KPI[[#This Row],[KPI Charges]]="KO",Tableau_Liste_KPI[[#This Row],[Charge commandée]]-Tableau_Liste_KPI[[#This Row],[Total]],"")</f>
        <v>#REF!</v>
      </c>
    </row>
    <row r="104" spans="1:36" ht="12" x14ac:dyDescent="0.2">
      <c r="A104" s="12" t="s">
        <v>422</v>
      </c>
      <c r="B104" s="12" t="s">
        <v>365</v>
      </c>
      <c r="C104" s="12" t="s">
        <v>309</v>
      </c>
      <c r="D104" s="12" t="s">
        <v>37</v>
      </c>
      <c r="E104" s="12" t="s">
        <v>539</v>
      </c>
      <c r="F104" s="12" t="s">
        <v>192</v>
      </c>
      <c r="G104" s="12" t="s">
        <v>713</v>
      </c>
      <c r="H104" s="6">
        <v>43013.512499999997</v>
      </c>
      <c r="I104" s="6" t="s">
        <v>225</v>
      </c>
      <c r="J104" s="6" t="s">
        <v>225</v>
      </c>
      <c r="K104" s="69" t="s">
        <v>225</v>
      </c>
      <c r="L104" s="13">
        <v>77.48750000000291</v>
      </c>
      <c r="M104" s="13">
        <v>0</v>
      </c>
      <c r="N104" s="13">
        <v>0</v>
      </c>
      <c r="O104" s="12">
        <v>0</v>
      </c>
      <c r="P104" s="13" t="s">
        <v>225</v>
      </c>
      <c r="Q104" s="13" t="s">
        <v>225</v>
      </c>
      <c r="R104" s="33">
        <v>25</v>
      </c>
      <c r="S104" s="33">
        <v>40</v>
      </c>
      <c r="T104" s="33">
        <v>43047.469444444447</v>
      </c>
      <c r="U104" s="33" t="s">
        <v>225</v>
      </c>
      <c r="V104" s="33" t="s">
        <v>225</v>
      </c>
      <c r="W104" s="33" t="s">
        <v>225</v>
      </c>
      <c r="X104" s="33" t="s">
        <v>225</v>
      </c>
      <c r="Y104" s="33" t="s">
        <v>225</v>
      </c>
      <c r="Z104" s="33" t="s">
        <v>225</v>
      </c>
      <c r="AA104" s="13">
        <v>9752</v>
      </c>
      <c r="AB104" s="13">
        <v>12.6</v>
      </c>
      <c r="AC104" s="13">
        <f>SUMIF(Tableau_Liste_UO[[Code UO]:[Code UO]],Tableau_Liste_KPI[[#This Row],[Code UO]], Tableau_Liste_UO[RAF])</f>
        <v>0</v>
      </c>
      <c r="AD104" s="13" t="e">
        <f>SUMIF(Tableau_Liste_UO[[Code UO]:[Code UO]],Tableau_Liste_KPI[[#This Row],[Code UO]], #REF!)</f>
        <v>#REF!</v>
      </c>
      <c r="AE104" s="34" t="s">
        <v>225</v>
      </c>
      <c r="AF104" s="34" t="s">
        <v>225</v>
      </c>
      <c r="AG104" s="34" t="s">
        <v>225</v>
      </c>
      <c r="AH104" s="34"/>
      <c r="AI104" s="35" t="e">
        <f>IF(Tableau_Liste_KPI[[#This Row],[Charge commandée]]="","",IF(Tableau_Liste_KPI[[#This Row],[Total]]&gt;Tableau_Liste_KPI[[#This Row],[Charge commandée]],"KO",""))</f>
        <v>#REF!</v>
      </c>
      <c r="AJ104" s="35" t="e">
        <f>IF(Tableau_Liste_KPI[[#This Row],[KPI Charges]]="KO",Tableau_Liste_KPI[[#This Row],[Charge commandée]]-Tableau_Liste_KPI[[#This Row],[Total]],"")</f>
        <v>#REF!</v>
      </c>
    </row>
    <row r="105" spans="1:36" ht="12" x14ac:dyDescent="0.2">
      <c r="A105" s="12" t="s">
        <v>420</v>
      </c>
      <c r="B105" s="12" t="s">
        <v>421</v>
      </c>
      <c r="C105" s="12" t="s">
        <v>174</v>
      </c>
      <c r="D105" s="12" t="s">
        <v>37</v>
      </c>
      <c r="E105" s="12" t="s">
        <v>724</v>
      </c>
      <c r="F105" s="12" t="s">
        <v>192</v>
      </c>
      <c r="G105" s="12" t="s">
        <v>725</v>
      </c>
      <c r="H105" s="6">
        <v>43013.506249999999</v>
      </c>
      <c r="I105" s="6">
        <v>43052.461539351854</v>
      </c>
      <c r="J105" s="6">
        <v>43083.732997685183</v>
      </c>
      <c r="K105" s="69" t="s">
        <v>225</v>
      </c>
      <c r="L105" s="13" t="s">
        <v>225</v>
      </c>
      <c r="M105" s="13">
        <v>0</v>
      </c>
      <c r="N105" s="13">
        <v>20</v>
      </c>
      <c r="O105" s="12">
        <v>3</v>
      </c>
      <c r="P105" s="13">
        <v>6</v>
      </c>
      <c r="Q105" s="13">
        <v>20</v>
      </c>
      <c r="R105" s="33" t="s">
        <v>225</v>
      </c>
      <c r="S105" s="33" t="s">
        <v>225</v>
      </c>
      <c r="T105" s="33">
        <v>43068.505555555559</v>
      </c>
      <c r="U105" s="33">
        <v>43077.472222222219</v>
      </c>
      <c r="V105" s="33" t="s">
        <v>225</v>
      </c>
      <c r="W105" s="33" t="s">
        <v>694</v>
      </c>
      <c r="X105" s="33" t="s">
        <v>225</v>
      </c>
      <c r="Y105" s="33" t="s">
        <v>225</v>
      </c>
      <c r="Z105" s="33" t="s">
        <v>225</v>
      </c>
      <c r="AA105" s="13" t="s">
        <v>225</v>
      </c>
      <c r="AB105" s="13" t="s">
        <v>225</v>
      </c>
      <c r="AC105" s="13">
        <f>SUMIF(Tableau_Liste_UO[[Code UO]:[Code UO]],Tableau_Liste_KPI[[#This Row],[Code UO]], Tableau_Liste_UO[RAF])</f>
        <v>0</v>
      </c>
      <c r="AD105" s="13" t="e">
        <f>SUMIF(Tableau_Liste_UO[[Code UO]:[Code UO]],Tableau_Liste_KPI[[#This Row],[Code UO]], #REF!)</f>
        <v>#REF!</v>
      </c>
      <c r="AE105" s="34" t="s">
        <v>225</v>
      </c>
      <c r="AF105" s="34" t="s">
        <v>225</v>
      </c>
      <c r="AG105" s="34" t="s">
        <v>225</v>
      </c>
      <c r="AH105" s="34"/>
      <c r="AI105" s="35" t="str">
        <f>IF(Tableau_Liste_KPI[[#This Row],[Charge commandée]]="","",IF(Tableau_Liste_KPI[[#This Row],[Total]]&gt;Tableau_Liste_KPI[[#This Row],[Charge commandée]],"KO",""))</f>
        <v/>
      </c>
      <c r="AJ105" s="35" t="str">
        <f>IF(Tableau_Liste_KPI[[#This Row],[KPI Charges]]="KO",Tableau_Liste_KPI[[#This Row],[Charge commandée]]-Tableau_Liste_KPI[[#This Row],[Total]],"")</f>
        <v/>
      </c>
    </row>
    <row r="106" spans="1:36" ht="12" x14ac:dyDescent="0.2">
      <c r="A106" s="55" t="s">
        <v>231</v>
      </c>
      <c r="B106" s="21" t="s">
        <v>419</v>
      </c>
      <c r="C106" s="12" t="s">
        <v>259</v>
      </c>
      <c r="D106" s="21" t="s">
        <v>37</v>
      </c>
      <c r="E106" s="21" t="s">
        <v>544</v>
      </c>
      <c r="F106" s="21" t="s">
        <v>34</v>
      </c>
      <c r="G106" s="21" t="s">
        <v>702</v>
      </c>
      <c r="H106" s="22">
        <v>43012.669444444444</v>
      </c>
      <c r="I106" s="22">
        <v>43012.67119212963</v>
      </c>
      <c r="J106" s="22" t="s">
        <v>225</v>
      </c>
      <c r="K106" s="70">
        <v>43063.688043981485</v>
      </c>
      <c r="L106" s="23" t="s">
        <v>225</v>
      </c>
      <c r="M106" s="23">
        <v>3</v>
      </c>
      <c r="N106" s="23">
        <v>34</v>
      </c>
      <c r="O106" s="21">
        <v>0</v>
      </c>
      <c r="P106" s="23" t="s">
        <v>225</v>
      </c>
      <c r="Q106" s="23">
        <v>37</v>
      </c>
      <c r="R106" s="36" t="s">
        <v>225</v>
      </c>
      <c r="S106" s="36" t="s">
        <v>225</v>
      </c>
      <c r="T106" s="36" t="s">
        <v>225</v>
      </c>
      <c r="U106" s="36" t="s">
        <v>225</v>
      </c>
      <c r="V106" s="36" t="s">
        <v>225</v>
      </c>
      <c r="W106" s="36" t="s">
        <v>703</v>
      </c>
      <c r="X106" s="36" t="s">
        <v>694</v>
      </c>
      <c r="Y106" s="36">
        <v>43018.666666666664</v>
      </c>
      <c r="Z106" s="36">
        <v>43018.666666666664</v>
      </c>
      <c r="AA106" s="23">
        <v>1500</v>
      </c>
      <c r="AB106" s="23">
        <v>2</v>
      </c>
      <c r="AC106" s="23">
        <f>SUMIF(Tableau_Liste_UO[[Code UO]:[Code UO]],Tableau_Liste_KPI[[#This Row],[Code UO]], Tableau_Liste_UO[RAF])</f>
        <v>0</v>
      </c>
      <c r="AD106" s="23" t="e">
        <f>SUMIF(Tableau_Liste_UO[[Code UO]:[Code UO]],Tableau_Liste_KPI[[#This Row],[Code UO]], #REF!)</f>
        <v>#REF!</v>
      </c>
      <c r="AE106" s="37" t="s">
        <v>225</v>
      </c>
      <c r="AF106" s="37" t="s">
        <v>225</v>
      </c>
      <c r="AG106" s="37" t="s">
        <v>225</v>
      </c>
      <c r="AH106" s="37"/>
      <c r="AI106" s="38" t="e">
        <f>IF(Tableau_Liste_KPI[[#This Row],[Charge commandée]]="","",IF(Tableau_Liste_KPI[[#This Row],[Total]]&gt;Tableau_Liste_KPI[[#This Row],[Charge commandée]],"KO",""))</f>
        <v>#REF!</v>
      </c>
      <c r="AJ106" s="38" t="e">
        <f>IF(Tableau_Liste_KPI[[#This Row],[KPI Charges]]="KO",Tableau_Liste_KPI[[#This Row],[Charge commandée]]-Tableau_Liste_KPI[[#This Row],[Total]],"")</f>
        <v>#REF!</v>
      </c>
    </row>
    <row r="107" spans="1:36" ht="12" x14ac:dyDescent="0.2">
      <c r="A107" s="12" t="s">
        <v>232</v>
      </c>
      <c r="B107" s="12" t="s">
        <v>577</v>
      </c>
      <c r="C107" s="12" t="s">
        <v>281</v>
      </c>
      <c r="D107" s="12" t="s">
        <v>37</v>
      </c>
      <c r="E107" s="12" t="s">
        <v>540</v>
      </c>
      <c r="F107" s="12" t="s">
        <v>34</v>
      </c>
      <c r="G107" s="12" t="s">
        <v>691</v>
      </c>
      <c r="H107" s="6">
        <v>43010.823611111111</v>
      </c>
      <c r="I107" s="6">
        <v>43010.825972222221</v>
      </c>
      <c r="J107" s="6" t="s">
        <v>225</v>
      </c>
      <c r="K107" s="69" t="s">
        <v>225</v>
      </c>
      <c r="L107" s="13" t="s">
        <v>225</v>
      </c>
      <c r="M107" s="13">
        <v>4</v>
      </c>
      <c r="N107" s="13">
        <v>17</v>
      </c>
      <c r="O107" s="12">
        <v>37</v>
      </c>
      <c r="P107" s="13" t="s">
        <v>225</v>
      </c>
      <c r="Q107" s="13">
        <v>21</v>
      </c>
      <c r="R107" s="33">
        <v>30</v>
      </c>
      <c r="S107" s="33">
        <v>40</v>
      </c>
      <c r="T107" s="33">
        <v>43025.405555555553</v>
      </c>
      <c r="U107" s="33">
        <v>43027.563888888886</v>
      </c>
      <c r="V107" s="33">
        <v>43053.661805555559</v>
      </c>
      <c r="W107" s="33" t="s">
        <v>703</v>
      </c>
      <c r="X107" s="33" t="s">
        <v>225</v>
      </c>
      <c r="Y107" s="33">
        <v>43112</v>
      </c>
      <c r="Z107" s="33">
        <v>43126</v>
      </c>
      <c r="AA107" s="13">
        <v>11544</v>
      </c>
      <c r="AB107" s="13">
        <v>14.2</v>
      </c>
      <c r="AC107" s="13">
        <f>SUMIF(Tableau_Liste_UO[[Code UO]:[Code UO]],Tableau_Liste_KPI[[#This Row],[Code UO]], Tableau_Liste_UO[RAF])</f>
        <v>0</v>
      </c>
      <c r="AD107" s="13" t="e">
        <f>SUMIF(Tableau_Liste_UO[[Code UO]:[Code UO]],Tableau_Liste_KPI[[#This Row],[Code UO]], #REF!)</f>
        <v>#REF!</v>
      </c>
      <c r="AE107" s="34" t="s">
        <v>225</v>
      </c>
      <c r="AF107" s="34" t="s">
        <v>225</v>
      </c>
      <c r="AG107" s="34" t="s">
        <v>721</v>
      </c>
      <c r="AH107" s="34"/>
      <c r="AI107" s="35" t="e">
        <f>IF(Tableau_Liste_KPI[[#This Row],[Charge commandée]]="","",IF(Tableau_Liste_KPI[[#This Row],[Total]]&gt;Tableau_Liste_KPI[[#This Row],[Charge commandée]],"KO",""))</f>
        <v>#REF!</v>
      </c>
      <c r="AJ107" s="35" t="e">
        <f>IF(Tableau_Liste_KPI[[#This Row],[KPI Charges]]="KO",Tableau_Liste_KPI[[#This Row],[Charge commandée]]-Tableau_Liste_KPI[[#This Row],[Total]],"")</f>
        <v>#REF!</v>
      </c>
    </row>
    <row r="108" spans="1:36" ht="12" x14ac:dyDescent="0.2">
      <c r="A108" s="25" t="s">
        <v>417</v>
      </c>
      <c r="B108" s="25" t="s">
        <v>418</v>
      </c>
      <c r="C108" s="12" t="s">
        <v>281</v>
      </c>
      <c r="D108" s="25" t="s">
        <v>37</v>
      </c>
      <c r="E108" s="25" t="s">
        <v>544</v>
      </c>
      <c r="F108" s="25" t="s">
        <v>34</v>
      </c>
      <c r="G108" s="25" t="s">
        <v>702</v>
      </c>
      <c r="H108" s="24">
        <v>43010.629166666666</v>
      </c>
      <c r="I108" s="24">
        <v>43026.724537037036</v>
      </c>
      <c r="J108" s="24" t="s">
        <v>225</v>
      </c>
      <c r="K108" s="71" t="s">
        <v>225</v>
      </c>
      <c r="L108" s="26" t="s">
        <v>225</v>
      </c>
      <c r="M108" s="26">
        <v>0</v>
      </c>
      <c r="N108" s="26">
        <v>46</v>
      </c>
      <c r="O108" s="25">
        <v>0</v>
      </c>
      <c r="P108" s="26" t="s">
        <v>225</v>
      </c>
      <c r="Q108" s="26">
        <v>46</v>
      </c>
      <c r="R108" s="39" t="s">
        <v>225</v>
      </c>
      <c r="S108" s="39" t="s">
        <v>225</v>
      </c>
      <c r="T108" s="39">
        <v>43011.626388888886</v>
      </c>
      <c r="U108" s="39" t="s">
        <v>225</v>
      </c>
      <c r="V108" s="39" t="s">
        <v>225</v>
      </c>
      <c r="W108" s="39" t="s">
        <v>703</v>
      </c>
      <c r="X108" s="39" t="s">
        <v>225</v>
      </c>
      <c r="Y108" s="39">
        <v>43039.724305555559</v>
      </c>
      <c r="Z108" s="39">
        <v>43039.724305555559</v>
      </c>
      <c r="AA108" s="26">
        <v>2250</v>
      </c>
      <c r="AB108" s="26">
        <v>3</v>
      </c>
      <c r="AC108" s="26">
        <f>SUMIF(Tableau_Liste_UO[[Code UO]:[Code UO]],Tableau_Liste_KPI[[#This Row],[Code UO]], Tableau_Liste_UO[RAF])</f>
        <v>0</v>
      </c>
      <c r="AD108" s="26" t="e">
        <f>SUMIF(Tableau_Liste_UO[[Code UO]:[Code UO]],Tableau_Liste_KPI[[#This Row],[Code UO]], #REF!)</f>
        <v>#REF!</v>
      </c>
      <c r="AE108" s="40" t="s">
        <v>225</v>
      </c>
      <c r="AF108" s="40" t="s">
        <v>225</v>
      </c>
      <c r="AG108" s="40" t="s">
        <v>225</v>
      </c>
      <c r="AH108" s="40"/>
      <c r="AI108" s="41" t="e">
        <f>IF(Tableau_Liste_KPI[[#This Row],[Charge commandée]]="","",IF(Tableau_Liste_KPI[[#This Row],[Total]]&gt;Tableau_Liste_KPI[[#This Row],[Charge commandée]],"KO",""))</f>
        <v>#REF!</v>
      </c>
      <c r="AJ108" s="41" t="e">
        <f>IF(Tableau_Liste_KPI[[#This Row],[KPI Charges]]="KO",Tableau_Liste_KPI[[#This Row],[Charge commandée]]-Tableau_Liste_KPI[[#This Row],[Total]],"")</f>
        <v>#REF!</v>
      </c>
    </row>
    <row r="109" spans="1:36" ht="12" x14ac:dyDescent="0.2">
      <c r="A109" s="12" t="s">
        <v>233</v>
      </c>
      <c r="B109" s="12" t="s">
        <v>416</v>
      </c>
      <c r="C109" s="12" t="s">
        <v>259</v>
      </c>
      <c r="D109" s="12" t="s">
        <v>37</v>
      </c>
      <c r="E109" s="12" t="s">
        <v>544</v>
      </c>
      <c r="F109" s="12" t="s">
        <v>34</v>
      </c>
      <c r="G109" s="12" t="s">
        <v>702</v>
      </c>
      <c r="H109" s="6">
        <v>43010.57708333333</v>
      </c>
      <c r="I109" s="6">
        <v>43010.582314814812</v>
      </c>
      <c r="J109" s="6" t="s">
        <v>225</v>
      </c>
      <c r="K109" s="69">
        <v>43027.537557870368</v>
      </c>
      <c r="L109" s="13" t="s">
        <v>225</v>
      </c>
      <c r="M109" s="13">
        <v>0</v>
      </c>
      <c r="N109" s="13">
        <v>13</v>
      </c>
      <c r="O109" s="12">
        <v>0</v>
      </c>
      <c r="P109" s="13" t="s">
        <v>225</v>
      </c>
      <c r="Q109" s="13">
        <v>13</v>
      </c>
      <c r="R109" s="33" t="s">
        <v>225</v>
      </c>
      <c r="S109" s="33" t="s">
        <v>225</v>
      </c>
      <c r="T109" s="33" t="s">
        <v>225</v>
      </c>
      <c r="U109" s="33" t="s">
        <v>225</v>
      </c>
      <c r="V109" s="33" t="s">
        <v>225</v>
      </c>
      <c r="W109" s="33" t="s">
        <v>703</v>
      </c>
      <c r="X109" s="33" t="s">
        <v>703</v>
      </c>
      <c r="Y109" s="33">
        <v>43011.575694444444</v>
      </c>
      <c r="Z109" s="33">
        <v>43011.575694444444</v>
      </c>
      <c r="AA109" s="13">
        <v>1500</v>
      </c>
      <c r="AB109" s="13">
        <v>2</v>
      </c>
      <c r="AC109" s="13">
        <f>SUMIF(Tableau_Liste_UO[[Code UO]:[Code UO]],Tableau_Liste_KPI[[#This Row],[Code UO]], Tableau_Liste_UO[RAF])</f>
        <v>0</v>
      </c>
      <c r="AD109" s="13" t="e">
        <f>SUMIF(Tableau_Liste_UO[[Code UO]:[Code UO]],Tableau_Liste_KPI[[#This Row],[Code UO]], #REF!)</f>
        <v>#REF!</v>
      </c>
      <c r="AE109" s="34" t="s">
        <v>225</v>
      </c>
      <c r="AF109" s="34" t="s">
        <v>225</v>
      </c>
      <c r="AG109" s="34" t="s">
        <v>225</v>
      </c>
      <c r="AH109" s="34"/>
      <c r="AI109" s="35" t="e">
        <f>IF(Tableau_Liste_KPI[[#This Row],[Charge commandée]]="","",IF(Tableau_Liste_KPI[[#This Row],[Total]]&gt;Tableau_Liste_KPI[[#This Row],[Charge commandée]],"KO",""))</f>
        <v>#REF!</v>
      </c>
      <c r="AJ109" s="35" t="e">
        <f>IF(Tableau_Liste_KPI[[#This Row],[KPI Charges]]="KO",Tableau_Liste_KPI[[#This Row],[Charge commandée]]-Tableau_Liste_KPI[[#This Row],[Total]],"")</f>
        <v>#REF!</v>
      </c>
    </row>
    <row r="110" spans="1:36" ht="12" x14ac:dyDescent="0.2">
      <c r="A110" s="12" t="s">
        <v>218</v>
      </c>
      <c r="B110" s="12" t="s">
        <v>415</v>
      </c>
      <c r="C110" s="12" t="s">
        <v>259</v>
      </c>
      <c r="D110" s="12" t="s">
        <v>33</v>
      </c>
      <c r="E110" s="12" t="s">
        <v>544</v>
      </c>
      <c r="F110" s="12" t="s">
        <v>34</v>
      </c>
      <c r="G110" s="12" t="s">
        <v>701</v>
      </c>
      <c r="H110" s="6">
        <v>43006.417361111111</v>
      </c>
      <c r="I110" s="6">
        <v>43006.418854166666</v>
      </c>
      <c r="J110" s="6" t="s">
        <v>225</v>
      </c>
      <c r="K110" s="69">
        <v>43048.683738425927</v>
      </c>
      <c r="L110" s="13" t="s">
        <v>225</v>
      </c>
      <c r="M110" s="13">
        <v>4</v>
      </c>
      <c r="N110" s="13">
        <v>26</v>
      </c>
      <c r="O110" s="12">
        <v>0</v>
      </c>
      <c r="P110" s="13" t="s">
        <v>225</v>
      </c>
      <c r="Q110" s="13">
        <v>30</v>
      </c>
      <c r="R110" s="33" t="s">
        <v>225</v>
      </c>
      <c r="S110" s="33" t="s">
        <v>225</v>
      </c>
      <c r="T110" s="33" t="s">
        <v>225</v>
      </c>
      <c r="U110" s="33" t="s">
        <v>225</v>
      </c>
      <c r="V110" s="33" t="s">
        <v>225</v>
      </c>
      <c r="W110" s="33" t="s">
        <v>690</v>
      </c>
      <c r="X110" s="33" t="s">
        <v>694</v>
      </c>
      <c r="Y110" s="33">
        <v>43028.415972222225</v>
      </c>
      <c r="Z110" s="33">
        <v>43028.415972222225</v>
      </c>
      <c r="AA110" s="13">
        <v>1500</v>
      </c>
      <c r="AB110" s="13">
        <v>2</v>
      </c>
      <c r="AC110" s="13">
        <f>SUMIF(Tableau_Liste_UO[[Code UO]:[Code UO]],Tableau_Liste_KPI[[#This Row],[Code UO]], Tableau_Liste_UO[RAF])</f>
        <v>0</v>
      </c>
      <c r="AD110" s="13" t="e">
        <f>SUMIF(Tableau_Liste_UO[[Code UO]:[Code UO]],Tableau_Liste_KPI[[#This Row],[Code UO]], #REF!)</f>
        <v>#REF!</v>
      </c>
      <c r="AE110" s="34" t="s">
        <v>225</v>
      </c>
      <c r="AF110" s="34" t="s">
        <v>225</v>
      </c>
      <c r="AG110" s="34" t="s">
        <v>225</v>
      </c>
      <c r="AH110" s="34"/>
      <c r="AI110" s="35" t="e">
        <f>IF(Tableau_Liste_KPI[[#This Row],[Charge commandée]]="","",IF(Tableau_Liste_KPI[[#This Row],[Total]]&gt;Tableau_Liste_KPI[[#This Row],[Charge commandée]],"KO",""))</f>
        <v>#REF!</v>
      </c>
      <c r="AJ110" s="35" t="e">
        <f>IF(Tableau_Liste_KPI[[#This Row],[KPI Charges]]="KO",Tableau_Liste_KPI[[#This Row],[Charge commandée]]-Tableau_Liste_KPI[[#This Row],[Total]],"")</f>
        <v>#REF!</v>
      </c>
    </row>
    <row r="111" spans="1:36" ht="12" x14ac:dyDescent="0.2">
      <c r="A111" s="12" t="s">
        <v>219</v>
      </c>
      <c r="B111" s="12" t="s">
        <v>578</v>
      </c>
      <c r="C111" s="12" t="s">
        <v>259</v>
      </c>
      <c r="D111" s="12" t="s">
        <v>33</v>
      </c>
      <c r="E111" s="12" t="s">
        <v>539</v>
      </c>
      <c r="F111" s="12" t="s">
        <v>34</v>
      </c>
      <c r="G111" s="12" t="s">
        <v>699</v>
      </c>
      <c r="H111" s="6">
        <v>43003.59097222222</v>
      </c>
      <c r="I111" s="6">
        <v>43003.591180555559</v>
      </c>
      <c r="J111" s="6">
        <v>43026.553726851853</v>
      </c>
      <c r="K111" s="69">
        <v>43027.471307870372</v>
      </c>
      <c r="L111" s="13" t="s">
        <v>225</v>
      </c>
      <c r="M111" s="13">
        <v>7</v>
      </c>
      <c r="N111" s="13">
        <v>2</v>
      </c>
      <c r="O111" s="12">
        <v>8</v>
      </c>
      <c r="P111" s="13">
        <v>1</v>
      </c>
      <c r="Q111" s="13">
        <v>9</v>
      </c>
      <c r="R111" s="33">
        <v>8</v>
      </c>
      <c r="S111" s="33">
        <v>11</v>
      </c>
      <c r="T111" s="33" t="s">
        <v>225</v>
      </c>
      <c r="U111" s="33">
        <v>43013.732638888891</v>
      </c>
      <c r="V111" s="33">
        <v>43024.623611111114</v>
      </c>
      <c r="W111" s="33" t="s">
        <v>690</v>
      </c>
      <c r="X111" s="33" t="s">
        <v>703</v>
      </c>
      <c r="Y111" s="33">
        <v>43025</v>
      </c>
      <c r="Z111" s="33">
        <v>43028</v>
      </c>
      <c r="AA111" s="13">
        <v>3044</v>
      </c>
      <c r="AB111" s="13">
        <v>4</v>
      </c>
      <c r="AC111" s="13">
        <f>SUMIF(Tableau_Liste_UO[[Code UO]:[Code UO]],Tableau_Liste_KPI[[#This Row],[Code UO]], Tableau_Liste_UO[RAF])</f>
        <v>0</v>
      </c>
      <c r="AD111" s="13" t="e">
        <f>SUMIF(Tableau_Liste_UO[[Code UO]:[Code UO]],Tableau_Liste_KPI[[#This Row],[Code UO]], #REF!)</f>
        <v>#REF!</v>
      </c>
      <c r="AE111" s="34" t="s">
        <v>721</v>
      </c>
      <c r="AF111" s="34" t="s">
        <v>225</v>
      </c>
      <c r="AG111" s="34" t="s">
        <v>225</v>
      </c>
      <c r="AH111" s="34"/>
      <c r="AI111" s="35" t="e">
        <f>IF(Tableau_Liste_KPI[[#This Row],[Charge commandée]]="","",IF(Tableau_Liste_KPI[[#This Row],[Total]]&gt;Tableau_Liste_KPI[[#This Row],[Charge commandée]],"KO",""))</f>
        <v>#REF!</v>
      </c>
      <c r="AJ111" s="35" t="e">
        <f>IF(Tableau_Liste_KPI[[#This Row],[KPI Charges]]="KO",Tableau_Liste_KPI[[#This Row],[Charge commandée]]-Tableau_Liste_KPI[[#This Row],[Total]],"")</f>
        <v>#REF!</v>
      </c>
    </row>
    <row r="112" spans="1:36" ht="12" x14ac:dyDescent="0.2">
      <c r="A112" s="12" t="s">
        <v>413</v>
      </c>
      <c r="B112" s="12" t="s">
        <v>414</v>
      </c>
      <c r="C112" s="12" t="s">
        <v>309</v>
      </c>
      <c r="D112" s="12" t="s">
        <v>33</v>
      </c>
      <c r="E112" s="12" t="s">
        <v>44</v>
      </c>
      <c r="F112" s="12" t="s">
        <v>34</v>
      </c>
      <c r="G112" s="12" t="s">
        <v>689</v>
      </c>
      <c r="H112" s="6">
        <v>43003.589583333334</v>
      </c>
      <c r="I112" s="6" t="s">
        <v>225</v>
      </c>
      <c r="J112" s="6" t="s">
        <v>225</v>
      </c>
      <c r="K112" s="69" t="s">
        <v>225</v>
      </c>
      <c r="L112" s="13">
        <v>87.410416666665697</v>
      </c>
      <c r="M112" s="13">
        <v>0</v>
      </c>
      <c r="N112" s="13">
        <v>0</v>
      </c>
      <c r="O112" s="12">
        <v>0</v>
      </c>
      <c r="P112" s="13" t="s">
        <v>225</v>
      </c>
      <c r="Q112" s="13" t="s">
        <v>225</v>
      </c>
      <c r="R112" s="33">
        <v>10</v>
      </c>
      <c r="S112" s="33">
        <v>15</v>
      </c>
      <c r="T112" s="33" t="s">
        <v>225</v>
      </c>
      <c r="U112" s="33" t="s">
        <v>225</v>
      </c>
      <c r="V112" s="33" t="s">
        <v>225</v>
      </c>
      <c r="W112" s="33" t="s">
        <v>225</v>
      </c>
      <c r="X112" s="33" t="s">
        <v>225</v>
      </c>
      <c r="Y112" s="33" t="s">
        <v>225</v>
      </c>
      <c r="Z112" s="33" t="s">
        <v>225</v>
      </c>
      <c r="AA112" s="13">
        <v>912</v>
      </c>
      <c r="AB112" s="13">
        <v>1</v>
      </c>
      <c r="AC112" s="13">
        <f>SUMIF(Tableau_Liste_UO[[Code UO]:[Code UO]],Tableau_Liste_KPI[[#This Row],[Code UO]], Tableau_Liste_UO[RAF])</f>
        <v>0</v>
      </c>
      <c r="AD112" s="13" t="e">
        <f>SUMIF(Tableau_Liste_UO[[Code UO]:[Code UO]],Tableau_Liste_KPI[[#This Row],[Code UO]], #REF!)</f>
        <v>#REF!</v>
      </c>
      <c r="AE112" s="34" t="s">
        <v>225</v>
      </c>
      <c r="AF112" s="34" t="s">
        <v>225</v>
      </c>
      <c r="AG112" s="34" t="s">
        <v>225</v>
      </c>
      <c r="AH112" s="34"/>
      <c r="AI112" s="35" t="e">
        <f>IF(Tableau_Liste_KPI[[#This Row],[Charge commandée]]="","",IF(Tableau_Liste_KPI[[#This Row],[Total]]&gt;Tableau_Liste_KPI[[#This Row],[Charge commandée]],"KO",""))</f>
        <v>#REF!</v>
      </c>
      <c r="AJ112" s="35" t="e">
        <f>IF(Tableau_Liste_KPI[[#This Row],[KPI Charges]]="KO",Tableau_Liste_KPI[[#This Row],[Charge commandée]]-Tableau_Liste_KPI[[#This Row],[Total]],"")</f>
        <v>#REF!</v>
      </c>
    </row>
    <row r="113" spans="1:36" ht="12" x14ac:dyDescent="0.2">
      <c r="A113" s="12" t="s">
        <v>238</v>
      </c>
      <c r="B113" s="12" t="s">
        <v>579</v>
      </c>
      <c r="C113" s="12" t="s">
        <v>656</v>
      </c>
      <c r="D113" s="12" t="s">
        <v>33</v>
      </c>
      <c r="E113" s="12" t="s">
        <v>539</v>
      </c>
      <c r="F113" s="12" t="s">
        <v>34</v>
      </c>
      <c r="G113" s="12" t="s">
        <v>699</v>
      </c>
      <c r="H113" s="6">
        <v>43003.588888888888</v>
      </c>
      <c r="I113" s="6">
        <v>43019.452766203707</v>
      </c>
      <c r="J113" s="6" t="s">
        <v>225</v>
      </c>
      <c r="K113" s="69" t="s">
        <v>225</v>
      </c>
      <c r="L113" s="13" t="s">
        <v>225</v>
      </c>
      <c r="M113" s="13">
        <v>4</v>
      </c>
      <c r="N113" s="13">
        <v>-1</v>
      </c>
      <c r="O113" s="12">
        <v>48</v>
      </c>
      <c r="P113" s="13" t="s">
        <v>225</v>
      </c>
      <c r="Q113" s="13">
        <v>3</v>
      </c>
      <c r="R113" s="33">
        <v>8</v>
      </c>
      <c r="S113" s="33">
        <v>11</v>
      </c>
      <c r="T113" s="33" t="s">
        <v>225</v>
      </c>
      <c r="U113" s="33">
        <v>43031.515277777777</v>
      </c>
      <c r="V113" s="33">
        <v>43069.556250000001</v>
      </c>
      <c r="W113" s="33" t="s">
        <v>703</v>
      </c>
      <c r="X113" s="33" t="s">
        <v>225</v>
      </c>
      <c r="Y113" s="33">
        <v>43108</v>
      </c>
      <c r="Z113" s="33">
        <v>43111</v>
      </c>
      <c r="AA113" s="13">
        <v>3044</v>
      </c>
      <c r="AB113" s="13">
        <v>4</v>
      </c>
      <c r="AC113" s="13">
        <f>SUMIF(Tableau_Liste_UO[[Code UO]:[Code UO]],Tableau_Liste_KPI[[#This Row],[Code UO]], Tableau_Liste_UO[RAF])</f>
        <v>0</v>
      </c>
      <c r="AD113" s="13" t="e">
        <f>SUMIF(Tableau_Liste_UO[[Code UO]:[Code UO]],Tableau_Liste_KPI[[#This Row],[Code UO]], #REF!)</f>
        <v>#REF!</v>
      </c>
      <c r="AE113" s="34" t="s">
        <v>225</v>
      </c>
      <c r="AF113" s="34" t="s">
        <v>225</v>
      </c>
      <c r="AG113" s="34" t="s">
        <v>721</v>
      </c>
      <c r="AH113" s="34"/>
      <c r="AI113" s="35" t="e">
        <f>IF(Tableau_Liste_KPI[[#This Row],[Charge commandée]]="","",IF(Tableau_Liste_KPI[[#This Row],[Total]]&gt;Tableau_Liste_KPI[[#This Row],[Charge commandée]],"KO",""))</f>
        <v>#REF!</v>
      </c>
      <c r="AJ113" s="35" t="e">
        <f>IF(Tableau_Liste_KPI[[#This Row],[KPI Charges]]="KO",Tableau_Liste_KPI[[#This Row],[Charge commandée]]-Tableau_Liste_KPI[[#This Row],[Total]],"")</f>
        <v>#REF!</v>
      </c>
    </row>
    <row r="114" spans="1:36" ht="12" x14ac:dyDescent="0.2">
      <c r="A114" s="12" t="s">
        <v>220</v>
      </c>
      <c r="B114" s="12" t="s">
        <v>580</v>
      </c>
      <c r="C114" s="12" t="s">
        <v>656</v>
      </c>
      <c r="D114" s="12" t="s">
        <v>33</v>
      </c>
      <c r="E114" s="12" t="s">
        <v>538</v>
      </c>
      <c r="F114" s="12" t="s">
        <v>34</v>
      </c>
      <c r="G114" s="12" t="s">
        <v>686</v>
      </c>
      <c r="H114" s="6">
        <v>43003.588194444441</v>
      </c>
      <c r="I114" s="6">
        <v>43003.589050925926</v>
      </c>
      <c r="J114" s="6" t="s">
        <v>225</v>
      </c>
      <c r="K114" s="69" t="s">
        <v>225</v>
      </c>
      <c r="L114" s="13" t="s">
        <v>225</v>
      </c>
      <c r="M114" s="13">
        <v>7</v>
      </c>
      <c r="N114" s="13">
        <v>27</v>
      </c>
      <c r="O114" s="12">
        <v>30</v>
      </c>
      <c r="P114" s="13" t="s">
        <v>225</v>
      </c>
      <c r="Q114" s="13">
        <v>34</v>
      </c>
      <c r="R114" s="33">
        <v>16</v>
      </c>
      <c r="S114" s="33">
        <v>24</v>
      </c>
      <c r="T114" s="33" t="s">
        <v>225</v>
      </c>
      <c r="U114" s="33">
        <v>43025.636805555558</v>
      </c>
      <c r="V114" s="33">
        <v>43089.551388888889</v>
      </c>
      <c r="W114" s="33" t="s">
        <v>690</v>
      </c>
      <c r="X114" s="33" t="s">
        <v>225</v>
      </c>
      <c r="Y114" s="33">
        <v>43068</v>
      </c>
      <c r="Z114" s="33">
        <v>43080</v>
      </c>
      <c r="AA114" s="13">
        <v>6088</v>
      </c>
      <c r="AB114" s="13">
        <v>8.1</v>
      </c>
      <c r="AC114" s="13">
        <f>SUMIF(Tableau_Liste_UO[[Code UO]:[Code UO]],Tableau_Liste_KPI[[#This Row],[Code UO]], Tableau_Liste_UO[RAF])</f>
        <v>0</v>
      </c>
      <c r="AD114" s="13" t="e">
        <f>SUMIF(Tableau_Liste_UO[[Code UO]:[Code UO]],Tableau_Liste_KPI[[#This Row],[Code UO]], #REF!)</f>
        <v>#REF!</v>
      </c>
      <c r="AE114" s="34" t="s">
        <v>721</v>
      </c>
      <c r="AF114" s="34" t="s">
        <v>721</v>
      </c>
      <c r="AG114" s="34" t="s">
        <v>721</v>
      </c>
      <c r="AH114" s="34"/>
      <c r="AI114" s="35" t="e">
        <f>IF(Tableau_Liste_KPI[[#This Row],[Charge commandée]]="","",IF(Tableau_Liste_KPI[[#This Row],[Total]]&gt;Tableau_Liste_KPI[[#This Row],[Charge commandée]],"KO",""))</f>
        <v>#REF!</v>
      </c>
      <c r="AJ114" s="35" t="e">
        <f>IF(Tableau_Liste_KPI[[#This Row],[KPI Charges]]="KO",Tableau_Liste_KPI[[#This Row],[Charge commandée]]-Tableau_Liste_KPI[[#This Row],[Total]],"")</f>
        <v>#REF!</v>
      </c>
    </row>
    <row r="115" spans="1:36" ht="12" x14ac:dyDescent="0.2">
      <c r="A115" s="12" t="s">
        <v>221</v>
      </c>
      <c r="B115" s="12" t="s">
        <v>412</v>
      </c>
      <c r="C115" s="12" t="s">
        <v>259</v>
      </c>
      <c r="D115" s="12" t="s">
        <v>37</v>
      </c>
      <c r="E115" s="12" t="s">
        <v>540</v>
      </c>
      <c r="F115" s="12" t="s">
        <v>43</v>
      </c>
      <c r="G115" s="12" t="s">
        <v>693</v>
      </c>
      <c r="H115" s="6">
        <v>43000.644444444442</v>
      </c>
      <c r="I115" s="6">
        <v>43000.646111111113</v>
      </c>
      <c r="J115" s="6">
        <v>43020.718032407407</v>
      </c>
      <c r="K115" s="69">
        <v>43031.76221064815</v>
      </c>
      <c r="L115" s="13" t="s">
        <v>225</v>
      </c>
      <c r="M115" s="13">
        <v>2</v>
      </c>
      <c r="N115" s="13">
        <v>10</v>
      </c>
      <c r="O115" s="12">
        <v>2</v>
      </c>
      <c r="P115" s="13">
        <v>6</v>
      </c>
      <c r="Q115" s="13">
        <v>12</v>
      </c>
      <c r="R115" s="33">
        <v>7</v>
      </c>
      <c r="S115" s="33">
        <v>10</v>
      </c>
      <c r="T115" s="33">
        <v>43006.643750000003</v>
      </c>
      <c r="U115" s="33">
        <v>43007.630555555559</v>
      </c>
      <c r="V115" s="33">
        <v>43026.45208333333</v>
      </c>
      <c r="W115" s="33" t="s">
        <v>690</v>
      </c>
      <c r="X115" s="33" t="s">
        <v>703</v>
      </c>
      <c r="Y115" s="33">
        <v>43013</v>
      </c>
      <c r="Z115" s="33">
        <v>43018</v>
      </c>
      <c r="AA115" s="13">
        <v>4127</v>
      </c>
      <c r="AB115" s="13">
        <v>5.0999999999999996</v>
      </c>
      <c r="AC115" s="13">
        <f>SUMIF(Tableau_Liste_UO[[Code UO]:[Code UO]],Tableau_Liste_KPI[[#This Row],[Code UO]], Tableau_Liste_UO[RAF])</f>
        <v>0</v>
      </c>
      <c r="AD115" s="13" t="e">
        <f>SUMIF(Tableau_Liste_UO[[Code UO]:[Code UO]],Tableau_Liste_KPI[[#This Row],[Code UO]], #REF!)</f>
        <v>#REF!</v>
      </c>
      <c r="AE115" s="34" t="s">
        <v>721</v>
      </c>
      <c r="AF115" s="34" t="s">
        <v>721</v>
      </c>
      <c r="AG115" s="34" t="s">
        <v>225</v>
      </c>
      <c r="AH115" s="34"/>
      <c r="AI115" s="35" t="e">
        <f>IF(Tableau_Liste_KPI[[#This Row],[Charge commandée]]="","",IF(Tableau_Liste_KPI[[#This Row],[Total]]&gt;Tableau_Liste_KPI[[#This Row],[Charge commandée]],"KO",""))</f>
        <v>#REF!</v>
      </c>
      <c r="AJ115" s="35" t="e">
        <f>IF(Tableau_Liste_KPI[[#This Row],[KPI Charges]]="KO",Tableau_Liste_KPI[[#This Row],[Charge commandée]]-Tableau_Liste_KPI[[#This Row],[Total]],"")</f>
        <v>#REF!</v>
      </c>
    </row>
    <row r="116" spans="1:36" ht="12" x14ac:dyDescent="0.2">
      <c r="A116" s="12" t="s">
        <v>185</v>
      </c>
      <c r="B116" s="12" t="s">
        <v>292</v>
      </c>
      <c r="C116" s="12" t="s">
        <v>656</v>
      </c>
      <c r="D116" s="12" t="s">
        <v>37</v>
      </c>
      <c r="E116" s="12" t="s">
        <v>539</v>
      </c>
      <c r="F116" s="12" t="s">
        <v>114</v>
      </c>
      <c r="G116" s="12" t="s">
        <v>712</v>
      </c>
      <c r="H116" s="6">
        <v>42999.56527777778</v>
      </c>
      <c r="I116" s="6">
        <v>42999.566076388888</v>
      </c>
      <c r="J116" s="6" t="s">
        <v>225</v>
      </c>
      <c r="K116" s="69" t="s">
        <v>225</v>
      </c>
      <c r="L116" s="13" t="s">
        <v>225</v>
      </c>
      <c r="M116" s="13">
        <v>0</v>
      </c>
      <c r="N116" s="13">
        <v>36</v>
      </c>
      <c r="O116" s="12">
        <v>29</v>
      </c>
      <c r="P116" s="13" t="s">
        <v>225</v>
      </c>
      <c r="Q116" s="13">
        <v>36</v>
      </c>
      <c r="R116" s="33">
        <v>95</v>
      </c>
      <c r="S116" s="33">
        <v>110</v>
      </c>
      <c r="T116" s="33">
        <v>43388.56527777778</v>
      </c>
      <c r="U116" s="33">
        <v>43103.635416666664</v>
      </c>
      <c r="V116" s="33">
        <v>43073.648611111108</v>
      </c>
      <c r="W116" s="33" t="s">
        <v>690</v>
      </c>
      <c r="X116" s="33" t="s">
        <v>225</v>
      </c>
      <c r="Y116" s="33">
        <v>43182</v>
      </c>
      <c r="Z116" s="33">
        <v>43206</v>
      </c>
      <c r="AA116" s="13">
        <v>31180</v>
      </c>
      <c r="AB116" s="13">
        <v>40.4</v>
      </c>
      <c r="AC116" s="13">
        <f>SUMIF(Tableau_Liste_UO[[Code UO]:[Code UO]],Tableau_Liste_KPI[[#This Row],[Code UO]], Tableau_Liste_UO[RAF])</f>
        <v>0</v>
      </c>
      <c r="AD116" s="13" t="e">
        <f>SUMIF(Tableau_Liste_UO[[Code UO]:[Code UO]],Tableau_Liste_KPI[[#This Row],[Code UO]], #REF!)</f>
        <v>#REF!</v>
      </c>
      <c r="AE116" s="34" t="s">
        <v>225</v>
      </c>
      <c r="AF116" s="34" t="s">
        <v>225</v>
      </c>
      <c r="AG116" s="34" t="s">
        <v>721</v>
      </c>
      <c r="AH116" s="34"/>
      <c r="AI116" s="35" t="e">
        <f>IF(Tableau_Liste_KPI[[#This Row],[Charge commandée]]="","",IF(Tableau_Liste_KPI[[#This Row],[Total]]&gt;Tableau_Liste_KPI[[#This Row],[Charge commandée]],"KO",""))</f>
        <v>#REF!</v>
      </c>
      <c r="AJ116" s="35" t="e">
        <f>IF(Tableau_Liste_KPI[[#This Row],[KPI Charges]]="KO",Tableau_Liste_KPI[[#This Row],[Charge commandée]]-Tableau_Liste_KPI[[#This Row],[Total]],"")</f>
        <v>#REF!</v>
      </c>
    </row>
    <row r="117" spans="1:36" ht="12" x14ac:dyDescent="0.2">
      <c r="A117" s="12" t="s">
        <v>186</v>
      </c>
      <c r="B117" s="12" t="s">
        <v>411</v>
      </c>
      <c r="C117" s="12" t="s">
        <v>173</v>
      </c>
      <c r="D117" s="12" t="s">
        <v>37</v>
      </c>
      <c r="E117" s="12" t="s">
        <v>63</v>
      </c>
      <c r="F117" s="12" t="s">
        <v>43</v>
      </c>
      <c r="G117" s="12" t="s">
        <v>700</v>
      </c>
      <c r="H117" s="6">
        <v>42998.45416666667</v>
      </c>
      <c r="I117" s="6">
        <v>42998.455289351848</v>
      </c>
      <c r="J117" s="6" t="s">
        <v>225</v>
      </c>
      <c r="K117" s="69" t="s">
        <v>225</v>
      </c>
      <c r="L117" s="13" t="s">
        <v>225</v>
      </c>
      <c r="M117" s="13">
        <v>4</v>
      </c>
      <c r="N117" s="13">
        <v>8</v>
      </c>
      <c r="O117" s="12">
        <v>0</v>
      </c>
      <c r="P117" s="13" t="s">
        <v>225</v>
      </c>
      <c r="Q117" s="13">
        <v>12</v>
      </c>
      <c r="R117" s="33">
        <v>2</v>
      </c>
      <c r="S117" s="33">
        <v>5</v>
      </c>
      <c r="T117" s="33">
        <v>43005.453472222223</v>
      </c>
      <c r="U117" s="33">
        <v>43006.663888888892</v>
      </c>
      <c r="V117" s="33" t="s">
        <v>225</v>
      </c>
      <c r="W117" s="33" t="s">
        <v>690</v>
      </c>
      <c r="X117" s="33" t="s">
        <v>225</v>
      </c>
      <c r="Y117" s="33">
        <v>43000</v>
      </c>
      <c r="Z117" s="33">
        <v>43005</v>
      </c>
      <c r="AA117" s="13">
        <v>825</v>
      </c>
      <c r="AB117" s="13">
        <v>1</v>
      </c>
      <c r="AC117" s="13">
        <f>SUMIF(Tableau_Liste_UO[[Code UO]:[Code UO]],Tableau_Liste_KPI[[#This Row],[Code UO]], Tableau_Liste_UO[RAF])</f>
        <v>0</v>
      </c>
      <c r="AD117" s="13" t="e">
        <f>SUMIF(Tableau_Liste_UO[[Code UO]:[Code UO]],Tableau_Liste_KPI[[#This Row],[Code UO]], #REF!)</f>
        <v>#REF!</v>
      </c>
      <c r="AE117" s="34" t="s">
        <v>721</v>
      </c>
      <c r="AF117" s="34" t="s">
        <v>721</v>
      </c>
      <c r="AG117" s="34" t="s">
        <v>225</v>
      </c>
      <c r="AH117" s="34"/>
      <c r="AI117" s="35" t="e">
        <f>IF(Tableau_Liste_KPI[[#This Row],[Charge commandée]]="","",IF(Tableau_Liste_KPI[[#This Row],[Total]]&gt;Tableau_Liste_KPI[[#This Row],[Charge commandée]],"KO",""))</f>
        <v>#REF!</v>
      </c>
      <c r="AJ117" s="35" t="e">
        <f>IF(Tableau_Liste_KPI[[#This Row],[KPI Charges]]="KO",Tableau_Liste_KPI[[#This Row],[Charge commandée]]-Tableau_Liste_KPI[[#This Row],[Total]],"")</f>
        <v>#REF!</v>
      </c>
    </row>
    <row r="118" spans="1:36" ht="12" x14ac:dyDescent="0.2">
      <c r="A118" s="21" t="s">
        <v>187</v>
      </c>
      <c r="B118" s="21" t="s">
        <v>581</v>
      </c>
      <c r="C118" s="12" t="s">
        <v>259</v>
      </c>
      <c r="D118" s="21" t="s">
        <v>33</v>
      </c>
      <c r="E118" s="21" t="s">
        <v>544</v>
      </c>
      <c r="F118" s="21" t="s">
        <v>34</v>
      </c>
      <c r="G118" s="21" t="s">
        <v>701</v>
      </c>
      <c r="H118" s="22">
        <v>42997.565972222219</v>
      </c>
      <c r="I118" s="22">
        <v>42997.566828703704</v>
      </c>
      <c r="J118" s="22" t="s">
        <v>225</v>
      </c>
      <c r="K118" s="70">
        <v>43020.724189814813</v>
      </c>
      <c r="L118" s="23" t="s">
        <v>225</v>
      </c>
      <c r="M118" s="23">
        <v>0</v>
      </c>
      <c r="N118" s="23">
        <v>17</v>
      </c>
      <c r="O118" s="21">
        <v>0</v>
      </c>
      <c r="P118" s="23" t="s">
        <v>225</v>
      </c>
      <c r="Q118" s="23">
        <v>17</v>
      </c>
      <c r="R118" s="36" t="s">
        <v>225</v>
      </c>
      <c r="S118" s="36" t="s">
        <v>225</v>
      </c>
      <c r="T118" s="36" t="s">
        <v>225</v>
      </c>
      <c r="U118" s="36" t="s">
        <v>225</v>
      </c>
      <c r="V118" s="36" t="s">
        <v>225</v>
      </c>
      <c r="W118" s="36" t="s">
        <v>690</v>
      </c>
      <c r="X118" s="36" t="s">
        <v>703</v>
      </c>
      <c r="Y118" s="36">
        <v>43011</v>
      </c>
      <c r="Z118" s="36">
        <v>43011</v>
      </c>
      <c r="AA118" s="23">
        <v>1500</v>
      </c>
      <c r="AB118" s="23">
        <v>2</v>
      </c>
      <c r="AC118" s="23">
        <f>SUMIF(Tableau_Liste_UO[[Code UO]:[Code UO]],Tableau_Liste_KPI[[#This Row],[Code UO]], Tableau_Liste_UO[RAF])</f>
        <v>0</v>
      </c>
      <c r="AD118" s="23" t="e">
        <f>SUMIF(Tableau_Liste_UO[[Code UO]:[Code UO]],Tableau_Liste_KPI[[#This Row],[Code UO]], #REF!)</f>
        <v>#REF!</v>
      </c>
      <c r="AE118" s="37" t="s">
        <v>225</v>
      </c>
      <c r="AF118" s="37" t="s">
        <v>225</v>
      </c>
      <c r="AG118" s="37" t="s">
        <v>225</v>
      </c>
      <c r="AH118" s="37"/>
      <c r="AI118" s="38" t="e">
        <f>IF(Tableau_Liste_KPI[[#This Row],[Charge commandée]]="","",IF(Tableau_Liste_KPI[[#This Row],[Total]]&gt;Tableau_Liste_KPI[[#This Row],[Charge commandée]],"KO",""))</f>
        <v>#REF!</v>
      </c>
      <c r="AJ118" s="38" t="e">
        <f>IF(Tableau_Liste_KPI[[#This Row],[KPI Charges]]="KO",Tableau_Liste_KPI[[#This Row],[Charge commandée]]-Tableau_Liste_KPI[[#This Row],[Total]],"")</f>
        <v>#REF!</v>
      </c>
    </row>
    <row r="119" spans="1:36" ht="12" x14ac:dyDescent="0.2">
      <c r="A119" s="55" t="s">
        <v>188</v>
      </c>
      <c r="B119" s="21" t="s">
        <v>410</v>
      </c>
      <c r="C119" s="12" t="s">
        <v>259</v>
      </c>
      <c r="D119" s="21" t="s">
        <v>37</v>
      </c>
      <c r="E119" s="21" t="s">
        <v>544</v>
      </c>
      <c r="F119" s="21" t="s">
        <v>34</v>
      </c>
      <c r="G119" s="21" t="s">
        <v>702</v>
      </c>
      <c r="H119" s="22">
        <v>42993.633333333331</v>
      </c>
      <c r="I119" s="22">
        <v>42993.634166666663</v>
      </c>
      <c r="J119" s="22" t="s">
        <v>225</v>
      </c>
      <c r="K119" s="70">
        <v>43063.594502314816</v>
      </c>
      <c r="L119" s="23" t="s">
        <v>225</v>
      </c>
      <c r="M119" s="23">
        <v>0</v>
      </c>
      <c r="N119" s="23">
        <v>49</v>
      </c>
      <c r="O119" s="21">
        <v>0</v>
      </c>
      <c r="P119" s="23" t="s">
        <v>225</v>
      </c>
      <c r="Q119" s="23">
        <v>49</v>
      </c>
      <c r="R119" s="36" t="s">
        <v>225</v>
      </c>
      <c r="S119" s="36" t="s">
        <v>225</v>
      </c>
      <c r="T119" s="36" t="s">
        <v>225</v>
      </c>
      <c r="U119" s="36" t="s">
        <v>225</v>
      </c>
      <c r="V119" s="36" t="s">
        <v>225</v>
      </c>
      <c r="W119" s="36" t="s">
        <v>690</v>
      </c>
      <c r="X119" s="36" t="s">
        <v>694</v>
      </c>
      <c r="Y119" s="36">
        <v>43013.632638888892</v>
      </c>
      <c r="Z119" s="36">
        <v>43013.632638888892</v>
      </c>
      <c r="AA119" s="23">
        <v>2250</v>
      </c>
      <c r="AB119" s="23">
        <v>3</v>
      </c>
      <c r="AC119" s="23">
        <f>SUMIF(Tableau_Liste_UO[[Code UO]:[Code UO]],Tableau_Liste_KPI[[#This Row],[Code UO]], Tableau_Liste_UO[RAF])</f>
        <v>0</v>
      </c>
      <c r="AD119" s="23" t="e">
        <f>SUMIF(Tableau_Liste_UO[[Code UO]:[Code UO]],Tableau_Liste_KPI[[#This Row],[Code UO]], #REF!)</f>
        <v>#REF!</v>
      </c>
      <c r="AE119" s="37" t="s">
        <v>225</v>
      </c>
      <c r="AF119" s="37" t="s">
        <v>225</v>
      </c>
      <c r="AG119" s="37" t="s">
        <v>225</v>
      </c>
      <c r="AH119" s="37"/>
      <c r="AI119" s="38" t="e">
        <f>IF(Tableau_Liste_KPI[[#This Row],[Charge commandée]]="","",IF(Tableau_Liste_KPI[[#This Row],[Total]]&gt;Tableau_Liste_KPI[[#This Row],[Charge commandée]],"KO",""))</f>
        <v>#REF!</v>
      </c>
      <c r="AJ119" s="38" t="e">
        <f>IF(Tableau_Liste_KPI[[#This Row],[KPI Charges]]="KO",Tableau_Liste_KPI[[#This Row],[Charge commandée]]-Tableau_Liste_KPI[[#This Row],[Total]],"")</f>
        <v>#REF!</v>
      </c>
    </row>
    <row r="120" spans="1:36" ht="12" x14ac:dyDescent="0.2">
      <c r="A120" s="12" t="s">
        <v>189</v>
      </c>
      <c r="B120" s="12" t="s">
        <v>582</v>
      </c>
      <c r="C120" s="12" t="s">
        <v>281</v>
      </c>
      <c r="D120" s="12" t="s">
        <v>37</v>
      </c>
      <c r="E120" s="12" t="s">
        <v>544</v>
      </c>
      <c r="F120" s="12" t="s">
        <v>34</v>
      </c>
      <c r="G120" s="12" t="s">
        <v>702</v>
      </c>
      <c r="H120" s="6">
        <v>42993.510416666664</v>
      </c>
      <c r="I120" s="6">
        <v>42997.815196759257</v>
      </c>
      <c r="J120" s="6" t="s">
        <v>225</v>
      </c>
      <c r="K120" s="69" t="s">
        <v>225</v>
      </c>
      <c r="L120" s="13" t="s">
        <v>225</v>
      </c>
      <c r="M120" s="13">
        <v>3</v>
      </c>
      <c r="N120" s="13">
        <v>65</v>
      </c>
      <c r="O120" s="12">
        <v>0</v>
      </c>
      <c r="P120" s="13" t="s">
        <v>225</v>
      </c>
      <c r="Q120" s="13">
        <v>68</v>
      </c>
      <c r="R120" s="33" t="s">
        <v>225</v>
      </c>
      <c r="S120" s="33" t="s">
        <v>225</v>
      </c>
      <c r="T120" s="33" t="s">
        <v>225</v>
      </c>
      <c r="U120" s="33" t="s">
        <v>225</v>
      </c>
      <c r="V120" s="33" t="s">
        <v>225</v>
      </c>
      <c r="W120" s="33" t="s">
        <v>690</v>
      </c>
      <c r="X120" s="33" t="s">
        <v>225</v>
      </c>
      <c r="Y120" s="33">
        <v>43119.509722222225</v>
      </c>
      <c r="Z120" s="33">
        <v>43119.509722222225</v>
      </c>
      <c r="AA120" s="13">
        <v>6000</v>
      </c>
      <c r="AB120" s="13">
        <v>8</v>
      </c>
      <c r="AC120" s="13">
        <f>SUMIF(Tableau_Liste_UO[[Code UO]:[Code UO]],Tableau_Liste_KPI[[#This Row],[Code UO]], Tableau_Liste_UO[RAF])</f>
        <v>0</v>
      </c>
      <c r="AD120" s="13" t="e">
        <f>SUMIF(Tableau_Liste_UO[[Code UO]:[Code UO]],Tableau_Liste_KPI[[#This Row],[Code UO]], #REF!)</f>
        <v>#REF!</v>
      </c>
      <c r="AE120" s="34" t="s">
        <v>225</v>
      </c>
      <c r="AF120" s="34" t="s">
        <v>225</v>
      </c>
      <c r="AG120" s="34" t="s">
        <v>225</v>
      </c>
      <c r="AH120" s="34"/>
      <c r="AI120" s="35" t="e">
        <f>IF(Tableau_Liste_KPI[[#This Row],[Charge commandée]]="","",IF(Tableau_Liste_KPI[[#This Row],[Total]]&gt;Tableau_Liste_KPI[[#This Row],[Charge commandée]],"KO",""))</f>
        <v>#REF!</v>
      </c>
      <c r="AJ120" s="35" t="e">
        <f>IF(Tableau_Liste_KPI[[#This Row],[KPI Charges]]="KO",Tableau_Liste_KPI[[#This Row],[Charge commandée]]-Tableau_Liste_KPI[[#This Row],[Total]],"")</f>
        <v>#REF!</v>
      </c>
    </row>
    <row r="121" spans="1:36" ht="12" x14ac:dyDescent="0.2">
      <c r="A121" s="12" t="s">
        <v>190</v>
      </c>
      <c r="B121" s="12" t="s">
        <v>583</v>
      </c>
      <c r="C121" s="12" t="s">
        <v>259</v>
      </c>
      <c r="D121" s="12" t="s">
        <v>37</v>
      </c>
      <c r="E121" s="12" t="s">
        <v>544</v>
      </c>
      <c r="F121" s="12" t="s">
        <v>34</v>
      </c>
      <c r="G121" s="12" t="s">
        <v>702</v>
      </c>
      <c r="H121" s="6">
        <v>42993.45416666667</v>
      </c>
      <c r="I121" s="6">
        <v>42993.456111111111</v>
      </c>
      <c r="J121" s="6" t="s">
        <v>225</v>
      </c>
      <c r="K121" s="69">
        <v>42993.518043981479</v>
      </c>
      <c r="L121" s="13" t="s">
        <v>225</v>
      </c>
      <c r="M121" s="13">
        <v>0</v>
      </c>
      <c r="N121" s="13">
        <v>-1</v>
      </c>
      <c r="O121" s="12">
        <v>0</v>
      </c>
      <c r="P121" s="13" t="s">
        <v>225</v>
      </c>
      <c r="Q121" s="13">
        <v>-1</v>
      </c>
      <c r="R121" s="33" t="s">
        <v>225</v>
      </c>
      <c r="S121" s="33" t="s">
        <v>225</v>
      </c>
      <c r="T121" s="33" t="s">
        <v>225</v>
      </c>
      <c r="U121" s="33" t="s">
        <v>225</v>
      </c>
      <c r="V121" s="33" t="s">
        <v>225</v>
      </c>
      <c r="W121" s="33" t="s">
        <v>690</v>
      </c>
      <c r="X121" s="33" t="s">
        <v>690</v>
      </c>
      <c r="Y121" s="33">
        <v>42907.5</v>
      </c>
      <c r="Z121" s="33">
        <v>42907.5</v>
      </c>
      <c r="AA121" s="13">
        <v>7500</v>
      </c>
      <c r="AB121" s="13">
        <v>10</v>
      </c>
      <c r="AC121" s="13">
        <f>SUMIF(Tableau_Liste_UO[[Code UO]:[Code UO]],Tableau_Liste_KPI[[#This Row],[Code UO]], Tableau_Liste_UO[RAF])</f>
        <v>0</v>
      </c>
      <c r="AD121" s="13" t="e">
        <f>SUMIF(Tableau_Liste_UO[[Code UO]:[Code UO]],Tableau_Liste_KPI[[#This Row],[Code UO]], #REF!)</f>
        <v>#REF!</v>
      </c>
      <c r="AE121" s="34" t="s">
        <v>225</v>
      </c>
      <c r="AF121" s="34" t="s">
        <v>225</v>
      </c>
      <c r="AG121" s="34" t="s">
        <v>225</v>
      </c>
      <c r="AH121" s="34"/>
      <c r="AI121" s="35" t="e">
        <f>IF(Tableau_Liste_KPI[[#This Row],[Charge commandée]]="","",IF(Tableau_Liste_KPI[[#This Row],[Total]]&gt;Tableau_Liste_KPI[[#This Row],[Charge commandée]],"KO",""))</f>
        <v>#REF!</v>
      </c>
      <c r="AJ121" s="35" t="e">
        <f>IF(Tableau_Liste_KPI[[#This Row],[KPI Charges]]="KO",Tableau_Liste_KPI[[#This Row],[Charge commandée]]-Tableau_Liste_KPI[[#This Row],[Total]],"")</f>
        <v>#REF!</v>
      </c>
    </row>
    <row r="122" spans="1:36" ht="12" x14ac:dyDescent="0.2">
      <c r="A122" s="32" t="s">
        <v>191</v>
      </c>
      <c r="B122" s="12" t="s">
        <v>409</v>
      </c>
      <c r="C122" s="12" t="s">
        <v>259</v>
      </c>
      <c r="D122" s="12" t="s">
        <v>37</v>
      </c>
      <c r="E122" s="12" t="s">
        <v>63</v>
      </c>
      <c r="F122" s="12" t="s">
        <v>192</v>
      </c>
      <c r="G122" s="12" t="s">
        <v>710</v>
      </c>
      <c r="H122" s="6">
        <v>42993.410416666666</v>
      </c>
      <c r="I122" s="6">
        <v>42993.411504629628</v>
      </c>
      <c r="J122" s="6">
        <v>43061.729837962965</v>
      </c>
      <c r="K122" s="69">
        <v>43081.680115740739</v>
      </c>
      <c r="L122" s="13" t="s">
        <v>225</v>
      </c>
      <c r="M122" s="13">
        <v>11</v>
      </c>
      <c r="N122" s="13">
        <v>37</v>
      </c>
      <c r="O122" s="12">
        <v>0</v>
      </c>
      <c r="P122" s="13">
        <v>14</v>
      </c>
      <c r="Q122" s="13">
        <v>48</v>
      </c>
      <c r="R122" s="33">
        <v>4</v>
      </c>
      <c r="S122" s="33">
        <v>10</v>
      </c>
      <c r="T122" s="33">
        <v>43021.410416666666</v>
      </c>
      <c r="U122" s="33">
        <v>43020.609027777777</v>
      </c>
      <c r="V122" s="33">
        <v>43049.662499999999</v>
      </c>
      <c r="W122" s="33" t="s">
        <v>690</v>
      </c>
      <c r="X122" s="33" t="s">
        <v>707</v>
      </c>
      <c r="Y122" s="33">
        <v>42999</v>
      </c>
      <c r="Z122" s="33">
        <v>43007</v>
      </c>
      <c r="AA122" s="13">
        <v>3343</v>
      </c>
      <c r="AB122" s="13">
        <v>4.0999999999999996</v>
      </c>
      <c r="AC122" s="13">
        <f>SUMIF(Tableau_Liste_UO[[Code UO]:[Code UO]],Tableau_Liste_KPI[[#This Row],[Code UO]], Tableau_Liste_UO[RAF])</f>
        <v>0</v>
      </c>
      <c r="AD122" s="13" t="e">
        <f>SUMIF(Tableau_Liste_UO[[Code UO]:[Code UO]],Tableau_Liste_KPI[[#This Row],[Code UO]], #REF!)</f>
        <v>#REF!</v>
      </c>
      <c r="AE122" s="34" t="s">
        <v>721</v>
      </c>
      <c r="AF122" s="34" t="s">
        <v>721</v>
      </c>
      <c r="AG122" s="34" t="s">
        <v>225</v>
      </c>
      <c r="AH122" s="34"/>
      <c r="AI122" s="35" t="e">
        <f>IF(Tableau_Liste_KPI[[#This Row],[Charge commandée]]="","",IF(Tableau_Liste_KPI[[#This Row],[Total]]&gt;Tableau_Liste_KPI[[#This Row],[Charge commandée]],"KO",""))</f>
        <v>#REF!</v>
      </c>
      <c r="AJ122" s="35" t="e">
        <f>IF(Tableau_Liste_KPI[[#This Row],[KPI Charges]]="KO",Tableau_Liste_KPI[[#This Row],[Charge commandée]]-Tableau_Liste_KPI[[#This Row],[Total]],"")</f>
        <v>#REF!</v>
      </c>
    </row>
    <row r="123" spans="1:36" ht="12" x14ac:dyDescent="0.2">
      <c r="A123" s="55" t="s">
        <v>237</v>
      </c>
      <c r="B123" s="12" t="s">
        <v>408</v>
      </c>
      <c r="C123" s="12" t="s">
        <v>174</v>
      </c>
      <c r="D123" s="12" t="s">
        <v>33</v>
      </c>
      <c r="E123" s="12" t="s">
        <v>44</v>
      </c>
      <c r="F123" s="12" t="s">
        <v>43</v>
      </c>
      <c r="G123" s="12" t="s">
        <v>689</v>
      </c>
      <c r="H123" s="6">
        <v>42992.637499999997</v>
      </c>
      <c r="I123" s="6">
        <v>43020.774108796293</v>
      </c>
      <c r="J123" s="6">
        <v>43069.44736111111</v>
      </c>
      <c r="K123" s="69" t="s">
        <v>225</v>
      </c>
      <c r="L123" s="13" t="s">
        <v>225</v>
      </c>
      <c r="M123" s="13">
        <v>2</v>
      </c>
      <c r="N123" s="13">
        <v>3</v>
      </c>
      <c r="O123" s="12">
        <v>29</v>
      </c>
      <c r="P123" s="13">
        <v>16</v>
      </c>
      <c r="Q123" s="13">
        <v>5</v>
      </c>
      <c r="R123" s="33">
        <v>10</v>
      </c>
      <c r="S123" s="33">
        <v>15</v>
      </c>
      <c r="T123" s="33" t="s">
        <v>225</v>
      </c>
      <c r="U123" s="33">
        <v>43028.44027777778</v>
      </c>
      <c r="V123" s="33" t="s">
        <v>225</v>
      </c>
      <c r="W123" s="33" t="s">
        <v>703</v>
      </c>
      <c r="X123" s="33" t="s">
        <v>225</v>
      </c>
      <c r="Y123" s="33">
        <v>43076</v>
      </c>
      <c r="Z123" s="33">
        <v>43083</v>
      </c>
      <c r="AA123" s="13">
        <v>912</v>
      </c>
      <c r="AB123" s="13">
        <v>1</v>
      </c>
      <c r="AC123" s="13">
        <f>SUMIF(Tableau_Liste_UO[[Code UO]:[Code UO]],Tableau_Liste_KPI[[#This Row],[Code UO]], Tableau_Liste_UO[RAF])</f>
        <v>0</v>
      </c>
      <c r="AD123" s="13" t="e">
        <f>SUMIF(Tableau_Liste_UO[[Code UO]:[Code UO]],Tableau_Liste_KPI[[#This Row],[Code UO]], #REF!)</f>
        <v>#REF!</v>
      </c>
      <c r="AE123" s="34" t="s">
        <v>225</v>
      </c>
      <c r="AF123" s="34" t="s">
        <v>225</v>
      </c>
      <c r="AG123" s="34" t="s">
        <v>225</v>
      </c>
      <c r="AH123" s="34"/>
      <c r="AI123" s="35" t="e">
        <f>IF(Tableau_Liste_KPI[[#This Row],[Charge commandée]]="","",IF(Tableau_Liste_KPI[[#This Row],[Total]]&gt;Tableau_Liste_KPI[[#This Row],[Charge commandée]],"KO",""))</f>
        <v>#REF!</v>
      </c>
      <c r="AJ123" s="35" t="e">
        <f>IF(Tableau_Liste_KPI[[#This Row],[KPI Charges]]="KO",Tableau_Liste_KPI[[#This Row],[Charge commandée]]-Tableau_Liste_KPI[[#This Row],[Total]],"")</f>
        <v>#REF!</v>
      </c>
    </row>
    <row r="124" spans="1:36" ht="12" x14ac:dyDescent="0.2">
      <c r="A124" s="32" t="s">
        <v>236</v>
      </c>
      <c r="B124" s="12" t="s">
        <v>584</v>
      </c>
      <c r="C124" s="12" t="s">
        <v>259</v>
      </c>
      <c r="D124" s="12" t="s">
        <v>33</v>
      </c>
      <c r="E124" s="12" t="s">
        <v>539</v>
      </c>
      <c r="F124" s="12" t="s">
        <v>43</v>
      </c>
      <c r="G124" s="12" t="s">
        <v>698</v>
      </c>
      <c r="H124" s="6">
        <v>42992.637499999997</v>
      </c>
      <c r="I124" s="6">
        <v>43020.774004629631</v>
      </c>
      <c r="J124" s="6">
        <v>43021.442754629628</v>
      </c>
      <c r="K124" s="69">
        <v>43048.713449074072</v>
      </c>
      <c r="L124" s="13" t="s">
        <v>225</v>
      </c>
      <c r="M124" s="13">
        <v>2</v>
      </c>
      <c r="N124" s="13">
        <v>-1</v>
      </c>
      <c r="O124" s="12">
        <v>0</v>
      </c>
      <c r="P124" s="13">
        <v>18</v>
      </c>
      <c r="Q124" s="13">
        <v>1</v>
      </c>
      <c r="R124" s="33">
        <v>5</v>
      </c>
      <c r="S124" s="33">
        <v>8</v>
      </c>
      <c r="T124" s="33" t="s">
        <v>225</v>
      </c>
      <c r="U124" s="33">
        <v>43021.440972222219</v>
      </c>
      <c r="V124" s="33" t="s">
        <v>225</v>
      </c>
      <c r="W124" s="33" t="s">
        <v>703</v>
      </c>
      <c r="X124" s="33" t="s">
        <v>694</v>
      </c>
      <c r="Y124" s="33">
        <v>43027</v>
      </c>
      <c r="Z124" s="33">
        <v>43032</v>
      </c>
      <c r="AA124" s="13">
        <v>1522</v>
      </c>
      <c r="AB124" s="13">
        <v>2</v>
      </c>
      <c r="AC124" s="13">
        <f>SUMIF(Tableau_Liste_UO[[Code UO]:[Code UO]],Tableau_Liste_KPI[[#This Row],[Code UO]], Tableau_Liste_UO[RAF])</f>
        <v>0</v>
      </c>
      <c r="AD124" s="13" t="e">
        <f>SUMIF(Tableau_Liste_UO[[Code UO]:[Code UO]],Tableau_Liste_KPI[[#This Row],[Code UO]], #REF!)</f>
        <v>#REF!</v>
      </c>
      <c r="AE124" s="34" t="s">
        <v>225</v>
      </c>
      <c r="AF124" s="34" t="s">
        <v>225</v>
      </c>
      <c r="AG124" s="34" t="s">
        <v>225</v>
      </c>
      <c r="AH124" s="34"/>
      <c r="AI124" s="35" t="e">
        <f>IF(Tableau_Liste_KPI[[#This Row],[Charge commandée]]="","",IF(Tableau_Liste_KPI[[#This Row],[Total]]&gt;Tableau_Liste_KPI[[#This Row],[Charge commandée]],"KO",""))</f>
        <v>#REF!</v>
      </c>
      <c r="AJ124" s="35" t="e">
        <f>IF(Tableau_Liste_KPI[[#This Row],[KPI Charges]]="KO",Tableau_Liste_KPI[[#This Row],[Charge commandée]]-Tableau_Liste_KPI[[#This Row],[Total]],"")</f>
        <v>#REF!</v>
      </c>
    </row>
    <row r="125" spans="1:36" ht="12" x14ac:dyDescent="0.2">
      <c r="A125" s="12" t="s">
        <v>193</v>
      </c>
      <c r="B125" s="12" t="s">
        <v>585</v>
      </c>
      <c r="C125" s="12" t="s">
        <v>259</v>
      </c>
      <c r="D125" s="12" t="s">
        <v>33</v>
      </c>
      <c r="E125" s="12" t="s">
        <v>538</v>
      </c>
      <c r="F125" s="12" t="s">
        <v>43</v>
      </c>
      <c r="G125" s="12" t="s">
        <v>696</v>
      </c>
      <c r="H125" s="6">
        <v>42992.635416666664</v>
      </c>
      <c r="I125" s="6">
        <v>42992.636180555557</v>
      </c>
      <c r="J125" s="6">
        <v>43011.680844907409</v>
      </c>
      <c r="K125" s="69">
        <v>43011.681134259263</v>
      </c>
      <c r="L125" s="13" t="s">
        <v>225</v>
      </c>
      <c r="M125" s="13">
        <v>2</v>
      </c>
      <c r="N125" s="13">
        <v>5</v>
      </c>
      <c r="O125" s="12">
        <v>6</v>
      </c>
      <c r="P125" s="13">
        <v>-1</v>
      </c>
      <c r="Q125" s="13">
        <v>7</v>
      </c>
      <c r="R125" s="33">
        <v>10</v>
      </c>
      <c r="S125" s="33">
        <v>15</v>
      </c>
      <c r="T125" s="33" t="s">
        <v>225</v>
      </c>
      <c r="U125" s="33">
        <v>43007.414583333331</v>
      </c>
      <c r="V125" s="33" t="s">
        <v>225</v>
      </c>
      <c r="W125" s="33" t="s">
        <v>690</v>
      </c>
      <c r="X125" s="33" t="s">
        <v>703</v>
      </c>
      <c r="Y125" s="33">
        <v>43014</v>
      </c>
      <c r="Z125" s="33">
        <v>43021</v>
      </c>
      <c r="AA125" s="13">
        <v>3424</v>
      </c>
      <c r="AB125" s="13">
        <v>5</v>
      </c>
      <c r="AC125" s="13">
        <f>SUMIF(Tableau_Liste_UO[[Code UO]:[Code UO]],Tableau_Liste_KPI[[#This Row],[Code UO]], Tableau_Liste_UO[RAF])</f>
        <v>0</v>
      </c>
      <c r="AD125" s="13" t="e">
        <f>SUMIF(Tableau_Liste_UO[[Code UO]:[Code UO]],Tableau_Liste_KPI[[#This Row],[Code UO]], #REF!)</f>
        <v>#REF!</v>
      </c>
      <c r="AE125" s="34" t="s">
        <v>225</v>
      </c>
      <c r="AF125" s="34" t="s">
        <v>225</v>
      </c>
      <c r="AG125" s="34" t="s">
        <v>225</v>
      </c>
      <c r="AH125" s="34"/>
      <c r="AI125" s="35" t="e">
        <f>IF(Tableau_Liste_KPI[[#This Row],[Charge commandée]]="","",IF(Tableau_Liste_KPI[[#This Row],[Total]]&gt;Tableau_Liste_KPI[[#This Row],[Charge commandée]],"KO",""))</f>
        <v>#REF!</v>
      </c>
      <c r="AJ125" s="35" t="e">
        <f>IF(Tableau_Liste_KPI[[#This Row],[KPI Charges]]="KO",Tableau_Liste_KPI[[#This Row],[Charge commandée]]-Tableau_Liste_KPI[[#This Row],[Total]],"")</f>
        <v>#REF!</v>
      </c>
    </row>
    <row r="126" spans="1:36" ht="12" x14ac:dyDescent="0.2">
      <c r="A126" s="12" t="s">
        <v>194</v>
      </c>
      <c r="B126" s="12" t="s">
        <v>407</v>
      </c>
      <c r="C126" s="12" t="s">
        <v>281</v>
      </c>
      <c r="D126" s="12" t="s">
        <v>37</v>
      </c>
      <c r="E126" s="12" t="s">
        <v>544</v>
      </c>
      <c r="F126" s="12" t="s">
        <v>34</v>
      </c>
      <c r="G126" s="12" t="s">
        <v>702</v>
      </c>
      <c r="H126" s="6">
        <v>42991.693055555559</v>
      </c>
      <c r="I126" s="6">
        <v>42991.698518518519</v>
      </c>
      <c r="J126" s="6" t="s">
        <v>225</v>
      </c>
      <c r="K126" s="69" t="s">
        <v>225</v>
      </c>
      <c r="L126" s="13" t="s">
        <v>225</v>
      </c>
      <c r="M126" s="13">
        <v>0</v>
      </c>
      <c r="N126" s="13">
        <v>71</v>
      </c>
      <c r="O126" s="12">
        <v>0</v>
      </c>
      <c r="P126" s="13" t="s">
        <v>225</v>
      </c>
      <c r="Q126" s="13">
        <v>71</v>
      </c>
      <c r="R126" s="33" t="s">
        <v>225</v>
      </c>
      <c r="S126" s="33" t="s">
        <v>225</v>
      </c>
      <c r="T126" s="33" t="s">
        <v>225</v>
      </c>
      <c r="U126" s="33" t="s">
        <v>225</v>
      </c>
      <c r="V126" s="33" t="s">
        <v>225</v>
      </c>
      <c r="W126" s="33" t="s">
        <v>690</v>
      </c>
      <c r="X126" s="33" t="s">
        <v>225</v>
      </c>
      <c r="Y126" s="33">
        <v>43021.691666666666</v>
      </c>
      <c r="Z126" s="33">
        <v>43021.691666666666</v>
      </c>
      <c r="AA126" s="13">
        <v>3750</v>
      </c>
      <c r="AB126" s="13">
        <v>5</v>
      </c>
      <c r="AC126" s="13">
        <f>SUMIF(Tableau_Liste_UO[[Code UO]:[Code UO]],Tableau_Liste_KPI[[#This Row],[Code UO]], Tableau_Liste_UO[RAF])</f>
        <v>0</v>
      </c>
      <c r="AD126" s="13" t="e">
        <f>SUMIF(Tableau_Liste_UO[[Code UO]:[Code UO]],Tableau_Liste_KPI[[#This Row],[Code UO]], #REF!)</f>
        <v>#REF!</v>
      </c>
      <c r="AE126" s="34" t="s">
        <v>225</v>
      </c>
      <c r="AF126" s="34" t="s">
        <v>225</v>
      </c>
      <c r="AG126" s="34" t="s">
        <v>225</v>
      </c>
      <c r="AH126" s="34"/>
      <c r="AI126" s="35" t="e">
        <f>IF(Tableau_Liste_KPI[[#This Row],[Charge commandée]]="","",IF(Tableau_Liste_KPI[[#This Row],[Total]]&gt;Tableau_Liste_KPI[[#This Row],[Charge commandée]],"KO",""))</f>
        <v>#REF!</v>
      </c>
      <c r="AJ126" s="35" t="e">
        <f>IF(Tableau_Liste_KPI[[#This Row],[KPI Charges]]="KO",Tableau_Liste_KPI[[#This Row],[Charge commandée]]-Tableau_Liste_KPI[[#This Row],[Total]],"")</f>
        <v>#REF!</v>
      </c>
    </row>
    <row r="127" spans="1:36" ht="12" x14ac:dyDescent="0.2">
      <c r="A127" s="12" t="s">
        <v>195</v>
      </c>
      <c r="B127" s="12" t="s">
        <v>586</v>
      </c>
      <c r="C127" s="12" t="s">
        <v>281</v>
      </c>
      <c r="D127" s="12" t="s">
        <v>37</v>
      </c>
      <c r="E127" s="12" t="s">
        <v>544</v>
      </c>
      <c r="F127" s="12" t="s">
        <v>34</v>
      </c>
      <c r="G127" s="12" t="s">
        <v>702</v>
      </c>
      <c r="H127" s="6">
        <v>42991.618750000001</v>
      </c>
      <c r="I127" s="6">
        <v>42992.492662037039</v>
      </c>
      <c r="J127" s="6" t="s">
        <v>225</v>
      </c>
      <c r="K127" s="69" t="s">
        <v>225</v>
      </c>
      <c r="L127" s="13" t="s">
        <v>225</v>
      </c>
      <c r="M127" s="13">
        <v>0</v>
      </c>
      <c r="N127" s="13">
        <v>70</v>
      </c>
      <c r="O127" s="12">
        <v>0</v>
      </c>
      <c r="P127" s="13" t="s">
        <v>225</v>
      </c>
      <c r="Q127" s="13">
        <v>70</v>
      </c>
      <c r="R127" s="33" t="s">
        <v>225</v>
      </c>
      <c r="S127" s="33" t="s">
        <v>225</v>
      </c>
      <c r="T127" s="33" t="s">
        <v>225</v>
      </c>
      <c r="U127" s="33" t="s">
        <v>225</v>
      </c>
      <c r="V127" s="33" t="s">
        <v>225</v>
      </c>
      <c r="W127" s="33" t="s">
        <v>690</v>
      </c>
      <c r="X127" s="33" t="s">
        <v>225</v>
      </c>
      <c r="Y127" s="33">
        <v>43020.617361111108</v>
      </c>
      <c r="Z127" s="33">
        <v>43020.617361111108</v>
      </c>
      <c r="AA127" s="13">
        <v>1500</v>
      </c>
      <c r="AB127" s="13">
        <v>2</v>
      </c>
      <c r="AC127" s="13">
        <f>SUMIF(Tableau_Liste_UO[[Code UO]:[Code UO]],Tableau_Liste_KPI[[#This Row],[Code UO]], Tableau_Liste_UO[RAF])</f>
        <v>0</v>
      </c>
      <c r="AD127" s="13" t="e">
        <f>SUMIF(Tableau_Liste_UO[[Code UO]:[Code UO]],Tableau_Liste_KPI[[#This Row],[Code UO]], #REF!)</f>
        <v>#REF!</v>
      </c>
      <c r="AE127" s="34" t="s">
        <v>225</v>
      </c>
      <c r="AF127" s="34" t="s">
        <v>225</v>
      </c>
      <c r="AG127" s="34" t="s">
        <v>225</v>
      </c>
      <c r="AH127" s="34"/>
      <c r="AI127" s="35" t="e">
        <f>IF(Tableau_Liste_KPI[[#This Row],[Charge commandée]]="","",IF(Tableau_Liste_KPI[[#This Row],[Total]]&gt;Tableau_Liste_KPI[[#This Row],[Charge commandée]],"KO",""))</f>
        <v>#REF!</v>
      </c>
      <c r="AJ127" s="35" t="e">
        <f>IF(Tableau_Liste_KPI[[#This Row],[KPI Charges]]="KO",Tableau_Liste_KPI[[#This Row],[Charge commandée]]-Tableau_Liste_KPI[[#This Row],[Total]],"")</f>
        <v>#REF!</v>
      </c>
    </row>
    <row r="128" spans="1:36" ht="12" x14ac:dyDescent="0.2">
      <c r="A128" s="12" t="s">
        <v>196</v>
      </c>
      <c r="B128" s="12" t="s">
        <v>406</v>
      </c>
      <c r="C128" s="12" t="s">
        <v>259</v>
      </c>
      <c r="D128" s="12" t="s">
        <v>37</v>
      </c>
      <c r="E128" s="12" t="s">
        <v>540</v>
      </c>
      <c r="F128" s="12" t="s">
        <v>192</v>
      </c>
      <c r="G128" s="12" t="s">
        <v>695</v>
      </c>
      <c r="H128" s="6">
        <v>42991.597222222219</v>
      </c>
      <c r="I128" s="6">
        <v>42991.600601851853</v>
      </c>
      <c r="J128" s="6">
        <v>43033.440995370373</v>
      </c>
      <c r="K128" s="69">
        <v>43069.500879629632</v>
      </c>
      <c r="L128" s="13" t="s">
        <v>225</v>
      </c>
      <c r="M128" s="13">
        <v>2</v>
      </c>
      <c r="N128" s="13">
        <v>23</v>
      </c>
      <c r="O128" s="12">
        <v>5</v>
      </c>
      <c r="P128" s="13">
        <v>25</v>
      </c>
      <c r="Q128" s="13">
        <v>25</v>
      </c>
      <c r="R128" s="33">
        <v>15</v>
      </c>
      <c r="S128" s="33">
        <v>25</v>
      </c>
      <c r="T128" s="33">
        <v>43021.5</v>
      </c>
      <c r="U128" s="33">
        <v>43021.5</v>
      </c>
      <c r="V128" s="33">
        <v>43032.788888888892</v>
      </c>
      <c r="W128" s="33" t="s">
        <v>690</v>
      </c>
      <c r="X128" s="33" t="s">
        <v>694</v>
      </c>
      <c r="Y128" s="33">
        <v>43019</v>
      </c>
      <c r="Z128" s="33">
        <v>43033</v>
      </c>
      <c r="AA128" s="13">
        <v>7874</v>
      </c>
      <c r="AB128" s="13">
        <v>9.6</v>
      </c>
      <c r="AC128" s="13">
        <f>SUMIF(Tableau_Liste_UO[[Code UO]:[Code UO]],Tableau_Liste_KPI[[#This Row],[Code UO]], Tableau_Liste_UO[RAF])</f>
        <v>0</v>
      </c>
      <c r="AD128" s="13" t="e">
        <f>SUMIF(Tableau_Liste_UO[[Code UO]:[Code UO]],Tableau_Liste_KPI[[#This Row],[Code UO]], #REF!)</f>
        <v>#REF!</v>
      </c>
      <c r="AE128" s="34" t="s">
        <v>721</v>
      </c>
      <c r="AF128" s="34" t="s">
        <v>225</v>
      </c>
      <c r="AG128" s="34" t="s">
        <v>225</v>
      </c>
      <c r="AH128" s="34"/>
      <c r="AI128" s="35" t="e">
        <f>IF(Tableau_Liste_KPI[[#This Row],[Charge commandée]]="","",IF(Tableau_Liste_KPI[[#This Row],[Total]]&gt;Tableau_Liste_KPI[[#This Row],[Charge commandée]],"KO",""))</f>
        <v>#REF!</v>
      </c>
      <c r="AJ128" s="35" t="e">
        <f>IF(Tableau_Liste_KPI[[#This Row],[KPI Charges]]="KO",Tableau_Liste_KPI[[#This Row],[Charge commandée]]-Tableau_Liste_KPI[[#This Row],[Total]],"")</f>
        <v>#REF!</v>
      </c>
    </row>
    <row r="129" spans="1:36" ht="12" x14ac:dyDescent="0.2">
      <c r="A129" s="12" t="s">
        <v>197</v>
      </c>
      <c r="B129" s="12" t="s">
        <v>405</v>
      </c>
      <c r="C129" s="12" t="s">
        <v>259</v>
      </c>
      <c r="D129" s="12" t="s">
        <v>33</v>
      </c>
      <c r="E129" s="12" t="s">
        <v>544</v>
      </c>
      <c r="F129" s="12" t="s">
        <v>34</v>
      </c>
      <c r="G129" s="12" t="s">
        <v>701</v>
      </c>
      <c r="H129" s="6">
        <v>42989.495833333334</v>
      </c>
      <c r="I129" s="6">
        <v>42989.495972222219</v>
      </c>
      <c r="J129" s="6" t="s">
        <v>225</v>
      </c>
      <c r="K129" s="69">
        <v>43003.660763888889</v>
      </c>
      <c r="L129" s="13" t="s">
        <v>225</v>
      </c>
      <c r="M129" s="13">
        <v>2</v>
      </c>
      <c r="N129" s="13">
        <v>9</v>
      </c>
      <c r="O129" s="12">
        <v>0</v>
      </c>
      <c r="P129" s="13" t="s">
        <v>225</v>
      </c>
      <c r="Q129" s="13">
        <v>11</v>
      </c>
      <c r="R129" s="33" t="s">
        <v>225</v>
      </c>
      <c r="S129" s="33" t="s">
        <v>225</v>
      </c>
      <c r="T129" s="33" t="s">
        <v>225</v>
      </c>
      <c r="U129" s="33" t="s">
        <v>225</v>
      </c>
      <c r="V129" s="33" t="s">
        <v>225</v>
      </c>
      <c r="W129" s="33" t="s">
        <v>690</v>
      </c>
      <c r="X129" s="33" t="s">
        <v>690</v>
      </c>
      <c r="Y129" s="33">
        <v>43005.494444444441</v>
      </c>
      <c r="Z129" s="33">
        <v>43005.494444444441</v>
      </c>
      <c r="AA129" s="13">
        <v>1500</v>
      </c>
      <c r="AB129" s="13">
        <v>2</v>
      </c>
      <c r="AC129" s="13">
        <f>SUMIF(Tableau_Liste_UO[[Code UO]:[Code UO]],Tableau_Liste_KPI[[#This Row],[Code UO]], Tableau_Liste_UO[RAF])</f>
        <v>0</v>
      </c>
      <c r="AD129" s="13" t="e">
        <f>SUMIF(Tableau_Liste_UO[[Code UO]:[Code UO]],Tableau_Liste_KPI[[#This Row],[Code UO]], #REF!)</f>
        <v>#REF!</v>
      </c>
      <c r="AE129" s="34" t="s">
        <v>225</v>
      </c>
      <c r="AF129" s="34" t="s">
        <v>225</v>
      </c>
      <c r="AG129" s="34" t="s">
        <v>225</v>
      </c>
      <c r="AH129" s="34"/>
      <c r="AI129" s="35" t="e">
        <f>IF(Tableau_Liste_KPI[[#This Row],[Charge commandée]]="","",IF(Tableau_Liste_KPI[[#This Row],[Total]]&gt;Tableau_Liste_KPI[[#This Row],[Charge commandée]],"KO",""))</f>
        <v>#REF!</v>
      </c>
      <c r="AJ129" s="35" t="e">
        <f>IF(Tableau_Liste_KPI[[#This Row],[KPI Charges]]="KO",Tableau_Liste_KPI[[#This Row],[Charge commandée]]-Tableau_Liste_KPI[[#This Row],[Total]],"")</f>
        <v>#REF!</v>
      </c>
    </row>
    <row r="130" spans="1:36" ht="12" x14ac:dyDescent="0.2">
      <c r="A130" s="12" t="s">
        <v>403</v>
      </c>
      <c r="B130" s="12" t="s">
        <v>404</v>
      </c>
      <c r="C130" s="12" t="s">
        <v>174</v>
      </c>
      <c r="D130" s="12" t="s">
        <v>33</v>
      </c>
      <c r="E130" s="12" t="s">
        <v>44</v>
      </c>
      <c r="F130" s="12" t="s">
        <v>43</v>
      </c>
      <c r="G130" s="12" t="s">
        <v>689</v>
      </c>
      <c r="H130" s="6">
        <v>42989.400694444441</v>
      </c>
      <c r="I130" s="6">
        <v>43070.632789351854</v>
      </c>
      <c r="J130" s="6">
        <v>43083.586608796293</v>
      </c>
      <c r="K130" s="69" t="s">
        <v>225</v>
      </c>
      <c r="L130" s="13" t="s">
        <v>225</v>
      </c>
      <c r="M130" s="13">
        <v>2</v>
      </c>
      <c r="N130" s="13">
        <v>3</v>
      </c>
      <c r="O130" s="12">
        <v>4</v>
      </c>
      <c r="P130" s="13">
        <v>6</v>
      </c>
      <c r="Q130" s="13">
        <v>5</v>
      </c>
      <c r="R130" s="33">
        <v>10</v>
      </c>
      <c r="S130" s="33">
        <v>15</v>
      </c>
      <c r="T130" s="33" t="s">
        <v>225</v>
      </c>
      <c r="U130" s="33">
        <v>43077.390277777777</v>
      </c>
      <c r="V130" s="33" t="s">
        <v>225</v>
      </c>
      <c r="W130" s="33" t="s">
        <v>707</v>
      </c>
      <c r="X130" s="33" t="s">
        <v>225</v>
      </c>
      <c r="Y130" s="33">
        <v>43090</v>
      </c>
      <c r="Z130" s="33">
        <v>43105</v>
      </c>
      <c r="AA130" s="13">
        <v>912</v>
      </c>
      <c r="AB130" s="13">
        <v>1</v>
      </c>
      <c r="AC130" s="13">
        <f>SUMIF(Tableau_Liste_UO[[Code UO]:[Code UO]],Tableau_Liste_KPI[[#This Row],[Code UO]], Tableau_Liste_UO[RAF])</f>
        <v>0</v>
      </c>
      <c r="AD130" s="13" t="e">
        <f>SUMIF(Tableau_Liste_UO[[Code UO]:[Code UO]],Tableau_Liste_KPI[[#This Row],[Code UO]], #REF!)</f>
        <v>#REF!</v>
      </c>
      <c r="AE130" s="34" t="s">
        <v>225</v>
      </c>
      <c r="AF130" s="34" t="s">
        <v>225</v>
      </c>
      <c r="AG130" s="34" t="s">
        <v>225</v>
      </c>
      <c r="AH130" s="34"/>
      <c r="AI130" s="35" t="e">
        <f>IF(Tableau_Liste_KPI[[#This Row],[Charge commandée]]="","",IF(Tableau_Liste_KPI[[#This Row],[Total]]&gt;Tableau_Liste_KPI[[#This Row],[Charge commandée]],"KO",""))</f>
        <v>#REF!</v>
      </c>
      <c r="AJ130" s="35" t="e">
        <f>IF(Tableau_Liste_KPI[[#This Row],[KPI Charges]]="KO",Tableau_Liste_KPI[[#This Row],[Charge commandée]]-Tableau_Liste_KPI[[#This Row],[Total]],"")</f>
        <v>#REF!</v>
      </c>
    </row>
    <row r="131" spans="1:36" ht="12" x14ac:dyDescent="0.2">
      <c r="A131" s="12" t="s">
        <v>402</v>
      </c>
      <c r="B131" s="12" t="s">
        <v>587</v>
      </c>
      <c r="C131" s="12" t="s">
        <v>309</v>
      </c>
      <c r="D131" s="12" t="s">
        <v>33</v>
      </c>
      <c r="E131" s="12" t="s">
        <v>539</v>
      </c>
      <c r="F131" s="12" t="s">
        <v>43</v>
      </c>
      <c r="G131" s="12" t="s">
        <v>698</v>
      </c>
      <c r="H131" s="6">
        <v>42989.4</v>
      </c>
      <c r="I131" s="6" t="s">
        <v>225</v>
      </c>
      <c r="J131" s="6" t="s">
        <v>225</v>
      </c>
      <c r="K131" s="69" t="s">
        <v>225</v>
      </c>
      <c r="L131" s="13">
        <v>101.59999999999854</v>
      </c>
      <c r="M131" s="13">
        <v>0</v>
      </c>
      <c r="N131" s="13">
        <v>0</v>
      </c>
      <c r="O131" s="12">
        <v>0</v>
      </c>
      <c r="P131" s="13" t="s">
        <v>225</v>
      </c>
      <c r="Q131" s="13" t="s">
        <v>225</v>
      </c>
      <c r="R131" s="33">
        <v>5</v>
      </c>
      <c r="S131" s="33">
        <v>8</v>
      </c>
      <c r="T131" s="33" t="s">
        <v>225</v>
      </c>
      <c r="U131" s="33" t="s">
        <v>225</v>
      </c>
      <c r="V131" s="33" t="s">
        <v>225</v>
      </c>
      <c r="W131" s="33" t="s">
        <v>225</v>
      </c>
      <c r="X131" s="33" t="s">
        <v>225</v>
      </c>
      <c r="Y131" s="33" t="s">
        <v>225</v>
      </c>
      <c r="Z131" s="33" t="s">
        <v>225</v>
      </c>
      <c r="AA131" s="13">
        <v>1522</v>
      </c>
      <c r="AB131" s="13">
        <v>2</v>
      </c>
      <c r="AC131" s="13">
        <f>SUMIF(Tableau_Liste_UO[[Code UO]:[Code UO]],Tableau_Liste_KPI[[#This Row],[Code UO]], Tableau_Liste_UO[RAF])</f>
        <v>0</v>
      </c>
      <c r="AD131" s="13" t="e">
        <f>SUMIF(Tableau_Liste_UO[[Code UO]:[Code UO]],Tableau_Liste_KPI[[#This Row],[Code UO]], #REF!)</f>
        <v>#REF!</v>
      </c>
      <c r="AE131" s="34" t="s">
        <v>225</v>
      </c>
      <c r="AF131" s="34" t="s">
        <v>225</v>
      </c>
      <c r="AG131" s="34" t="s">
        <v>225</v>
      </c>
      <c r="AH131" s="34"/>
      <c r="AI131" s="35" t="e">
        <f>IF(Tableau_Liste_KPI[[#This Row],[Charge commandée]]="","",IF(Tableau_Liste_KPI[[#This Row],[Total]]&gt;Tableau_Liste_KPI[[#This Row],[Charge commandée]],"KO",""))</f>
        <v>#REF!</v>
      </c>
      <c r="AJ131" s="35" t="e">
        <f>IF(Tableau_Liste_KPI[[#This Row],[KPI Charges]]="KO",Tableau_Liste_KPI[[#This Row],[Charge commandée]]-Tableau_Liste_KPI[[#This Row],[Total]],"")</f>
        <v>#REF!</v>
      </c>
    </row>
    <row r="132" spans="1:36" ht="12" x14ac:dyDescent="0.2">
      <c r="A132" s="12" t="s">
        <v>198</v>
      </c>
      <c r="B132" s="12" t="s">
        <v>588</v>
      </c>
      <c r="C132" s="12" t="s">
        <v>174</v>
      </c>
      <c r="D132" s="12" t="s">
        <v>33</v>
      </c>
      <c r="E132" s="12" t="s">
        <v>538</v>
      </c>
      <c r="F132" s="12" t="s">
        <v>43</v>
      </c>
      <c r="G132" s="12" t="s">
        <v>696</v>
      </c>
      <c r="H132" s="6">
        <v>42989.4</v>
      </c>
      <c r="I132" s="6">
        <v>42989.40053240741</v>
      </c>
      <c r="J132" s="6">
        <v>43067.665763888886</v>
      </c>
      <c r="K132" s="69" t="s">
        <v>225</v>
      </c>
      <c r="L132" s="13" t="s">
        <v>225</v>
      </c>
      <c r="M132" s="13">
        <v>2</v>
      </c>
      <c r="N132" s="13">
        <v>53</v>
      </c>
      <c r="O132" s="12">
        <v>1</v>
      </c>
      <c r="P132" s="13">
        <v>18</v>
      </c>
      <c r="Q132" s="13">
        <v>55</v>
      </c>
      <c r="R132" s="33">
        <v>10</v>
      </c>
      <c r="S132" s="33">
        <v>15</v>
      </c>
      <c r="T132" s="33" t="s">
        <v>225</v>
      </c>
      <c r="U132" s="33">
        <v>43003.543055555558</v>
      </c>
      <c r="V132" s="33">
        <v>43067.636805555558</v>
      </c>
      <c r="W132" s="33" t="s">
        <v>690</v>
      </c>
      <c r="X132" s="33" t="s">
        <v>225</v>
      </c>
      <c r="Y132" s="33">
        <v>43004</v>
      </c>
      <c r="Z132" s="33">
        <v>43011</v>
      </c>
      <c r="AA132" s="13">
        <v>3424</v>
      </c>
      <c r="AB132" s="13">
        <v>5</v>
      </c>
      <c r="AC132" s="13">
        <f>SUMIF(Tableau_Liste_UO[[Code UO]:[Code UO]],Tableau_Liste_KPI[[#This Row],[Code UO]], Tableau_Liste_UO[RAF])</f>
        <v>0</v>
      </c>
      <c r="AD132" s="13" t="e">
        <f>SUMIF(Tableau_Liste_UO[[Code UO]:[Code UO]],Tableau_Liste_KPI[[#This Row],[Code UO]], #REF!)</f>
        <v>#REF!</v>
      </c>
      <c r="AE132" s="34" t="s">
        <v>721</v>
      </c>
      <c r="AF132" s="34" t="s">
        <v>721</v>
      </c>
      <c r="AG132" s="34" t="s">
        <v>225</v>
      </c>
      <c r="AH132" s="34"/>
      <c r="AI132" s="35" t="e">
        <f>IF(Tableau_Liste_KPI[[#This Row],[Charge commandée]]="","",IF(Tableau_Liste_KPI[[#This Row],[Total]]&gt;Tableau_Liste_KPI[[#This Row],[Charge commandée]],"KO",""))</f>
        <v>#REF!</v>
      </c>
      <c r="AJ132" s="35" t="e">
        <f>IF(Tableau_Liste_KPI[[#This Row],[KPI Charges]]="KO",Tableau_Liste_KPI[[#This Row],[Charge commandée]]-Tableau_Liste_KPI[[#This Row],[Total]],"")</f>
        <v>#REF!</v>
      </c>
    </row>
    <row r="133" spans="1:36" ht="12" x14ac:dyDescent="0.2">
      <c r="A133" s="12" t="s">
        <v>199</v>
      </c>
      <c r="B133" s="12" t="s">
        <v>354</v>
      </c>
      <c r="C133" s="12" t="s">
        <v>259</v>
      </c>
      <c r="D133" s="12" t="s">
        <v>37</v>
      </c>
      <c r="E133" s="12" t="s">
        <v>540</v>
      </c>
      <c r="F133" s="12" t="s">
        <v>43</v>
      </c>
      <c r="G133" s="12" t="s">
        <v>693</v>
      </c>
      <c r="H133" s="6">
        <v>42985.738888888889</v>
      </c>
      <c r="I133" s="6">
        <v>42985.740416666667</v>
      </c>
      <c r="J133" s="6">
        <v>43060.535949074074</v>
      </c>
      <c r="K133" s="69">
        <v>43081.653599537036</v>
      </c>
      <c r="L133" s="13" t="s">
        <v>225</v>
      </c>
      <c r="M133" s="13">
        <v>5</v>
      </c>
      <c r="N133" s="13">
        <v>44</v>
      </c>
      <c r="O133" s="12">
        <v>3</v>
      </c>
      <c r="P133" s="13">
        <v>15</v>
      </c>
      <c r="Q133" s="13">
        <v>49</v>
      </c>
      <c r="R133" s="33">
        <v>7</v>
      </c>
      <c r="S133" s="33">
        <v>10</v>
      </c>
      <c r="T133" s="33">
        <v>43011.736805555556</v>
      </c>
      <c r="U133" s="33">
        <v>43007.754166666666</v>
      </c>
      <c r="V133" s="33">
        <v>43049.708333333336</v>
      </c>
      <c r="W133" s="33" t="s">
        <v>690</v>
      </c>
      <c r="X133" s="33" t="s">
        <v>707</v>
      </c>
      <c r="Y133" s="33">
        <v>42999</v>
      </c>
      <c r="Z133" s="33">
        <v>43004</v>
      </c>
      <c r="AA133" s="13">
        <v>4127</v>
      </c>
      <c r="AB133" s="13">
        <v>5.0999999999999996</v>
      </c>
      <c r="AC133" s="13">
        <f>SUMIF(Tableau_Liste_UO[[Code UO]:[Code UO]],Tableau_Liste_KPI[[#This Row],[Code UO]], Tableau_Liste_UO[RAF])</f>
        <v>0</v>
      </c>
      <c r="AD133" s="13" t="e">
        <f>SUMIF(Tableau_Liste_UO[[Code UO]:[Code UO]],Tableau_Liste_KPI[[#This Row],[Code UO]], #REF!)</f>
        <v>#REF!</v>
      </c>
      <c r="AE133" s="34" t="s">
        <v>721</v>
      </c>
      <c r="AF133" s="34" t="s">
        <v>721</v>
      </c>
      <c r="AG133" s="34" t="s">
        <v>225</v>
      </c>
      <c r="AH133" s="34"/>
      <c r="AI133" s="35" t="e">
        <f>IF(Tableau_Liste_KPI[[#This Row],[Charge commandée]]="","",IF(Tableau_Liste_KPI[[#This Row],[Total]]&gt;Tableau_Liste_KPI[[#This Row],[Charge commandée]],"KO",""))</f>
        <v>#REF!</v>
      </c>
      <c r="AJ133" s="35" t="e">
        <f>IF(Tableau_Liste_KPI[[#This Row],[KPI Charges]]="KO",Tableau_Liste_KPI[[#This Row],[Charge commandée]]-Tableau_Liste_KPI[[#This Row],[Total]],"")</f>
        <v>#REF!</v>
      </c>
    </row>
    <row r="134" spans="1:36" ht="12" x14ac:dyDescent="0.2">
      <c r="A134" s="32" t="s">
        <v>200</v>
      </c>
      <c r="B134" s="12" t="s">
        <v>401</v>
      </c>
      <c r="C134" s="12" t="s">
        <v>259</v>
      </c>
      <c r="D134" s="12" t="s">
        <v>33</v>
      </c>
      <c r="E134" s="12" t="s">
        <v>544</v>
      </c>
      <c r="F134" s="12" t="s">
        <v>34</v>
      </c>
      <c r="G134" s="12" t="s">
        <v>701</v>
      </c>
      <c r="H134" s="6">
        <v>42985.63958333333</v>
      </c>
      <c r="I134" s="6">
        <v>42985.640567129631</v>
      </c>
      <c r="J134" s="6" t="s">
        <v>225</v>
      </c>
      <c r="K134" s="69">
        <v>42996.63318287037</v>
      </c>
      <c r="L134" s="13" t="s">
        <v>225</v>
      </c>
      <c r="M134" s="13">
        <v>0</v>
      </c>
      <c r="N134" s="13">
        <v>7</v>
      </c>
      <c r="O134" s="12">
        <v>0</v>
      </c>
      <c r="P134" s="13" t="s">
        <v>225</v>
      </c>
      <c r="Q134" s="13">
        <v>7</v>
      </c>
      <c r="R134" s="33" t="s">
        <v>225</v>
      </c>
      <c r="S134" s="33" t="s">
        <v>225</v>
      </c>
      <c r="T134" s="33" t="s">
        <v>225</v>
      </c>
      <c r="U134" s="33" t="s">
        <v>225</v>
      </c>
      <c r="V134" s="33" t="s">
        <v>225</v>
      </c>
      <c r="W134" s="33" t="s">
        <v>690</v>
      </c>
      <c r="X134" s="33" t="s">
        <v>690</v>
      </c>
      <c r="Y134" s="33">
        <v>43000.63958333333</v>
      </c>
      <c r="Z134" s="33">
        <v>43000.63958333333</v>
      </c>
      <c r="AA134" s="13">
        <v>1500</v>
      </c>
      <c r="AB134" s="13">
        <v>2</v>
      </c>
      <c r="AC134" s="13">
        <f>SUMIF(Tableau_Liste_UO[[Code UO]:[Code UO]],Tableau_Liste_KPI[[#This Row],[Code UO]], Tableau_Liste_UO[RAF])</f>
        <v>0</v>
      </c>
      <c r="AD134" s="13" t="e">
        <f>SUMIF(Tableau_Liste_UO[[Code UO]:[Code UO]],Tableau_Liste_KPI[[#This Row],[Code UO]], #REF!)</f>
        <v>#REF!</v>
      </c>
      <c r="AE134" s="34" t="s">
        <v>225</v>
      </c>
      <c r="AF134" s="34" t="s">
        <v>225</v>
      </c>
      <c r="AG134" s="34" t="s">
        <v>225</v>
      </c>
      <c r="AH134" s="34"/>
      <c r="AI134" s="35" t="e">
        <f>IF(Tableau_Liste_KPI[[#This Row],[Charge commandée]]="","",IF(Tableau_Liste_KPI[[#This Row],[Total]]&gt;Tableau_Liste_KPI[[#This Row],[Charge commandée]],"KO",""))</f>
        <v>#REF!</v>
      </c>
      <c r="AJ134" s="35" t="e">
        <f>IF(Tableau_Liste_KPI[[#This Row],[KPI Charges]]="KO",Tableau_Liste_KPI[[#This Row],[Charge commandée]]-Tableau_Liste_KPI[[#This Row],[Total]],"")</f>
        <v>#REF!</v>
      </c>
    </row>
    <row r="135" spans="1:36" ht="12" x14ac:dyDescent="0.2">
      <c r="A135" s="25" t="s">
        <v>201</v>
      </c>
      <c r="B135" s="25" t="s">
        <v>400</v>
      </c>
      <c r="C135" s="12" t="s">
        <v>259</v>
      </c>
      <c r="D135" s="25" t="s">
        <v>37</v>
      </c>
      <c r="E135" s="25" t="s">
        <v>540</v>
      </c>
      <c r="F135" s="25" t="s">
        <v>192</v>
      </c>
      <c r="G135" s="25" t="s">
        <v>695</v>
      </c>
      <c r="H135" s="24">
        <v>42984.632638888892</v>
      </c>
      <c r="I135" s="24">
        <v>42984.633240740739</v>
      </c>
      <c r="J135" s="24">
        <v>43066.685243055559</v>
      </c>
      <c r="K135" s="71">
        <v>43081.675543981481</v>
      </c>
      <c r="L135" s="26" t="s">
        <v>225</v>
      </c>
      <c r="M135" s="26">
        <v>5</v>
      </c>
      <c r="N135" s="26">
        <v>19</v>
      </c>
      <c r="O135" s="25">
        <v>33</v>
      </c>
      <c r="P135" s="26">
        <v>11</v>
      </c>
      <c r="Q135" s="26">
        <v>24</v>
      </c>
      <c r="R135" s="39">
        <v>15</v>
      </c>
      <c r="S135" s="39">
        <v>25</v>
      </c>
      <c r="T135" s="39">
        <v>43006.624305555553</v>
      </c>
      <c r="U135" s="39">
        <v>43005.739583333336</v>
      </c>
      <c r="V135" s="39">
        <v>43069.567361111112</v>
      </c>
      <c r="W135" s="39" t="s">
        <v>690</v>
      </c>
      <c r="X135" s="39" t="s">
        <v>707</v>
      </c>
      <c r="Y135" s="39">
        <v>43053</v>
      </c>
      <c r="Z135" s="39">
        <v>43067</v>
      </c>
      <c r="AA135" s="26">
        <v>7874</v>
      </c>
      <c r="AB135" s="26">
        <v>9.6</v>
      </c>
      <c r="AC135" s="26">
        <f>SUMIF(Tableau_Liste_UO[[Code UO]:[Code UO]],Tableau_Liste_KPI[[#This Row],[Code UO]], Tableau_Liste_UO[RAF])</f>
        <v>0</v>
      </c>
      <c r="AD135" s="26" t="e">
        <f>SUMIF(Tableau_Liste_UO[[Code UO]:[Code UO]],Tableau_Liste_KPI[[#This Row],[Code UO]], #REF!)</f>
        <v>#REF!</v>
      </c>
      <c r="AE135" s="40" t="s">
        <v>721</v>
      </c>
      <c r="AF135" s="40" t="s">
        <v>225</v>
      </c>
      <c r="AG135" s="40" t="s">
        <v>225</v>
      </c>
      <c r="AH135" s="40"/>
      <c r="AI135" s="41" t="e">
        <f>IF(Tableau_Liste_KPI[[#This Row],[Charge commandée]]="","",IF(Tableau_Liste_KPI[[#This Row],[Total]]&gt;Tableau_Liste_KPI[[#This Row],[Charge commandée]],"KO",""))</f>
        <v>#REF!</v>
      </c>
      <c r="AJ135" s="41" t="e">
        <f>IF(Tableau_Liste_KPI[[#This Row],[KPI Charges]]="KO",Tableau_Liste_KPI[[#This Row],[Charge commandée]]-Tableau_Liste_KPI[[#This Row],[Total]],"")</f>
        <v>#REF!</v>
      </c>
    </row>
    <row r="136" spans="1:36" ht="12" x14ac:dyDescent="0.2">
      <c r="A136" s="12" t="s">
        <v>202</v>
      </c>
      <c r="B136" s="12" t="s">
        <v>399</v>
      </c>
      <c r="C136" s="12" t="s">
        <v>259</v>
      </c>
      <c r="D136" s="12" t="s">
        <v>37</v>
      </c>
      <c r="E136" s="12" t="s">
        <v>63</v>
      </c>
      <c r="F136" s="12" t="s">
        <v>192</v>
      </c>
      <c r="G136" s="12" t="s">
        <v>710</v>
      </c>
      <c r="H136" s="6">
        <v>42983.677777777775</v>
      </c>
      <c r="I136" s="6">
        <v>42983.678773148145</v>
      </c>
      <c r="J136" s="6">
        <v>43013.663657407407</v>
      </c>
      <c r="K136" s="69">
        <v>43069.485995370371</v>
      </c>
      <c r="L136" s="13" t="s">
        <v>225</v>
      </c>
      <c r="M136" s="13">
        <v>2</v>
      </c>
      <c r="N136" s="13">
        <v>21</v>
      </c>
      <c r="O136" s="12">
        <v>0</v>
      </c>
      <c r="P136" s="13">
        <v>39</v>
      </c>
      <c r="Q136" s="13">
        <v>23</v>
      </c>
      <c r="R136" s="33">
        <v>4</v>
      </c>
      <c r="S136" s="33">
        <v>10</v>
      </c>
      <c r="T136" s="33">
        <v>42993.75</v>
      </c>
      <c r="U136" s="33">
        <v>42990.745833333334</v>
      </c>
      <c r="V136" s="33" t="s">
        <v>225</v>
      </c>
      <c r="W136" s="33" t="s">
        <v>690</v>
      </c>
      <c r="X136" s="33" t="s">
        <v>694</v>
      </c>
      <c r="Y136" s="33">
        <v>42989</v>
      </c>
      <c r="Z136" s="33">
        <v>42997</v>
      </c>
      <c r="AA136" s="13">
        <v>3343</v>
      </c>
      <c r="AB136" s="13">
        <v>4.0999999999999996</v>
      </c>
      <c r="AC136" s="13">
        <f>SUMIF(Tableau_Liste_UO[[Code UO]:[Code UO]],Tableau_Liste_KPI[[#This Row],[Code UO]], Tableau_Liste_UO[RAF])</f>
        <v>0</v>
      </c>
      <c r="AD136" s="13" t="e">
        <f>SUMIF(Tableau_Liste_UO[[Code UO]:[Code UO]],Tableau_Liste_KPI[[#This Row],[Code UO]], #REF!)</f>
        <v>#REF!</v>
      </c>
      <c r="AE136" s="34" t="s">
        <v>721</v>
      </c>
      <c r="AF136" s="34" t="s">
        <v>721</v>
      </c>
      <c r="AG136" s="34" t="s">
        <v>225</v>
      </c>
      <c r="AH136" s="34"/>
      <c r="AI136" s="35" t="e">
        <f>IF(Tableau_Liste_KPI[[#This Row],[Charge commandée]]="","",IF(Tableau_Liste_KPI[[#This Row],[Total]]&gt;Tableau_Liste_KPI[[#This Row],[Charge commandée]],"KO",""))</f>
        <v>#REF!</v>
      </c>
      <c r="AJ136" s="35" t="e">
        <f>IF(Tableau_Liste_KPI[[#This Row],[KPI Charges]]="KO",Tableau_Liste_KPI[[#This Row],[Charge commandée]]-Tableau_Liste_KPI[[#This Row],[Total]],"")</f>
        <v>#REF!</v>
      </c>
    </row>
    <row r="137" spans="1:36" x14ac:dyDescent="0.2">
      <c r="A137" s="12" t="s">
        <v>397</v>
      </c>
      <c r="B137" s="12" t="s">
        <v>398</v>
      </c>
      <c r="C137" s="12" t="s">
        <v>173</v>
      </c>
      <c r="D137" s="12" t="s">
        <v>33</v>
      </c>
      <c r="E137" s="12" t="s">
        <v>44</v>
      </c>
      <c r="F137" s="12" t="s">
        <v>34</v>
      </c>
      <c r="G137" s="12" t="s">
        <v>689</v>
      </c>
      <c r="H137" s="6">
        <v>42983.674305555556</v>
      </c>
      <c r="I137" s="6">
        <v>43048.700023148151</v>
      </c>
      <c r="J137" s="6" t="s">
        <v>225</v>
      </c>
      <c r="K137" s="69" t="s">
        <v>225</v>
      </c>
      <c r="L137" s="13" t="s">
        <v>225</v>
      </c>
      <c r="M137" s="13">
        <v>0</v>
      </c>
      <c r="N137" s="13">
        <v>0</v>
      </c>
      <c r="O137" s="12">
        <v>0</v>
      </c>
      <c r="P137" s="13" t="s">
        <v>225</v>
      </c>
      <c r="Q137" s="13" t="s">
        <v>225</v>
      </c>
      <c r="R137" s="33">
        <v>10</v>
      </c>
      <c r="S137" s="33">
        <v>15</v>
      </c>
      <c r="T137" s="33" t="s">
        <v>225</v>
      </c>
      <c r="U137" s="33" t="s">
        <v>225</v>
      </c>
      <c r="V137" s="33" t="s">
        <v>225</v>
      </c>
      <c r="W137" s="33" t="s">
        <v>694</v>
      </c>
      <c r="X137" s="33" t="s">
        <v>225</v>
      </c>
      <c r="Y137" s="33">
        <v>43062</v>
      </c>
      <c r="Z137" s="33">
        <v>43069</v>
      </c>
      <c r="AA137" s="13">
        <v>912</v>
      </c>
      <c r="AB137" s="13">
        <v>1</v>
      </c>
      <c r="AC137" s="13">
        <f>SUMIF(Tableau_Liste_UO[[Code UO]:[Code UO]],Tableau_Liste_KPI[[#This Row],[Code UO]], Tableau_Liste_UO[RAF])</f>
        <v>0</v>
      </c>
      <c r="AD137" s="13" t="e">
        <f>SUMIF(Tableau_Liste_UO[[Code UO]:[Code UO]],Tableau_Liste_KPI[[#This Row],[Code UO]], #REF!)</f>
        <v>#REF!</v>
      </c>
      <c r="AE137" s="53" t="s">
        <v>225</v>
      </c>
      <c r="AF137" s="53" t="s">
        <v>225</v>
      </c>
      <c r="AG137" s="53" t="s">
        <v>225</v>
      </c>
      <c r="AH137" s="53"/>
      <c r="AI137" s="54" t="e">
        <f>IF(Tableau_Liste_KPI[[#This Row],[Charge commandée]]="","",IF(Tableau_Liste_KPI[[#This Row],[Total]]&gt;Tableau_Liste_KPI[[#This Row],[Charge commandée]],"KO",""))</f>
        <v>#REF!</v>
      </c>
      <c r="AJ137" s="54" t="e">
        <f>IF(Tableau_Liste_KPI[[#This Row],[KPI Charges]]="KO",Tableau_Liste_KPI[[#This Row],[Charge commandée]]-Tableau_Liste_KPI[[#This Row],[Total]],"")</f>
        <v>#REF!</v>
      </c>
    </row>
    <row r="138" spans="1:36" ht="12" x14ac:dyDescent="0.2">
      <c r="A138" s="12" t="s">
        <v>396</v>
      </c>
      <c r="B138" s="12" t="s">
        <v>589</v>
      </c>
      <c r="C138" s="12" t="s">
        <v>173</v>
      </c>
      <c r="D138" s="12" t="s">
        <v>33</v>
      </c>
      <c r="E138" s="12" t="s">
        <v>539</v>
      </c>
      <c r="F138" s="12" t="s">
        <v>34</v>
      </c>
      <c r="G138" s="12" t="s">
        <v>699</v>
      </c>
      <c r="H138" s="6">
        <v>42983.673611111109</v>
      </c>
      <c r="I138" s="6">
        <v>43048.699907407405</v>
      </c>
      <c r="J138" s="6" t="s">
        <v>225</v>
      </c>
      <c r="K138" s="69" t="s">
        <v>225</v>
      </c>
      <c r="L138" s="13" t="s">
        <v>225</v>
      </c>
      <c r="M138" s="13">
        <v>0</v>
      </c>
      <c r="N138" s="13">
        <v>0</v>
      </c>
      <c r="O138" s="12">
        <v>0</v>
      </c>
      <c r="P138" s="13" t="s">
        <v>225</v>
      </c>
      <c r="Q138" s="13" t="s">
        <v>225</v>
      </c>
      <c r="R138" s="33">
        <v>8</v>
      </c>
      <c r="S138" s="33">
        <v>11</v>
      </c>
      <c r="T138" s="33" t="s">
        <v>225</v>
      </c>
      <c r="U138" s="33" t="s">
        <v>225</v>
      </c>
      <c r="V138" s="33" t="s">
        <v>225</v>
      </c>
      <c r="W138" s="33" t="s">
        <v>694</v>
      </c>
      <c r="X138" s="33" t="s">
        <v>225</v>
      </c>
      <c r="Y138" s="33">
        <v>43060</v>
      </c>
      <c r="Z138" s="33">
        <v>43063</v>
      </c>
      <c r="AA138" s="13">
        <v>3044</v>
      </c>
      <c r="AB138" s="13">
        <v>4</v>
      </c>
      <c r="AC138" s="13">
        <f>SUMIF(Tableau_Liste_UO[[Code UO]:[Code UO]],Tableau_Liste_KPI[[#This Row],[Code UO]], Tableau_Liste_UO[RAF])</f>
        <v>0</v>
      </c>
      <c r="AD138" s="13" t="e">
        <f>SUMIF(Tableau_Liste_UO[[Code UO]:[Code UO]],Tableau_Liste_KPI[[#This Row],[Code UO]], #REF!)</f>
        <v>#REF!</v>
      </c>
      <c r="AE138" s="34" t="s">
        <v>225</v>
      </c>
      <c r="AF138" s="34" t="s">
        <v>225</v>
      </c>
      <c r="AG138" s="34" t="s">
        <v>225</v>
      </c>
      <c r="AH138" s="34"/>
      <c r="AI138" s="35" t="e">
        <f>IF(Tableau_Liste_KPI[[#This Row],[Charge commandée]]="","",IF(Tableau_Liste_KPI[[#This Row],[Total]]&gt;Tableau_Liste_KPI[[#This Row],[Charge commandée]],"KO",""))</f>
        <v>#REF!</v>
      </c>
      <c r="AJ138" s="35" t="e">
        <f>IF(Tableau_Liste_KPI[[#This Row],[KPI Charges]]="KO",Tableau_Liste_KPI[[#This Row],[Charge commandée]]-Tableau_Liste_KPI[[#This Row],[Total]],"")</f>
        <v>#REF!</v>
      </c>
    </row>
    <row r="139" spans="1:36" ht="12" x14ac:dyDescent="0.2">
      <c r="A139" s="12" t="s">
        <v>203</v>
      </c>
      <c r="B139" s="12" t="s">
        <v>590</v>
      </c>
      <c r="C139" s="12" t="s">
        <v>173</v>
      </c>
      <c r="D139" s="12" t="s">
        <v>33</v>
      </c>
      <c r="E139" s="12" t="s">
        <v>538</v>
      </c>
      <c r="F139" s="12" t="s">
        <v>34</v>
      </c>
      <c r="G139" s="12" t="s">
        <v>686</v>
      </c>
      <c r="H139" s="6">
        <v>42983.673611111109</v>
      </c>
      <c r="I139" s="6">
        <v>42983.673842592594</v>
      </c>
      <c r="J139" s="6" t="s">
        <v>225</v>
      </c>
      <c r="K139" s="69" t="s">
        <v>225</v>
      </c>
      <c r="L139" s="13" t="s">
        <v>225</v>
      </c>
      <c r="M139" s="13">
        <v>2</v>
      </c>
      <c r="N139" s="13">
        <v>0</v>
      </c>
      <c r="O139" s="12">
        <v>44</v>
      </c>
      <c r="P139" s="13" t="s">
        <v>225</v>
      </c>
      <c r="Q139" s="13">
        <v>2</v>
      </c>
      <c r="R139" s="33">
        <v>16</v>
      </c>
      <c r="S139" s="33">
        <v>24</v>
      </c>
      <c r="T139" s="33" t="s">
        <v>225</v>
      </c>
      <c r="U139" s="33">
        <v>43005.744444444441</v>
      </c>
      <c r="V139" s="33">
        <v>43069.638194444444</v>
      </c>
      <c r="W139" s="33" t="s">
        <v>690</v>
      </c>
      <c r="X139" s="33" t="s">
        <v>225</v>
      </c>
      <c r="Y139" s="33">
        <v>43068</v>
      </c>
      <c r="Z139" s="33">
        <v>43080</v>
      </c>
      <c r="AA139" s="13">
        <v>6088</v>
      </c>
      <c r="AB139" s="13">
        <v>8.1</v>
      </c>
      <c r="AC139" s="13">
        <f>SUMIF(Tableau_Liste_UO[[Code UO]:[Code UO]],Tableau_Liste_KPI[[#This Row],[Code UO]], Tableau_Liste_UO[RAF])</f>
        <v>0</v>
      </c>
      <c r="AD139" s="13" t="e">
        <f>SUMIF(Tableau_Liste_UO[[Code UO]:[Code UO]],Tableau_Liste_KPI[[#This Row],[Code UO]], #REF!)</f>
        <v>#REF!</v>
      </c>
      <c r="AE139" s="34" t="s">
        <v>225</v>
      </c>
      <c r="AF139" s="34" t="s">
        <v>225</v>
      </c>
      <c r="AG139" s="34" t="s">
        <v>225</v>
      </c>
      <c r="AH139" s="34"/>
      <c r="AI139" s="35" t="e">
        <f>IF(Tableau_Liste_KPI[[#This Row],[Charge commandée]]="","",IF(Tableau_Liste_KPI[[#This Row],[Total]]&gt;Tableau_Liste_KPI[[#This Row],[Charge commandée]],"KO",""))</f>
        <v>#REF!</v>
      </c>
      <c r="AJ139" s="35" t="e">
        <f>IF(Tableau_Liste_KPI[[#This Row],[KPI Charges]]="KO",Tableau_Liste_KPI[[#This Row],[Charge commandée]]-Tableau_Liste_KPI[[#This Row],[Total]],"")</f>
        <v>#REF!</v>
      </c>
    </row>
    <row r="140" spans="1:36" ht="12" x14ac:dyDescent="0.2">
      <c r="A140" s="12" t="s">
        <v>394</v>
      </c>
      <c r="B140" s="12" t="s">
        <v>395</v>
      </c>
      <c r="C140" s="12" t="s">
        <v>174</v>
      </c>
      <c r="D140" s="12" t="s">
        <v>33</v>
      </c>
      <c r="E140" s="12" t="s">
        <v>44</v>
      </c>
      <c r="F140" s="12" t="s">
        <v>34</v>
      </c>
      <c r="G140" s="12" t="s">
        <v>689</v>
      </c>
      <c r="H140" s="6">
        <v>42983.59375</v>
      </c>
      <c r="I140" s="6">
        <v>43048.720289351855</v>
      </c>
      <c r="J140" s="6">
        <v>43075.554131944446</v>
      </c>
      <c r="K140" s="69" t="s">
        <v>225</v>
      </c>
      <c r="L140" s="13" t="s">
        <v>225</v>
      </c>
      <c r="M140" s="13">
        <v>2</v>
      </c>
      <c r="N140" s="13">
        <v>-2</v>
      </c>
      <c r="O140" s="12">
        <v>18</v>
      </c>
      <c r="P140" s="13">
        <v>12</v>
      </c>
      <c r="Q140" s="13" t="s">
        <v>225</v>
      </c>
      <c r="R140" s="33">
        <v>10</v>
      </c>
      <c r="S140" s="33">
        <v>15</v>
      </c>
      <c r="T140" s="33" t="s">
        <v>225</v>
      </c>
      <c r="U140" s="33">
        <v>43056.40902777778</v>
      </c>
      <c r="V140" s="33" t="s">
        <v>225</v>
      </c>
      <c r="W140" s="33" t="s">
        <v>694</v>
      </c>
      <c r="X140" s="33" t="s">
        <v>225</v>
      </c>
      <c r="Y140" s="33">
        <v>43088</v>
      </c>
      <c r="Z140" s="33">
        <v>43103</v>
      </c>
      <c r="AA140" s="13">
        <v>912</v>
      </c>
      <c r="AB140" s="13">
        <v>1</v>
      </c>
      <c r="AC140" s="13">
        <f>SUMIF(Tableau_Liste_UO[[Code UO]:[Code UO]],Tableau_Liste_KPI[[#This Row],[Code UO]], Tableau_Liste_UO[RAF])</f>
        <v>0</v>
      </c>
      <c r="AD140" s="13" t="e">
        <f>SUMIF(Tableau_Liste_UO[[Code UO]:[Code UO]],Tableau_Liste_KPI[[#This Row],[Code UO]], #REF!)</f>
        <v>#REF!</v>
      </c>
      <c r="AE140" s="34" t="s">
        <v>225</v>
      </c>
      <c r="AF140" s="34" t="s">
        <v>225</v>
      </c>
      <c r="AG140" s="34" t="s">
        <v>225</v>
      </c>
      <c r="AH140" s="34"/>
      <c r="AI140" s="35" t="e">
        <f>IF(Tableau_Liste_KPI[[#This Row],[Charge commandée]]="","",IF(Tableau_Liste_KPI[[#This Row],[Total]]&gt;Tableau_Liste_KPI[[#This Row],[Charge commandée]],"KO",""))</f>
        <v>#REF!</v>
      </c>
      <c r="AJ140" s="35" t="e">
        <f>IF(Tableau_Liste_KPI[[#This Row],[KPI Charges]]="KO",Tableau_Liste_KPI[[#This Row],[Charge commandée]]-Tableau_Liste_KPI[[#This Row],[Total]],"")</f>
        <v>#REF!</v>
      </c>
    </row>
    <row r="141" spans="1:36" ht="12" x14ac:dyDescent="0.2">
      <c r="A141" s="12" t="s">
        <v>222</v>
      </c>
      <c r="B141" s="12" t="s">
        <v>591</v>
      </c>
      <c r="C141" s="12" t="s">
        <v>259</v>
      </c>
      <c r="D141" s="12" t="s">
        <v>33</v>
      </c>
      <c r="E141" s="12" t="s">
        <v>539</v>
      </c>
      <c r="F141" s="12" t="s">
        <v>34</v>
      </c>
      <c r="G141" s="12" t="s">
        <v>699</v>
      </c>
      <c r="H141" s="6">
        <v>42983.592361111114</v>
      </c>
      <c r="I141" s="6">
        <v>43003.59039351852</v>
      </c>
      <c r="J141" s="6">
        <v>43034.529039351852</v>
      </c>
      <c r="K141" s="69">
        <v>43048.714328703703</v>
      </c>
      <c r="L141" s="13" t="s">
        <v>225</v>
      </c>
      <c r="M141" s="13">
        <v>0</v>
      </c>
      <c r="N141" s="13">
        <v>8</v>
      </c>
      <c r="O141" s="12">
        <v>14</v>
      </c>
      <c r="P141" s="13">
        <v>9</v>
      </c>
      <c r="Q141" s="13">
        <v>8</v>
      </c>
      <c r="R141" s="33">
        <v>8</v>
      </c>
      <c r="S141" s="33">
        <v>11</v>
      </c>
      <c r="T141" s="33" t="s">
        <v>225</v>
      </c>
      <c r="U141" s="33">
        <v>43013.40902777778</v>
      </c>
      <c r="V141" s="33">
        <v>43039.654861111114</v>
      </c>
      <c r="W141" s="33" t="s">
        <v>690</v>
      </c>
      <c r="X141" s="33" t="s">
        <v>694</v>
      </c>
      <c r="Y141" s="33">
        <v>43033</v>
      </c>
      <c r="Z141" s="33">
        <v>43038</v>
      </c>
      <c r="AA141" s="13">
        <v>3044</v>
      </c>
      <c r="AB141" s="13">
        <v>4</v>
      </c>
      <c r="AC141" s="13">
        <f>SUMIF(Tableau_Liste_UO[[Code UO]:[Code UO]],Tableau_Liste_KPI[[#This Row],[Code UO]], Tableau_Liste_UO[RAF])</f>
        <v>0</v>
      </c>
      <c r="AD141" s="13" t="e">
        <f>SUMIF(Tableau_Liste_UO[[Code UO]:[Code UO]],Tableau_Liste_KPI[[#This Row],[Code UO]], #REF!)</f>
        <v>#REF!</v>
      </c>
      <c r="AE141" s="34" t="s">
        <v>225</v>
      </c>
      <c r="AF141" s="34" t="s">
        <v>225</v>
      </c>
      <c r="AG141" s="34" t="s">
        <v>225</v>
      </c>
      <c r="AH141" s="34"/>
      <c r="AI141" s="35" t="e">
        <f>IF(Tableau_Liste_KPI[[#This Row],[Charge commandée]]="","",IF(Tableau_Liste_KPI[[#This Row],[Total]]&gt;Tableau_Liste_KPI[[#This Row],[Charge commandée]],"KO",""))</f>
        <v>#REF!</v>
      </c>
      <c r="AJ141" s="35" t="e">
        <f>IF(Tableau_Liste_KPI[[#This Row],[KPI Charges]]="KO",Tableau_Liste_KPI[[#This Row],[Charge commandée]]-Tableau_Liste_KPI[[#This Row],[Total]],"")</f>
        <v>#REF!</v>
      </c>
    </row>
    <row r="142" spans="1:36" ht="12" x14ac:dyDescent="0.2">
      <c r="A142" s="32" t="s">
        <v>204</v>
      </c>
      <c r="B142" s="12" t="s">
        <v>393</v>
      </c>
      <c r="C142" s="12" t="s">
        <v>259</v>
      </c>
      <c r="D142" s="12" t="s">
        <v>37</v>
      </c>
      <c r="E142" s="12" t="s">
        <v>544</v>
      </c>
      <c r="F142" s="12" t="s">
        <v>34</v>
      </c>
      <c r="G142" s="12" t="s">
        <v>702</v>
      </c>
      <c r="H142" s="6">
        <v>42983.466666666667</v>
      </c>
      <c r="I142" s="6">
        <v>42983.467511574076</v>
      </c>
      <c r="J142" s="6" t="s">
        <v>225</v>
      </c>
      <c r="K142" s="69">
        <v>43035.641273148147</v>
      </c>
      <c r="L142" s="13" t="s">
        <v>225</v>
      </c>
      <c r="M142" s="13">
        <v>2</v>
      </c>
      <c r="N142" s="13">
        <v>37</v>
      </c>
      <c r="O142" s="12">
        <v>0</v>
      </c>
      <c r="P142" s="13" t="s">
        <v>225</v>
      </c>
      <c r="Q142" s="13">
        <v>39</v>
      </c>
      <c r="R142" s="33" t="s">
        <v>225</v>
      </c>
      <c r="S142" s="33" t="s">
        <v>225</v>
      </c>
      <c r="T142" s="33" t="s">
        <v>225</v>
      </c>
      <c r="U142" s="33" t="s">
        <v>225</v>
      </c>
      <c r="V142" s="33" t="s">
        <v>225</v>
      </c>
      <c r="W142" s="33" t="s">
        <v>690</v>
      </c>
      <c r="X142" s="33" t="s">
        <v>703</v>
      </c>
      <c r="Y142" s="33">
        <v>42978.833333333336</v>
      </c>
      <c r="Z142" s="33">
        <v>42978.833333333336</v>
      </c>
      <c r="AA142" s="13">
        <v>3000</v>
      </c>
      <c r="AB142" s="13">
        <v>4</v>
      </c>
      <c r="AC142" s="13">
        <f>SUMIF(Tableau_Liste_UO[[Code UO]:[Code UO]],Tableau_Liste_KPI[[#This Row],[Code UO]], Tableau_Liste_UO[RAF])</f>
        <v>0</v>
      </c>
      <c r="AD142" s="13" t="e">
        <f>SUMIF(Tableau_Liste_UO[[Code UO]:[Code UO]],Tableau_Liste_KPI[[#This Row],[Code UO]], #REF!)</f>
        <v>#REF!</v>
      </c>
      <c r="AE142" s="34" t="s">
        <v>225</v>
      </c>
      <c r="AF142" s="34" t="s">
        <v>225</v>
      </c>
      <c r="AG142" s="34" t="s">
        <v>225</v>
      </c>
      <c r="AH142" s="34"/>
      <c r="AI142" s="35" t="e">
        <f>IF(Tableau_Liste_KPI[[#This Row],[Charge commandée]]="","",IF(Tableau_Liste_KPI[[#This Row],[Total]]&gt;Tableau_Liste_KPI[[#This Row],[Charge commandée]],"KO",""))</f>
        <v>#REF!</v>
      </c>
      <c r="AJ142" s="35" t="e">
        <f>IF(Tableau_Liste_KPI[[#This Row],[KPI Charges]]="KO",Tableau_Liste_KPI[[#This Row],[Charge commandée]]-Tableau_Liste_KPI[[#This Row],[Total]],"")</f>
        <v>#REF!</v>
      </c>
    </row>
    <row r="143" spans="1:36" ht="12" x14ac:dyDescent="0.2">
      <c r="A143" s="32" t="s">
        <v>205</v>
      </c>
      <c r="B143" s="12" t="s">
        <v>392</v>
      </c>
      <c r="C143" s="12" t="s">
        <v>259</v>
      </c>
      <c r="D143" s="12" t="s">
        <v>37</v>
      </c>
      <c r="E143" s="12" t="s">
        <v>63</v>
      </c>
      <c r="F143" s="12" t="s">
        <v>34</v>
      </c>
      <c r="G143" s="12" t="s">
        <v>704</v>
      </c>
      <c r="H143" s="6">
        <v>42983.409722222219</v>
      </c>
      <c r="I143" s="6">
        <v>42983.807129629633</v>
      </c>
      <c r="J143" s="6">
        <v>43010.507569444446</v>
      </c>
      <c r="K143" s="69">
        <v>43010.823831018519</v>
      </c>
      <c r="L143" s="13" t="s">
        <v>225</v>
      </c>
      <c r="M143" s="13">
        <v>15</v>
      </c>
      <c r="N143" s="13">
        <v>5</v>
      </c>
      <c r="O143" s="12">
        <v>0</v>
      </c>
      <c r="P143" s="13">
        <v>-1</v>
      </c>
      <c r="Q143" s="13">
        <v>20</v>
      </c>
      <c r="R143" s="33">
        <v>7</v>
      </c>
      <c r="S143" s="33">
        <v>20</v>
      </c>
      <c r="T143" s="33">
        <v>42993.405555555553</v>
      </c>
      <c r="U143" s="33">
        <v>43007.62222222222</v>
      </c>
      <c r="V143" s="33" t="s">
        <v>225</v>
      </c>
      <c r="W143" s="33" t="s">
        <v>690</v>
      </c>
      <c r="X143" s="33" t="s">
        <v>703</v>
      </c>
      <c r="Y143" s="33">
        <v>42992</v>
      </c>
      <c r="Z143" s="33">
        <v>43011</v>
      </c>
      <c r="AA143" s="13">
        <v>5777</v>
      </c>
      <c r="AB143" s="13">
        <v>7.1</v>
      </c>
      <c r="AC143" s="13">
        <f>SUMIF(Tableau_Liste_UO[[Code UO]:[Code UO]],Tableau_Liste_KPI[[#This Row],[Code UO]], Tableau_Liste_UO[RAF])</f>
        <v>0</v>
      </c>
      <c r="AD143" s="13" t="e">
        <f>SUMIF(Tableau_Liste_UO[[Code UO]:[Code UO]],Tableau_Liste_KPI[[#This Row],[Code UO]], #REF!)</f>
        <v>#REF!</v>
      </c>
      <c r="AE143" s="34" t="s">
        <v>721</v>
      </c>
      <c r="AF143" s="34" t="s">
        <v>225</v>
      </c>
      <c r="AG143" s="34" t="s">
        <v>225</v>
      </c>
      <c r="AH143" s="34"/>
      <c r="AI143" s="35" t="e">
        <f>IF(Tableau_Liste_KPI[[#This Row],[Charge commandée]]="","",IF(Tableau_Liste_KPI[[#This Row],[Total]]&gt;Tableau_Liste_KPI[[#This Row],[Charge commandée]],"KO",""))</f>
        <v>#REF!</v>
      </c>
      <c r="AJ143" s="35" t="e">
        <f>IF(Tableau_Liste_KPI[[#This Row],[KPI Charges]]="KO",Tableau_Liste_KPI[[#This Row],[Charge commandée]]-Tableau_Liste_KPI[[#This Row],[Total]],"")</f>
        <v>#REF!</v>
      </c>
    </row>
    <row r="144" spans="1:36" ht="12" x14ac:dyDescent="0.2">
      <c r="A144" s="12" t="s">
        <v>206</v>
      </c>
      <c r="B144" s="12" t="s">
        <v>391</v>
      </c>
      <c r="C144" s="12" t="s">
        <v>281</v>
      </c>
      <c r="D144" s="12" t="s">
        <v>37</v>
      </c>
      <c r="E144" s="12" t="s">
        <v>544</v>
      </c>
      <c r="F144" s="12" t="s">
        <v>34</v>
      </c>
      <c r="G144" s="12" t="s">
        <v>702</v>
      </c>
      <c r="H144" s="6">
        <v>42982.511111111111</v>
      </c>
      <c r="I144" s="6">
        <v>42982.511956018519</v>
      </c>
      <c r="J144" s="6" t="s">
        <v>225</v>
      </c>
      <c r="K144" s="69" t="s">
        <v>225</v>
      </c>
      <c r="L144" s="13" t="s">
        <v>225</v>
      </c>
      <c r="M144" s="13">
        <v>4</v>
      </c>
      <c r="N144" s="13">
        <v>75</v>
      </c>
      <c r="O144" s="12">
        <v>0</v>
      </c>
      <c r="P144" s="13" t="s">
        <v>225</v>
      </c>
      <c r="Q144" s="13">
        <v>79</v>
      </c>
      <c r="R144" s="33" t="s">
        <v>225</v>
      </c>
      <c r="S144" s="33" t="s">
        <v>225</v>
      </c>
      <c r="T144" s="33" t="s">
        <v>225</v>
      </c>
      <c r="U144" s="33" t="s">
        <v>225</v>
      </c>
      <c r="V144" s="33" t="s">
        <v>225</v>
      </c>
      <c r="W144" s="33" t="s">
        <v>690</v>
      </c>
      <c r="X144" s="33" t="s">
        <v>225</v>
      </c>
      <c r="Y144" s="33">
        <v>43062.833333333336</v>
      </c>
      <c r="Z144" s="33">
        <v>43062.833333333336</v>
      </c>
      <c r="AA144" s="13">
        <v>6000</v>
      </c>
      <c r="AB144" s="13">
        <v>8</v>
      </c>
      <c r="AC144" s="13">
        <f>SUMIF(Tableau_Liste_UO[[Code UO]:[Code UO]],Tableau_Liste_KPI[[#This Row],[Code UO]], Tableau_Liste_UO[RAF])</f>
        <v>0</v>
      </c>
      <c r="AD144" s="13" t="e">
        <f>SUMIF(Tableau_Liste_UO[[Code UO]:[Code UO]],Tableau_Liste_KPI[[#This Row],[Code UO]], #REF!)</f>
        <v>#REF!</v>
      </c>
      <c r="AE144" s="34" t="s">
        <v>225</v>
      </c>
      <c r="AF144" s="34" t="s">
        <v>225</v>
      </c>
      <c r="AG144" s="34" t="s">
        <v>225</v>
      </c>
      <c r="AH144" s="34"/>
      <c r="AI144" s="35" t="e">
        <f>IF(Tableau_Liste_KPI[[#This Row],[Charge commandée]]="","",IF(Tableau_Liste_KPI[[#This Row],[Total]]&gt;Tableau_Liste_KPI[[#This Row],[Charge commandée]],"KO",""))</f>
        <v>#REF!</v>
      </c>
      <c r="AJ144" s="35" t="e">
        <f>IF(Tableau_Liste_KPI[[#This Row],[KPI Charges]]="KO",Tableau_Liste_KPI[[#This Row],[Charge commandée]]-Tableau_Liste_KPI[[#This Row],[Total]],"")</f>
        <v>#REF!</v>
      </c>
    </row>
    <row r="145" spans="1:36" ht="12" x14ac:dyDescent="0.2">
      <c r="A145" s="12" t="s">
        <v>207</v>
      </c>
      <c r="B145" s="12" t="s">
        <v>390</v>
      </c>
      <c r="C145" s="12" t="s">
        <v>259</v>
      </c>
      <c r="D145" s="12" t="s">
        <v>37</v>
      </c>
      <c r="E145" s="12" t="s">
        <v>544</v>
      </c>
      <c r="F145" s="12" t="s">
        <v>34</v>
      </c>
      <c r="G145" s="12" t="s">
        <v>702</v>
      </c>
      <c r="H145" s="6">
        <v>42982.509027777778</v>
      </c>
      <c r="I145" s="6">
        <v>42982.510034722225</v>
      </c>
      <c r="J145" s="6" t="s">
        <v>225</v>
      </c>
      <c r="K145" s="69">
        <v>43070.500960648147</v>
      </c>
      <c r="L145" s="13" t="s">
        <v>225</v>
      </c>
      <c r="M145" s="13">
        <v>4</v>
      </c>
      <c r="N145" s="13">
        <v>60</v>
      </c>
      <c r="O145" s="12">
        <v>0</v>
      </c>
      <c r="P145" s="13" t="s">
        <v>225</v>
      </c>
      <c r="Q145" s="13">
        <v>64</v>
      </c>
      <c r="R145" s="33" t="s">
        <v>225</v>
      </c>
      <c r="S145" s="33" t="s">
        <v>225</v>
      </c>
      <c r="T145" s="33" t="s">
        <v>225</v>
      </c>
      <c r="U145" s="33" t="s">
        <v>225</v>
      </c>
      <c r="V145" s="33" t="s">
        <v>225</v>
      </c>
      <c r="W145" s="33" t="s">
        <v>690</v>
      </c>
      <c r="X145" s="33" t="s">
        <v>707</v>
      </c>
      <c r="Y145" s="33">
        <v>43069.833333333336</v>
      </c>
      <c r="Z145" s="33">
        <v>43069.833333333336</v>
      </c>
      <c r="AA145" s="13">
        <v>13500</v>
      </c>
      <c r="AB145" s="13">
        <v>18</v>
      </c>
      <c r="AC145" s="13">
        <f>SUMIF(Tableau_Liste_UO[[Code UO]:[Code UO]],Tableau_Liste_KPI[[#This Row],[Code UO]], Tableau_Liste_UO[RAF])</f>
        <v>0</v>
      </c>
      <c r="AD145" s="13" t="e">
        <f>SUMIF(Tableau_Liste_UO[[Code UO]:[Code UO]],Tableau_Liste_KPI[[#This Row],[Code UO]], #REF!)</f>
        <v>#REF!</v>
      </c>
      <c r="AE145" s="34" t="s">
        <v>225</v>
      </c>
      <c r="AF145" s="34" t="s">
        <v>225</v>
      </c>
      <c r="AG145" s="34" t="s">
        <v>225</v>
      </c>
      <c r="AH145" s="34"/>
      <c r="AI145" s="35" t="e">
        <f>IF(Tableau_Liste_KPI[[#This Row],[Charge commandée]]="","",IF(Tableau_Liste_KPI[[#This Row],[Total]]&gt;Tableau_Liste_KPI[[#This Row],[Charge commandée]],"KO",""))</f>
        <v>#REF!</v>
      </c>
      <c r="AJ145" s="35" t="e">
        <f>IF(Tableau_Liste_KPI[[#This Row],[KPI Charges]]="KO",Tableau_Liste_KPI[[#This Row],[Charge commandée]]-Tableau_Liste_KPI[[#This Row],[Total]],"")</f>
        <v>#REF!</v>
      </c>
    </row>
    <row r="146" spans="1:36" ht="12" x14ac:dyDescent="0.2">
      <c r="A146" s="12" t="s">
        <v>208</v>
      </c>
      <c r="B146" s="12" t="s">
        <v>389</v>
      </c>
      <c r="C146" s="12" t="s">
        <v>259</v>
      </c>
      <c r="D146" s="12" t="s">
        <v>37</v>
      </c>
      <c r="E146" s="12" t="s">
        <v>544</v>
      </c>
      <c r="F146" s="12" t="s">
        <v>34</v>
      </c>
      <c r="G146" s="12" t="s">
        <v>702</v>
      </c>
      <c r="H146" s="6">
        <v>42982.506944444445</v>
      </c>
      <c r="I146" s="6">
        <v>42982.508842592593</v>
      </c>
      <c r="J146" s="6" t="s">
        <v>225</v>
      </c>
      <c r="K146" s="69">
        <v>43070.501284722224</v>
      </c>
      <c r="L146" s="13" t="s">
        <v>225</v>
      </c>
      <c r="M146" s="13">
        <v>4</v>
      </c>
      <c r="N146" s="13">
        <v>60</v>
      </c>
      <c r="O146" s="12">
        <v>0</v>
      </c>
      <c r="P146" s="13" t="s">
        <v>225</v>
      </c>
      <c r="Q146" s="13">
        <v>64</v>
      </c>
      <c r="R146" s="33" t="s">
        <v>225</v>
      </c>
      <c r="S146" s="33" t="s">
        <v>225</v>
      </c>
      <c r="T146" s="33" t="s">
        <v>225</v>
      </c>
      <c r="U146" s="33" t="s">
        <v>225</v>
      </c>
      <c r="V146" s="33" t="s">
        <v>225</v>
      </c>
      <c r="W146" s="33" t="s">
        <v>690</v>
      </c>
      <c r="X146" s="33" t="s">
        <v>707</v>
      </c>
      <c r="Y146" s="33">
        <v>43039.833333333336</v>
      </c>
      <c r="Z146" s="33">
        <v>43039.833333333336</v>
      </c>
      <c r="AA146" s="13">
        <v>13500</v>
      </c>
      <c r="AB146" s="13">
        <v>18</v>
      </c>
      <c r="AC146" s="13">
        <f>SUMIF(Tableau_Liste_UO[[Code UO]:[Code UO]],Tableau_Liste_KPI[[#This Row],[Code UO]], Tableau_Liste_UO[RAF])</f>
        <v>0</v>
      </c>
      <c r="AD146" s="13" t="e">
        <f>SUMIF(Tableau_Liste_UO[[Code UO]:[Code UO]],Tableau_Liste_KPI[[#This Row],[Code UO]], #REF!)</f>
        <v>#REF!</v>
      </c>
      <c r="AE146" s="34" t="s">
        <v>225</v>
      </c>
      <c r="AF146" s="34" t="s">
        <v>225</v>
      </c>
      <c r="AG146" s="34" t="s">
        <v>225</v>
      </c>
      <c r="AH146" s="34"/>
      <c r="AI146" s="35" t="e">
        <f>IF(Tableau_Liste_KPI[[#This Row],[Charge commandée]]="","",IF(Tableau_Liste_KPI[[#This Row],[Total]]&gt;Tableau_Liste_KPI[[#This Row],[Charge commandée]],"KO",""))</f>
        <v>#REF!</v>
      </c>
      <c r="AJ146" s="35" t="e">
        <f>IF(Tableau_Liste_KPI[[#This Row],[KPI Charges]]="KO",Tableau_Liste_KPI[[#This Row],[Charge commandée]]-Tableau_Liste_KPI[[#This Row],[Total]],"")</f>
        <v>#REF!</v>
      </c>
    </row>
    <row r="147" spans="1:36" ht="12" x14ac:dyDescent="0.2">
      <c r="A147" s="12" t="s">
        <v>209</v>
      </c>
      <c r="B147" s="12" t="s">
        <v>388</v>
      </c>
      <c r="C147" s="12" t="s">
        <v>259</v>
      </c>
      <c r="D147" s="12" t="s">
        <v>37</v>
      </c>
      <c r="E147" s="12" t="s">
        <v>544</v>
      </c>
      <c r="F147" s="12" t="s">
        <v>34</v>
      </c>
      <c r="G147" s="12" t="s">
        <v>702</v>
      </c>
      <c r="H147" s="6">
        <v>42982.506944444445</v>
      </c>
      <c r="I147" s="6">
        <v>42982.509189814817</v>
      </c>
      <c r="J147" s="6" t="s">
        <v>225</v>
      </c>
      <c r="K147" s="69">
        <v>43035.641504629632</v>
      </c>
      <c r="L147" s="13" t="s">
        <v>225</v>
      </c>
      <c r="M147" s="13">
        <v>0</v>
      </c>
      <c r="N147" s="13">
        <v>39</v>
      </c>
      <c r="O147" s="12">
        <v>0</v>
      </c>
      <c r="P147" s="13" t="s">
        <v>225</v>
      </c>
      <c r="Q147" s="13">
        <v>39</v>
      </c>
      <c r="R147" s="33" t="s">
        <v>225</v>
      </c>
      <c r="S147" s="33" t="s">
        <v>225</v>
      </c>
      <c r="T147" s="33" t="s">
        <v>225</v>
      </c>
      <c r="U147" s="33" t="s">
        <v>225</v>
      </c>
      <c r="V147" s="33" t="s">
        <v>225</v>
      </c>
      <c r="W147" s="33" t="s">
        <v>690</v>
      </c>
      <c r="X147" s="33" t="s">
        <v>703</v>
      </c>
      <c r="Y147" s="33">
        <v>43008.504861111112</v>
      </c>
      <c r="Z147" s="33">
        <v>43008.504861111112</v>
      </c>
      <c r="AA147" s="13">
        <v>6750</v>
      </c>
      <c r="AB147" s="13">
        <v>9</v>
      </c>
      <c r="AC147" s="13">
        <f>SUMIF(Tableau_Liste_UO[[Code UO]:[Code UO]],Tableau_Liste_KPI[[#This Row],[Code UO]], Tableau_Liste_UO[RAF])</f>
        <v>0</v>
      </c>
      <c r="AD147" s="13" t="e">
        <f>SUMIF(Tableau_Liste_UO[[Code UO]:[Code UO]],Tableau_Liste_KPI[[#This Row],[Code UO]], #REF!)</f>
        <v>#REF!</v>
      </c>
      <c r="AE147" s="34" t="s">
        <v>225</v>
      </c>
      <c r="AF147" s="34" t="s">
        <v>225</v>
      </c>
      <c r="AG147" s="34" t="s">
        <v>225</v>
      </c>
      <c r="AH147" s="34"/>
      <c r="AI147" s="35" t="e">
        <f>IF(Tableau_Liste_KPI[[#This Row],[Charge commandée]]="","",IF(Tableau_Liste_KPI[[#This Row],[Total]]&gt;Tableau_Liste_KPI[[#This Row],[Charge commandée]],"KO",""))</f>
        <v>#REF!</v>
      </c>
      <c r="AJ147" s="35" t="e">
        <f>IF(Tableau_Liste_KPI[[#This Row],[KPI Charges]]="KO",Tableau_Liste_KPI[[#This Row],[Charge commandée]]-Tableau_Liste_KPI[[#This Row],[Total]],"")</f>
        <v>#REF!</v>
      </c>
    </row>
    <row r="148" spans="1:36" ht="12" x14ac:dyDescent="0.2">
      <c r="A148" s="12" t="s">
        <v>210</v>
      </c>
      <c r="B148" s="12" t="s">
        <v>592</v>
      </c>
      <c r="C148" s="12" t="s">
        <v>259</v>
      </c>
      <c r="D148" s="12" t="s">
        <v>33</v>
      </c>
      <c r="E148" s="12" t="s">
        <v>538</v>
      </c>
      <c r="F148" s="12" t="s">
        <v>34</v>
      </c>
      <c r="G148" s="12" t="s">
        <v>686</v>
      </c>
      <c r="H148" s="6">
        <v>42982.462500000001</v>
      </c>
      <c r="I148" s="6">
        <v>42982.462997685187</v>
      </c>
      <c r="J148" s="6">
        <v>42999.349247685182</v>
      </c>
      <c r="K148" s="69">
        <v>43003.530659722222</v>
      </c>
      <c r="L148" s="13" t="s">
        <v>225</v>
      </c>
      <c r="M148" s="13">
        <v>0</v>
      </c>
      <c r="N148" s="13">
        <v>13</v>
      </c>
      <c r="O148" s="12">
        <v>0</v>
      </c>
      <c r="P148" s="13">
        <v>2</v>
      </c>
      <c r="Q148" s="13">
        <v>13</v>
      </c>
      <c r="R148" s="33">
        <v>16</v>
      </c>
      <c r="S148" s="33">
        <v>24</v>
      </c>
      <c r="T148" s="33" t="s">
        <v>225</v>
      </c>
      <c r="U148" s="33">
        <v>43004.732638888891</v>
      </c>
      <c r="V148" s="33">
        <v>43000.623611111114</v>
      </c>
      <c r="W148" s="33" t="s">
        <v>690</v>
      </c>
      <c r="X148" s="33" t="s">
        <v>690</v>
      </c>
      <c r="Y148" s="33">
        <v>43004</v>
      </c>
      <c r="Z148" s="33">
        <v>43014</v>
      </c>
      <c r="AA148" s="13">
        <v>6088</v>
      </c>
      <c r="AB148" s="13">
        <v>8.1</v>
      </c>
      <c r="AC148" s="13">
        <f>SUMIF(Tableau_Liste_UO[[Code UO]:[Code UO]],Tableau_Liste_KPI[[#This Row],[Code UO]], Tableau_Liste_UO[RAF])</f>
        <v>0</v>
      </c>
      <c r="AD148" s="13" t="e">
        <f>SUMIF(Tableau_Liste_UO[[Code UO]:[Code UO]],Tableau_Liste_KPI[[#This Row],[Code UO]], #REF!)</f>
        <v>#REF!</v>
      </c>
      <c r="AE148" s="34" t="s">
        <v>225</v>
      </c>
      <c r="AF148" s="34" t="s">
        <v>225</v>
      </c>
      <c r="AG148" s="34" t="s">
        <v>225</v>
      </c>
      <c r="AH148" s="34"/>
      <c r="AI148" s="35" t="e">
        <f>IF(Tableau_Liste_KPI[[#This Row],[Charge commandée]]="","",IF(Tableau_Liste_KPI[[#This Row],[Total]]&gt;Tableau_Liste_KPI[[#This Row],[Charge commandée]],"KO",""))</f>
        <v>#REF!</v>
      </c>
      <c r="AJ148" s="35" t="e">
        <f>IF(Tableau_Liste_KPI[[#This Row],[KPI Charges]]="KO",Tableau_Liste_KPI[[#This Row],[Charge commandée]]-Tableau_Liste_KPI[[#This Row],[Total]],"")</f>
        <v>#REF!</v>
      </c>
    </row>
    <row r="149" spans="1:36" ht="12" x14ac:dyDescent="0.2">
      <c r="A149" s="12" t="s">
        <v>211</v>
      </c>
      <c r="B149" s="12" t="s">
        <v>387</v>
      </c>
      <c r="C149" s="12" t="s">
        <v>259</v>
      </c>
      <c r="D149" s="12" t="s">
        <v>37</v>
      </c>
      <c r="E149" s="12" t="s">
        <v>540</v>
      </c>
      <c r="F149" s="12" t="s">
        <v>43</v>
      </c>
      <c r="G149" s="12" t="s">
        <v>693</v>
      </c>
      <c r="H149" s="6">
        <v>42979.422222222223</v>
      </c>
      <c r="I149" s="6">
        <v>42979.657812500001</v>
      </c>
      <c r="J149" s="6">
        <v>42979.658113425925</v>
      </c>
      <c r="K149" s="69">
        <v>42983.807962962965</v>
      </c>
      <c r="L149" s="13" t="s">
        <v>225</v>
      </c>
      <c r="M149" s="13">
        <v>0</v>
      </c>
      <c r="N149" s="13">
        <v>-1</v>
      </c>
      <c r="O149" s="12">
        <v>0</v>
      </c>
      <c r="P149" s="13">
        <v>2</v>
      </c>
      <c r="Q149" s="13">
        <v>-1</v>
      </c>
      <c r="R149" s="33">
        <v>7</v>
      </c>
      <c r="S149" s="33">
        <v>10</v>
      </c>
      <c r="T149" s="33">
        <v>42986.420138888891</v>
      </c>
      <c r="U149" s="33">
        <v>42979.657638888886</v>
      </c>
      <c r="V149" s="33" t="s">
        <v>225</v>
      </c>
      <c r="W149" s="33" t="s">
        <v>690</v>
      </c>
      <c r="X149" s="33" t="s">
        <v>690</v>
      </c>
      <c r="Y149" s="33">
        <v>42990</v>
      </c>
      <c r="Z149" s="33">
        <v>42993</v>
      </c>
      <c r="AA149" s="13">
        <v>4127</v>
      </c>
      <c r="AB149" s="13">
        <v>5.0999999999999996</v>
      </c>
      <c r="AC149" s="13">
        <f>SUMIF(Tableau_Liste_UO[[Code UO]:[Code UO]],Tableau_Liste_KPI[[#This Row],[Code UO]], Tableau_Liste_UO[RAF])</f>
        <v>0</v>
      </c>
      <c r="AD149" s="13" t="e">
        <f>SUMIF(Tableau_Liste_UO[[Code UO]:[Code UO]],Tableau_Liste_KPI[[#This Row],[Code UO]], #REF!)</f>
        <v>#REF!</v>
      </c>
      <c r="AE149" s="34" t="s">
        <v>225</v>
      </c>
      <c r="AF149" s="34" t="s">
        <v>225</v>
      </c>
      <c r="AG149" s="34" t="s">
        <v>225</v>
      </c>
      <c r="AH149" s="34"/>
      <c r="AI149" s="35" t="e">
        <f>IF(Tableau_Liste_KPI[[#This Row],[Charge commandée]]="","",IF(Tableau_Liste_KPI[[#This Row],[Total]]&gt;Tableau_Liste_KPI[[#This Row],[Charge commandée]],"KO",""))</f>
        <v>#REF!</v>
      </c>
      <c r="AJ149" s="35" t="e">
        <f>IF(Tableau_Liste_KPI[[#This Row],[KPI Charges]]="KO",Tableau_Liste_KPI[[#This Row],[Charge commandée]]-Tableau_Liste_KPI[[#This Row],[Total]],"")</f>
        <v>#REF!</v>
      </c>
    </row>
    <row r="150" spans="1:36" ht="12" x14ac:dyDescent="0.2">
      <c r="A150" s="12" t="s">
        <v>32</v>
      </c>
      <c r="B150" s="12" t="s">
        <v>386</v>
      </c>
      <c r="C150" s="12" t="s">
        <v>281</v>
      </c>
      <c r="D150" s="12" t="s">
        <v>33</v>
      </c>
      <c r="E150" s="12" t="s">
        <v>544</v>
      </c>
      <c r="F150" s="12" t="s">
        <v>34</v>
      </c>
      <c r="G150" s="12" t="s">
        <v>701</v>
      </c>
      <c r="H150" s="6">
        <v>42978.727083333331</v>
      </c>
      <c r="I150" s="6">
        <v>42978.727361111109</v>
      </c>
      <c r="J150" s="6" t="s">
        <v>225</v>
      </c>
      <c r="K150" s="69" t="s">
        <v>225</v>
      </c>
      <c r="L150" s="13" t="s">
        <v>225</v>
      </c>
      <c r="M150" s="13">
        <v>0</v>
      </c>
      <c r="N150" s="13">
        <v>80</v>
      </c>
      <c r="O150" s="12">
        <v>0</v>
      </c>
      <c r="P150" s="13" t="s">
        <v>225</v>
      </c>
      <c r="Q150" s="13">
        <v>80</v>
      </c>
      <c r="R150" s="33" t="s">
        <v>225</v>
      </c>
      <c r="S150" s="33" t="s">
        <v>225</v>
      </c>
      <c r="T150" s="33" t="s">
        <v>225</v>
      </c>
      <c r="U150" s="33" t="s">
        <v>225</v>
      </c>
      <c r="V150" s="33" t="s">
        <v>225</v>
      </c>
      <c r="W150" s="33" t="s">
        <v>697</v>
      </c>
      <c r="X150" s="33" t="s">
        <v>225</v>
      </c>
      <c r="Y150" s="33">
        <v>42993.719444444447</v>
      </c>
      <c r="Z150" s="33">
        <v>42993.719444444447</v>
      </c>
      <c r="AA150" s="13">
        <v>7500</v>
      </c>
      <c r="AB150" s="13">
        <v>10</v>
      </c>
      <c r="AC150" s="13">
        <f>SUMIF(Tableau_Liste_UO[[Code UO]:[Code UO]],Tableau_Liste_KPI[[#This Row],[Code UO]], Tableau_Liste_UO[RAF])</f>
        <v>0</v>
      </c>
      <c r="AD150" s="13" t="e">
        <f>SUMIF(Tableau_Liste_UO[[Code UO]:[Code UO]],Tableau_Liste_KPI[[#This Row],[Code UO]], #REF!)</f>
        <v>#REF!</v>
      </c>
      <c r="AE150" s="34" t="s">
        <v>225</v>
      </c>
      <c r="AF150" s="34" t="s">
        <v>225</v>
      </c>
      <c r="AG150" s="34" t="s">
        <v>225</v>
      </c>
      <c r="AH150" s="34"/>
      <c r="AI150" s="35" t="e">
        <f>IF(Tableau_Liste_KPI[[#This Row],[Charge commandée]]="","",IF(Tableau_Liste_KPI[[#This Row],[Total]]&gt;Tableau_Liste_KPI[[#This Row],[Charge commandée]],"KO",""))</f>
        <v>#REF!</v>
      </c>
      <c r="AJ150" s="35" t="e">
        <f>IF(Tableau_Liste_KPI[[#This Row],[KPI Charges]]="KO",Tableau_Liste_KPI[[#This Row],[Charge commandée]]-Tableau_Liste_KPI[[#This Row],[Total]],"")</f>
        <v>#REF!</v>
      </c>
    </row>
    <row r="151" spans="1:36" ht="12" x14ac:dyDescent="0.2">
      <c r="A151" s="12" t="s">
        <v>35</v>
      </c>
      <c r="B151" s="12" t="s">
        <v>385</v>
      </c>
      <c r="C151" s="12" t="s">
        <v>259</v>
      </c>
      <c r="D151" s="12" t="s">
        <v>33</v>
      </c>
      <c r="E151" s="12" t="s">
        <v>544</v>
      </c>
      <c r="F151" s="12" t="s">
        <v>34</v>
      </c>
      <c r="G151" s="12" t="s">
        <v>701</v>
      </c>
      <c r="H151" s="6">
        <v>42978.716666666667</v>
      </c>
      <c r="I151" s="6">
        <v>42978.719618055555</v>
      </c>
      <c r="J151" s="6" t="s">
        <v>225</v>
      </c>
      <c r="K151" s="69">
        <v>42997.694421296299</v>
      </c>
      <c r="L151" s="13" t="s">
        <v>225</v>
      </c>
      <c r="M151" s="13">
        <v>0</v>
      </c>
      <c r="N151" s="13">
        <v>13</v>
      </c>
      <c r="O151" s="12">
        <v>0</v>
      </c>
      <c r="P151" s="13" t="s">
        <v>225</v>
      </c>
      <c r="Q151" s="13">
        <v>13</v>
      </c>
      <c r="R151" s="33" t="s">
        <v>225</v>
      </c>
      <c r="S151" s="33" t="s">
        <v>225</v>
      </c>
      <c r="T151" s="33" t="s">
        <v>225</v>
      </c>
      <c r="U151" s="33" t="s">
        <v>225</v>
      </c>
      <c r="V151" s="33" t="s">
        <v>225</v>
      </c>
      <c r="W151" s="33" t="s">
        <v>697</v>
      </c>
      <c r="X151" s="33" t="s">
        <v>690</v>
      </c>
      <c r="Y151" s="33">
        <v>42978.719444444447</v>
      </c>
      <c r="Z151" s="33">
        <v>42978.719444444447</v>
      </c>
      <c r="AA151" s="13">
        <v>3000</v>
      </c>
      <c r="AB151" s="13">
        <v>4</v>
      </c>
      <c r="AC151" s="13">
        <f>SUMIF(Tableau_Liste_UO[[Code UO]:[Code UO]],Tableau_Liste_KPI[[#This Row],[Code UO]], Tableau_Liste_UO[RAF])</f>
        <v>0</v>
      </c>
      <c r="AD151" s="13" t="e">
        <f>SUMIF(Tableau_Liste_UO[[Code UO]:[Code UO]],Tableau_Liste_KPI[[#This Row],[Code UO]], #REF!)</f>
        <v>#REF!</v>
      </c>
      <c r="AE151" s="34" t="s">
        <v>225</v>
      </c>
      <c r="AF151" s="34" t="s">
        <v>225</v>
      </c>
      <c r="AG151" s="34" t="s">
        <v>225</v>
      </c>
      <c r="AH151" s="34"/>
      <c r="AI151" s="35" t="e">
        <f>IF(Tableau_Liste_KPI[[#This Row],[Charge commandée]]="","",IF(Tableau_Liste_KPI[[#This Row],[Total]]&gt;Tableau_Liste_KPI[[#This Row],[Charge commandée]],"KO",""))</f>
        <v>#REF!</v>
      </c>
      <c r="AJ151" s="35" t="e">
        <f>IF(Tableau_Liste_KPI[[#This Row],[KPI Charges]]="KO",Tableau_Liste_KPI[[#This Row],[Charge commandée]]-Tableau_Liste_KPI[[#This Row],[Total]],"")</f>
        <v>#REF!</v>
      </c>
    </row>
    <row r="152" spans="1:36" ht="12" x14ac:dyDescent="0.2">
      <c r="A152" s="12" t="s">
        <v>36</v>
      </c>
      <c r="B152" s="12" t="s">
        <v>384</v>
      </c>
      <c r="C152" s="12" t="s">
        <v>281</v>
      </c>
      <c r="D152" s="12" t="s">
        <v>37</v>
      </c>
      <c r="E152" s="12" t="s">
        <v>544</v>
      </c>
      <c r="F152" s="12" t="s">
        <v>34</v>
      </c>
      <c r="G152" s="12" t="s">
        <v>702</v>
      </c>
      <c r="H152" s="6">
        <v>42978.677083333336</v>
      </c>
      <c r="I152" s="6">
        <v>42978.678368055553</v>
      </c>
      <c r="J152" s="6" t="s">
        <v>225</v>
      </c>
      <c r="K152" s="69" t="s">
        <v>225</v>
      </c>
      <c r="L152" s="13" t="s">
        <v>225</v>
      </c>
      <c r="M152" s="13">
        <v>0</v>
      </c>
      <c r="N152" s="13">
        <v>80</v>
      </c>
      <c r="O152" s="12">
        <v>0</v>
      </c>
      <c r="P152" s="13" t="s">
        <v>225</v>
      </c>
      <c r="Q152" s="13">
        <v>80</v>
      </c>
      <c r="R152" s="33" t="s">
        <v>225</v>
      </c>
      <c r="S152" s="33" t="s">
        <v>225</v>
      </c>
      <c r="T152" s="33" t="s">
        <v>225</v>
      </c>
      <c r="U152" s="33" t="s">
        <v>225</v>
      </c>
      <c r="V152" s="33" t="s">
        <v>225</v>
      </c>
      <c r="W152" s="33" t="s">
        <v>697</v>
      </c>
      <c r="X152" s="33" t="s">
        <v>225</v>
      </c>
      <c r="Y152" s="33">
        <v>43021.675000000003</v>
      </c>
      <c r="Z152" s="33">
        <v>43021.675000000003</v>
      </c>
      <c r="AA152" s="13">
        <v>3750</v>
      </c>
      <c r="AB152" s="13">
        <v>5</v>
      </c>
      <c r="AC152" s="13">
        <f>SUMIF(Tableau_Liste_UO[[Code UO]:[Code UO]],Tableau_Liste_KPI[[#This Row],[Code UO]], Tableau_Liste_UO[RAF])</f>
        <v>0</v>
      </c>
      <c r="AD152" s="13" t="e">
        <f>SUMIF(Tableau_Liste_UO[[Code UO]:[Code UO]],Tableau_Liste_KPI[[#This Row],[Code UO]], #REF!)</f>
        <v>#REF!</v>
      </c>
      <c r="AE152" s="34" t="s">
        <v>225</v>
      </c>
      <c r="AF152" s="34" t="s">
        <v>225</v>
      </c>
      <c r="AG152" s="34" t="s">
        <v>225</v>
      </c>
      <c r="AH152" s="34"/>
      <c r="AI152" s="35" t="e">
        <f>IF(Tableau_Liste_KPI[[#This Row],[Charge commandée]]="","",IF(Tableau_Liste_KPI[[#This Row],[Total]]&gt;Tableau_Liste_KPI[[#This Row],[Charge commandée]],"KO",""))</f>
        <v>#REF!</v>
      </c>
      <c r="AJ152" s="35" t="e">
        <f>IF(Tableau_Liste_KPI[[#This Row],[KPI Charges]]="KO",Tableau_Liste_KPI[[#This Row],[Charge commandée]]-Tableau_Liste_KPI[[#This Row],[Total]],"")</f>
        <v>#REF!</v>
      </c>
    </row>
    <row r="153" spans="1:36" ht="12" x14ac:dyDescent="0.2">
      <c r="A153" s="12" t="s">
        <v>382</v>
      </c>
      <c r="B153" s="12" t="s">
        <v>383</v>
      </c>
      <c r="C153" s="12" t="s">
        <v>173</v>
      </c>
      <c r="D153" s="12" t="s">
        <v>37</v>
      </c>
      <c r="E153" s="12" t="s">
        <v>540</v>
      </c>
      <c r="F153" s="12" t="s">
        <v>34</v>
      </c>
      <c r="G153" s="12" t="s">
        <v>691</v>
      </c>
      <c r="H153" s="6">
        <v>42978.638888888891</v>
      </c>
      <c r="I153" s="6">
        <v>43054.505057870374</v>
      </c>
      <c r="J153" s="6" t="s">
        <v>225</v>
      </c>
      <c r="K153" s="69" t="s">
        <v>225</v>
      </c>
      <c r="L153" s="13" t="s">
        <v>225</v>
      </c>
      <c r="M153" s="13">
        <v>0</v>
      </c>
      <c r="N153" s="13">
        <v>0</v>
      </c>
      <c r="O153" s="12">
        <v>0</v>
      </c>
      <c r="P153" s="13" t="s">
        <v>225</v>
      </c>
      <c r="Q153" s="13" t="s">
        <v>225</v>
      </c>
      <c r="R153" s="33">
        <v>30</v>
      </c>
      <c r="S153" s="33">
        <v>40</v>
      </c>
      <c r="T153" s="33" t="s">
        <v>225</v>
      </c>
      <c r="U153" s="33" t="s">
        <v>225</v>
      </c>
      <c r="V153" s="33" t="s">
        <v>225</v>
      </c>
      <c r="W153" s="33" t="s">
        <v>694</v>
      </c>
      <c r="X153" s="33" t="s">
        <v>225</v>
      </c>
      <c r="Y153" s="33">
        <v>43104</v>
      </c>
      <c r="Z153" s="33">
        <v>43118</v>
      </c>
      <c r="AA153" s="13">
        <v>11544</v>
      </c>
      <c r="AB153" s="13">
        <v>14.2</v>
      </c>
      <c r="AC153" s="13">
        <f>SUMIF(Tableau_Liste_UO[[Code UO]:[Code UO]],Tableau_Liste_KPI[[#This Row],[Code UO]], Tableau_Liste_UO[RAF])</f>
        <v>0</v>
      </c>
      <c r="AD153" s="13" t="e">
        <f>SUMIF(Tableau_Liste_UO[[Code UO]:[Code UO]],Tableau_Liste_KPI[[#This Row],[Code UO]], #REF!)</f>
        <v>#REF!</v>
      </c>
      <c r="AE153" s="34" t="s">
        <v>225</v>
      </c>
      <c r="AF153" s="34" t="s">
        <v>225</v>
      </c>
      <c r="AG153" s="34" t="s">
        <v>225</v>
      </c>
      <c r="AH153" s="34"/>
      <c r="AI153" s="35" t="e">
        <f>IF(Tableau_Liste_KPI[[#This Row],[Charge commandée]]="","",IF(Tableau_Liste_KPI[[#This Row],[Total]]&gt;Tableau_Liste_KPI[[#This Row],[Charge commandée]],"KO",""))</f>
        <v>#REF!</v>
      </c>
      <c r="AJ153" s="35" t="e">
        <f>IF(Tableau_Liste_KPI[[#This Row],[KPI Charges]]="KO",Tableau_Liste_KPI[[#This Row],[Charge commandée]]-Tableau_Liste_KPI[[#This Row],[Total]],"")</f>
        <v>#REF!</v>
      </c>
    </row>
    <row r="154" spans="1:36" ht="12" x14ac:dyDescent="0.2">
      <c r="A154" s="12" t="s">
        <v>234</v>
      </c>
      <c r="B154" s="12" t="s">
        <v>381</v>
      </c>
      <c r="C154" s="12" t="s">
        <v>173</v>
      </c>
      <c r="D154" s="12" t="s">
        <v>37</v>
      </c>
      <c r="E154" s="12" t="s">
        <v>540</v>
      </c>
      <c r="F154" s="12" t="s">
        <v>43</v>
      </c>
      <c r="G154" s="12" t="s">
        <v>693</v>
      </c>
      <c r="H154" s="6">
        <v>42978.638194444444</v>
      </c>
      <c r="I154" s="6">
        <v>43013.50476851852</v>
      </c>
      <c r="J154" s="6" t="s">
        <v>225</v>
      </c>
      <c r="K154" s="69" t="s">
        <v>225</v>
      </c>
      <c r="L154" s="13" t="s">
        <v>225</v>
      </c>
      <c r="M154" s="13">
        <v>0</v>
      </c>
      <c r="N154" s="13">
        <v>0</v>
      </c>
      <c r="O154" s="12">
        <v>0</v>
      </c>
      <c r="P154" s="13" t="s">
        <v>225</v>
      </c>
      <c r="Q154" s="13" t="s">
        <v>225</v>
      </c>
      <c r="R154" s="33">
        <v>7</v>
      </c>
      <c r="S154" s="33">
        <v>10</v>
      </c>
      <c r="T154" s="33" t="s">
        <v>225</v>
      </c>
      <c r="U154" s="33" t="s">
        <v>225</v>
      </c>
      <c r="V154" s="33" t="s">
        <v>225</v>
      </c>
      <c r="W154" s="33" t="s">
        <v>703</v>
      </c>
      <c r="X154" s="33" t="s">
        <v>225</v>
      </c>
      <c r="Y154" s="33">
        <v>43024</v>
      </c>
      <c r="Z154" s="33">
        <v>43027</v>
      </c>
      <c r="AA154" s="13">
        <v>4127</v>
      </c>
      <c r="AB154" s="13">
        <v>5.0999999999999996</v>
      </c>
      <c r="AC154" s="13">
        <f>SUMIF(Tableau_Liste_UO[[Code UO]:[Code UO]],Tableau_Liste_KPI[[#This Row],[Code UO]], Tableau_Liste_UO[RAF])</f>
        <v>0</v>
      </c>
      <c r="AD154" s="13" t="e">
        <f>SUMIF(Tableau_Liste_UO[[Code UO]:[Code UO]],Tableau_Liste_KPI[[#This Row],[Code UO]], #REF!)</f>
        <v>#REF!</v>
      </c>
      <c r="AE154" s="34" t="s">
        <v>225</v>
      </c>
      <c r="AF154" s="34" t="s">
        <v>225</v>
      </c>
      <c r="AG154" s="34" t="s">
        <v>225</v>
      </c>
      <c r="AH154" s="34"/>
      <c r="AI154" s="35" t="e">
        <f>IF(Tableau_Liste_KPI[[#This Row],[Charge commandée]]="","",IF(Tableau_Liste_KPI[[#This Row],[Total]]&gt;Tableau_Liste_KPI[[#This Row],[Charge commandée]],"KO",""))</f>
        <v>#REF!</v>
      </c>
      <c r="AJ154" s="35" t="e">
        <f>IF(Tableau_Liste_KPI[[#This Row],[KPI Charges]]="KO",Tableau_Liste_KPI[[#This Row],[Charge commandée]]-Tableau_Liste_KPI[[#This Row],[Total]],"")</f>
        <v>#REF!</v>
      </c>
    </row>
    <row r="155" spans="1:36" ht="12" x14ac:dyDescent="0.2">
      <c r="A155" s="25" t="s">
        <v>379</v>
      </c>
      <c r="B155" s="25" t="s">
        <v>380</v>
      </c>
      <c r="C155" s="12" t="s">
        <v>173</v>
      </c>
      <c r="D155" s="25" t="s">
        <v>37</v>
      </c>
      <c r="E155" s="25" t="s">
        <v>540</v>
      </c>
      <c r="F155" s="25" t="s">
        <v>43</v>
      </c>
      <c r="G155" s="25" t="s">
        <v>693</v>
      </c>
      <c r="H155" s="24">
        <v>42978.636805555558</v>
      </c>
      <c r="I155" s="24">
        <v>43069.495416666665</v>
      </c>
      <c r="J155" s="24" t="s">
        <v>225</v>
      </c>
      <c r="K155" s="71" t="s">
        <v>225</v>
      </c>
      <c r="L155" s="26" t="s">
        <v>225</v>
      </c>
      <c r="M155" s="26">
        <v>0</v>
      </c>
      <c r="N155" s="26">
        <v>0</v>
      </c>
      <c r="O155" s="25">
        <v>0</v>
      </c>
      <c r="P155" s="26" t="s">
        <v>225</v>
      </c>
      <c r="Q155" s="26" t="s">
        <v>225</v>
      </c>
      <c r="R155" s="39">
        <v>7</v>
      </c>
      <c r="S155" s="39">
        <v>10</v>
      </c>
      <c r="T155" s="39" t="s">
        <v>225</v>
      </c>
      <c r="U155" s="39" t="s">
        <v>225</v>
      </c>
      <c r="V155" s="39" t="s">
        <v>225</v>
      </c>
      <c r="W155" s="39" t="s">
        <v>694</v>
      </c>
      <c r="X155" s="39" t="s">
        <v>225</v>
      </c>
      <c r="Y155" s="39">
        <v>43080</v>
      </c>
      <c r="Z155" s="39">
        <v>43083</v>
      </c>
      <c r="AA155" s="26">
        <v>4127</v>
      </c>
      <c r="AB155" s="26">
        <v>5.0999999999999996</v>
      </c>
      <c r="AC155" s="26">
        <f>SUMIF(Tableau_Liste_UO[[Code UO]:[Code UO]],Tableau_Liste_KPI[[#This Row],[Code UO]], Tableau_Liste_UO[RAF])</f>
        <v>0</v>
      </c>
      <c r="AD155" s="26" t="e">
        <f>SUMIF(Tableau_Liste_UO[[Code UO]:[Code UO]],Tableau_Liste_KPI[[#This Row],[Code UO]], #REF!)</f>
        <v>#REF!</v>
      </c>
      <c r="AE155" s="40" t="s">
        <v>225</v>
      </c>
      <c r="AF155" s="40" t="s">
        <v>225</v>
      </c>
      <c r="AG155" s="40" t="s">
        <v>225</v>
      </c>
      <c r="AH155" s="40"/>
      <c r="AI155" s="41" t="e">
        <f>IF(Tableau_Liste_KPI[[#This Row],[Charge commandée]]="","",IF(Tableau_Liste_KPI[[#This Row],[Total]]&gt;Tableau_Liste_KPI[[#This Row],[Charge commandée]],"KO",""))</f>
        <v>#REF!</v>
      </c>
      <c r="AJ155" s="41" t="e">
        <f>IF(Tableau_Liste_KPI[[#This Row],[KPI Charges]]="KO",Tableau_Liste_KPI[[#This Row],[Charge commandée]]-Tableau_Liste_KPI[[#This Row],[Total]],"")</f>
        <v>#REF!</v>
      </c>
    </row>
    <row r="156" spans="1:36" ht="12" x14ac:dyDescent="0.2">
      <c r="A156" s="12" t="s">
        <v>377</v>
      </c>
      <c r="B156" s="12" t="s">
        <v>378</v>
      </c>
      <c r="C156" s="12" t="s">
        <v>173</v>
      </c>
      <c r="D156" s="12" t="s">
        <v>37</v>
      </c>
      <c r="E156" s="12" t="s">
        <v>540</v>
      </c>
      <c r="F156" s="12" t="s">
        <v>43</v>
      </c>
      <c r="G156" s="12" t="s">
        <v>693</v>
      </c>
      <c r="H156" s="6">
        <v>42978.635416666664</v>
      </c>
      <c r="I156" s="6">
        <v>43069.495081018518</v>
      </c>
      <c r="J156" s="6" t="s">
        <v>225</v>
      </c>
      <c r="K156" s="69" t="s">
        <v>225</v>
      </c>
      <c r="L156" s="13" t="s">
        <v>225</v>
      </c>
      <c r="M156" s="13">
        <v>0</v>
      </c>
      <c r="N156" s="13">
        <v>0</v>
      </c>
      <c r="O156" s="12">
        <v>0</v>
      </c>
      <c r="P156" s="13" t="s">
        <v>225</v>
      </c>
      <c r="Q156" s="13" t="s">
        <v>225</v>
      </c>
      <c r="R156" s="33">
        <v>7</v>
      </c>
      <c r="S156" s="33">
        <v>10</v>
      </c>
      <c r="T156" s="33" t="s">
        <v>225</v>
      </c>
      <c r="U156" s="33" t="s">
        <v>225</v>
      </c>
      <c r="V156" s="33" t="s">
        <v>225</v>
      </c>
      <c r="W156" s="33" t="s">
        <v>694</v>
      </c>
      <c r="X156" s="33" t="s">
        <v>225</v>
      </c>
      <c r="Y156" s="33">
        <v>43080</v>
      </c>
      <c r="Z156" s="33">
        <v>43083</v>
      </c>
      <c r="AA156" s="13">
        <v>4127</v>
      </c>
      <c r="AB156" s="13">
        <v>5.0999999999999996</v>
      </c>
      <c r="AC156" s="13">
        <f>SUMIF(Tableau_Liste_UO[[Code UO]:[Code UO]],Tableau_Liste_KPI[[#This Row],[Code UO]], Tableau_Liste_UO[RAF])</f>
        <v>0</v>
      </c>
      <c r="AD156" s="13" t="e">
        <f>SUMIF(Tableau_Liste_UO[[Code UO]:[Code UO]],Tableau_Liste_KPI[[#This Row],[Code UO]], #REF!)</f>
        <v>#REF!</v>
      </c>
      <c r="AE156" s="34" t="s">
        <v>225</v>
      </c>
      <c r="AF156" s="34" t="s">
        <v>225</v>
      </c>
      <c r="AG156" s="34" t="s">
        <v>225</v>
      </c>
      <c r="AH156" s="34"/>
      <c r="AI156" s="35" t="e">
        <f>IF(Tableau_Liste_KPI[[#This Row],[Charge commandée]]="","",IF(Tableau_Liste_KPI[[#This Row],[Total]]&gt;Tableau_Liste_KPI[[#This Row],[Charge commandée]],"KO",""))</f>
        <v>#REF!</v>
      </c>
      <c r="AJ156" s="35" t="e">
        <f>IF(Tableau_Liste_KPI[[#This Row],[KPI Charges]]="KO",Tableau_Liste_KPI[[#This Row],[Charge commandée]]-Tableau_Liste_KPI[[#This Row],[Total]],"")</f>
        <v>#REF!</v>
      </c>
    </row>
    <row r="157" spans="1:36" ht="12" x14ac:dyDescent="0.2">
      <c r="A157" s="12" t="s">
        <v>375</v>
      </c>
      <c r="B157" s="12" t="s">
        <v>376</v>
      </c>
      <c r="C157" s="12" t="s">
        <v>173</v>
      </c>
      <c r="D157" s="12" t="s">
        <v>37</v>
      </c>
      <c r="E157" s="12" t="s">
        <v>540</v>
      </c>
      <c r="F157" s="12" t="s">
        <v>34</v>
      </c>
      <c r="G157" s="12" t="s">
        <v>691</v>
      </c>
      <c r="H157" s="6">
        <v>42978.634027777778</v>
      </c>
      <c r="I157" s="6">
        <v>43069.494733796295</v>
      </c>
      <c r="J157" s="6" t="s">
        <v>225</v>
      </c>
      <c r="K157" s="69" t="s">
        <v>225</v>
      </c>
      <c r="L157" s="13" t="s">
        <v>225</v>
      </c>
      <c r="M157" s="13">
        <v>0</v>
      </c>
      <c r="N157" s="13">
        <v>0</v>
      </c>
      <c r="O157" s="12">
        <v>0</v>
      </c>
      <c r="P157" s="13" t="s">
        <v>225</v>
      </c>
      <c r="Q157" s="13" t="s">
        <v>225</v>
      </c>
      <c r="R157" s="33">
        <v>30</v>
      </c>
      <c r="S157" s="33">
        <v>40</v>
      </c>
      <c r="T157" s="33" t="s">
        <v>225</v>
      </c>
      <c r="U157" s="33" t="s">
        <v>225</v>
      </c>
      <c r="V157" s="33" t="s">
        <v>225</v>
      </c>
      <c r="W157" s="33" t="s">
        <v>694</v>
      </c>
      <c r="X157" s="33" t="s">
        <v>225</v>
      </c>
      <c r="Y157" s="33">
        <v>43119</v>
      </c>
      <c r="Z157" s="33">
        <v>43133</v>
      </c>
      <c r="AA157" s="13">
        <v>11544</v>
      </c>
      <c r="AB157" s="13">
        <v>14.2</v>
      </c>
      <c r="AC157" s="13">
        <f>SUMIF(Tableau_Liste_UO[[Code UO]:[Code UO]],Tableau_Liste_KPI[[#This Row],[Code UO]], Tableau_Liste_UO[RAF])</f>
        <v>0</v>
      </c>
      <c r="AD157" s="13" t="e">
        <f>SUMIF(Tableau_Liste_UO[[Code UO]:[Code UO]],Tableau_Liste_KPI[[#This Row],[Code UO]], #REF!)</f>
        <v>#REF!</v>
      </c>
      <c r="AE157" s="34" t="s">
        <v>225</v>
      </c>
      <c r="AF157" s="34" t="s">
        <v>225</v>
      </c>
      <c r="AG157" s="34" t="s">
        <v>225</v>
      </c>
      <c r="AH157" s="34"/>
      <c r="AI157" s="35" t="e">
        <f>IF(Tableau_Liste_KPI[[#This Row],[Charge commandée]]="","",IF(Tableau_Liste_KPI[[#This Row],[Total]]&gt;Tableau_Liste_KPI[[#This Row],[Charge commandée]],"KO",""))</f>
        <v>#REF!</v>
      </c>
      <c r="AJ157" s="35" t="e">
        <f>IF(Tableau_Liste_KPI[[#This Row],[KPI Charges]]="KO",Tableau_Liste_KPI[[#This Row],[Charge commandée]]-Tableau_Liste_KPI[[#This Row],[Total]],"")</f>
        <v>#REF!</v>
      </c>
    </row>
    <row r="158" spans="1:36" ht="12" x14ac:dyDescent="0.2">
      <c r="A158" s="12" t="s">
        <v>373</v>
      </c>
      <c r="B158" s="12" t="s">
        <v>374</v>
      </c>
      <c r="C158" s="12" t="s">
        <v>309</v>
      </c>
      <c r="D158" s="12" t="s">
        <v>37</v>
      </c>
      <c r="E158" s="12" t="s">
        <v>540</v>
      </c>
      <c r="F158" s="12" t="s">
        <v>43</v>
      </c>
      <c r="G158" s="12" t="s">
        <v>693</v>
      </c>
      <c r="H158" s="6">
        <v>42978.632638888892</v>
      </c>
      <c r="I158" s="6" t="s">
        <v>225</v>
      </c>
      <c r="J158" s="6" t="s">
        <v>225</v>
      </c>
      <c r="K158" s="69" t="s">
        <v>225</v>
      </c>
      <c r="L158" s="13">
        <v>112.36736111110804</v>
      </c>
      <c r="M158" s="13">
        <v>0</v>
      </c>
      <c r="N158" s="13">
        <v>0</v>
      </c>
      <c r="O158" s="12">
        <v>0</v>
      </c>
      <c r="P158" s="13" t="s">
        <v>225</v>
      </c>
      <c r="Q158" s="13" t="s">
        <v>225</v>
      </c>
      <c r="R158" s="33">
        <v>7</v>
      </c>
      <c r="S158" s="33">
        <v>10</v>
      </c>
      <c r="T158" s="33" t="s">
        <v>225</v>
      </c>
      <c r="U158" s="33" t="s">
        <v>225</v>
      </c>
      <c r="V158" s="33" t="s">
        <v>225</v>
      </c>
      <c r="W158" s="33" t="s">
        <v>225</v>
      </c>
      <c r="X158" s="33" t="s">
        <v>225</v>
      </c>
      <c r="Y158" s="33" t="s">
        <v>225</v>
      </c>
      <c r="Z158" s="33" t="s">
        <v>225</v>
      </c>
      <c r="AA158" s="13">
        <v>4127</v>
      </c>
      <c r="AB158" s="13">
        <v>5.0999999999999996</v>
      </c>
      <c r="AC158" s="13">
        <f>SUMIF(Tableau_Liste_UO[[Code UO]:[Code UO]],Tableau_Liste_KPI[[#This Row],[Code UO]], Tableau_Liste_UO[RAF])</f>
        <v>0</v>
      </c>
      <c r="AD158" s="13" t="e">
        <f>SUMIF(Tableau_Liste_UO[[Code UO]:[Code UO]],Tableau_Liste_KPI[[#This Row],[Code UO]], #REF!)</f>
        <v>#REF!</v>
      </c>
      <c r="AE158" s="34" t="s">
        <v>225</v>
      </c>
      <c r="AF158" s="34" t="s">
        <v>225</v>
      </c>
      <c r="AG158" s="34" t="s">
        <v>225</v>
      </c>
      <c r="AH158" s="34"/>
      <c r="AI158" s="35" t="e">
        <f>IF(Tableau_Liste_KPI[[#This Row],[Charge commandée]]="","",IF(Tableau_Liste_KPI[[#This Row],[Total]]&gt;Tableau_Liste_KPI[[#This Row],[Charge commandée]],"KO",""))</f>
        <v>#REF!</v>
      </c>
      <c r="AJ158" s="35" t="e">
        <f>IF(Tableau_Liste_KPI[[#This Row],[KPI Charges]]="KO",Tableau_Liste_KPI[[#This Row],[Charge commandée]]-Tableau_Liste_KPI[[#This Row],[Total]],"")</f>
        <v>#REF!</v>
      </c>
    </row>
    <row r="159" spans="1:36" ht="12" x14ac:dyDescent="0.2">
      <c r="A159" s="12" t="s">
        <v>371</v>
      </c>
      <c r="B159" s="12" t="s">
        <v>372</v>
      </c>
      <c r="C159" s="12" t="s">
        <v>173</v>
      </c>
      <c r="D159" s="12" t="s">
        <v>37</v>
      </c>
      <c r="E159" s="12" t="s">
        <v>540</v>
      </c>
      <c r="F159" s="12" t="s">
        <v>43</v>
      </c>
      <c r="G159" s="12" t="s">
        <v>693</v>
      </c>
      <c r="H159" s="6">
        <v>42978.629166666666</v>
      </c>
      <c r="I159" s="6">
        <v>43069.494351851848</v>
      </c>
      <c r="J159" s="6" t="s">
        <v>225</v>
      </c>
      <c r="K159" s="69" t="s">
        <v>225</v>
      </c>
      <c r="L159" s="13" t="s">
        <v>225</v>
      </c>
      <c r="M159" s="13">
        <v>0</v>
      </c>
      <c r="N159" s="13">
        <v>0</v>
      </c>
      <c r="O159" s="12">
        <v>0</v>
      </c>
      <c r="P159" s="13" t="s">
        <v>225</v>
      </c>
      <c r="Q159" s="13" t="s">
        <v>225</v>
      </c>
      <c r="R159" s="33">
        <v>7</v>
      </c>
      <c r="S159" s="33">
        <v>10</v>
      </c>
      <c r="T159" s="33" t="s">
        <v>225</v>
      </c>
      <c r="U159" s="33" t="s">
        <v>225</v>
      </c>
      <c r="V159" s="33" t="s">
        <v>225</v>
      </c>
      <c r="W159" s="33" t="s">
        <v>694</v>
      </c>
      <c r="X159" s="33" t="s">
        <v>225</v>
      </c>
      <c r="Y159" s="33">
        <v>43080</v>
      </c>
      <c r="Z159" s="33">
        <v>43083</v>
      </c>
      <c r="AA159" s="13">
        <v>4127</v>
      </c>
      <c r="AB159" s="13">
        <v>5.0999999999999996</v>
      </c>
      <c r="AC159" s="13">
        <f>SUMIF(Tableau_Liste_UO[[Code UO]:[Code UO]],Tableau_Liste_KPI[[#This Row],[Code UO]], Tableau_Liste_UO[RAF])</f>
        <v>0</v>
      </c>
      <c r="AD159" s="13" t="e">
        <f>SUMIF(Tableau_Liste_UO[[Code UO]:[Code UO]],Tableau_Liste_KPI[[#This Row],[Code UO]], #REF!)</f>
        <v>#REF!</v>
      </c>
      <c r="AE159" s="34" t="s">
        <v>225</v>
      </c>
      <c r="AF159" s="34" t="s">
        <v>225</v>
      </c>
      <c r="AG159" s="34" t="s">
        <v>225</v>
      </c>
      <c r="AH159" s="34"/>
      <c r="AI159" s="35" t="e">
        <f>IF(Tableau_Liste_KPI[[#This Row],[Charge commandée]]="","",IF(Tableau_Liste_KPI[[#This Row],[Total]]&gt;Tableau_Liste_KPI[[#This Row],[Charge commandée]],"KO",""))</f>
        <v>#REF!</v>
      </c>
      <c r="AJ159" s="35" t="e">
        <f>IF(Tableau_Liste_KPI[[#This Row],[KPI Charges]]="KO",Tableau_Liste_KPI[[#This Row],[Charge commandée]]-Tableau_Liste_KPI[[#This Row],[Total]],"")</f>
        <v>#REF!</v>
      </c>
    </row>
    <row r="160" spans="1:36" ht="12" x14ac:dyDescent="0.2">
      <c r="A160" s="12" t="s">
        <v>38</v>
      </c>
      <c r="B160" s="12" t="s">
        <v>593</v>
      </c>
      <c r="C160" s="12" t="s">
        <v>259</v>
      </c>
      <c r="D160" s="12" t="s">
        <v>33</v>
      </c>
      <c r="E160" s="12" t="s">
        <v>539</v>
      </c>
      <c r="F160" s="12" t="s">
        <v>34</v>
      </c>
      <c r="G160" s="12" t="s">
        <v>699</v>
      </c>
      <c r="H160" s="6">
        <v>42978.501388888886</v>
      </c>
      <c r="I160" s="6">
        <v>42978.502083333333</v>
      </c>
      <c r="J160" s="6">
        <v>43020.635949074072</v>
      </c>
      <c r="K160" s="69">
        <v>43020.772129629629</v>
      </c>
      <c r="L160" s="13" t="s">
        <v>225</v>
      </c>
      <c r="M160" s="13">
        <v>0</v>
      </c>
      <c r="N160" s="13">
        <v>8</v>
      </c>
      <c r="O160" s="12">
        <v>20</v>
      </c>
      <c r="P160" s="13">
        <v>-1</v>
      </c>
      <c r="Q160" s="13">
        <v>8</v>
      </c>
      <c r="R160" s="33">
        <v>8</v>
      </c>
      <c r="S160" s="33">
        <v>11</v>
      </c>
      <c r="T160" s="33" t="s">
        <v>225</v>
      </c>
      <c r="U160" s="33">
        <v>43010.508333333331</v>
      </c>
      <c r="V160" s="33" t="s">
        <v>225</v>
      </c>
      <c r="W160" s="33" t="s">
        <v>697</v>
      </c>
      <c r="X160" s="33" t="s">
        <v>703</v>
      </c>
      <c r="Y160" s="33">
        <v>43018</v>
      </c>
      <c r="Z160" s="33">
        <v>43021</v>
      </c>
      <c r="AA160" s="13">
        <v>3044</v>
      </c>
      <c r="AB160" s="13">
        <v>4</v>
      </c>
      <c r="AC160" s="13">
        <f>SUMIF(Tableau_Liste_UO[[Code UO]:[Code UO]],Tableau_Liste_KPI[[#This Row],[Code UO]], Tableau_Liste_UO[RAF])</f>
        <v>0</v>
      </c>
      <c r="AD160" s="13" t="e">
        <f>SUMIF(Tableau_Liste_UO[[Code UO]:[Code UO]],Tableau_Liste_KPI[[#This Row],[Code UO]], #REF!)</f>
        <v>#REF!</v>
      </c>
      <c r="AE160" s="34" t="s">
        <v>225</v>
      </c>
      <c r="AF160" s="34" t="s">
        <v>225</v>
      </c>
      <c r="AG160" s="34" t="s">
        <v>225</v>
      </c>
      <c r="AH160" s="34"/>
      <c r="AI160" s="35" t="e">
        <f>IF(Tableau_Liste_KPI[[#This Row],[Charge commandée]]="","",IF(Tableau_Liste_KPI[[#This Row],[Total]]&gt;Tableau_Liste_KPI[[#This Row],[Charge commandée]],"KO",""))</f>
        <v>#REF!</v>
      </c>
      <c r="AJ160" s="35" t="e">
        <f>IF(Tableau_Liste_KPI[[#This Row],[KPI Charges]]="KO",Tableau_Liste_KPI[[#This Row],[Charge commandée]]-Tableau_Liste_KPI[[#This Row],[Total]],"")</f>
        <v>#REF!</v>
      </c>
    </row>
    <row r="161" spans="1:36" ht="12" x14ac:dyDescent="0.2">
      <c r="A161" s="12" t="s">
        <v>39</v>
      </c>
      <c r="B161" s="12" t="s">
        <v>594</v>
      </c>
      <c r="C161" s="12" t="s">
        <v>281</v>
      </c>
      <c r="D161" s="12" t="s">
        <v>37</v>
      </c>
      <c r="E161" s="12" t="s">
        <v>539</v>
      </c>
      <c r="F161" s="12" t="s">
        <v>34</v>
      </c>
      <c r="G161" s="12" t="s">
        <v>708</v>
      </c>
      <c r="H161" s="6">
        <v>42976.72152777778</v>
      </c>
      <c r="I161" s="6">
        <v>42976.741712962961</v>
      </c>
      <c r="J161" s="6" t="s">
        <v>225</v>
      </c>
      <c r="K161" s="69" t="s">
        <v>225</v>
      </c>
      <c r="L161" s="13" t="s">
        <v>225</v>
      </c>
      <c r="M161" s="13">
        <v>3</v>
      </c>
      <c r="N161" s="13">
        <v>24</v>
      </c>
      <c r="O161" s="12">
        <v>55</v>
      </c>
      <c r="P161" s="13" t="s">
        <v>225</v>
      </c>
      <c r="Q161" s="13">
        <v>27</v>
      </c>
      <c r="R161" s="33">
        <v>55</v>
      </c>
      <c r="S161" s="33">
        <v>70</v>
      </c>
      <c r="T161" s="33">
        <v>43007.5</v>
      </c>
      <c r="U161" s="33">
        <v>43028</v>
      </c>
      <c r="V161" s="33">
        <v>43091.591666666667</v>
      </c>
      <c r="W161" s="33" t="s">
        <v>697</v>
      </c>
      <c r="X161" s="33" t="s">
        <v>225</v>
      </c>
      <c r="Y161" s="33">
        <v>43139</v>
      </c>
      <c r="Z161" s="33">
        <v>43160</v>
      </c>
      <c r="AA161" s="13">
        <v>15590</v>
      </c>
      <c r="AB161" s="13">
        <v>20.2</v>
      </c>
      <c r="AC161" s="13">
        <f>SUMIF(Tableau_Liste_UO[[Code UO]:[Code UO]],Tableau_Liste_KPI[[#This Row],[Code UO]], Tableau_Liste_UO[RAF])</f>
        <v>0</v>
      </c>
      <c r="AD161" s="13" t="e">
        <f>SUMIF(Tableau_Liste_UO[[Code UO]:[Code UO]],Tableau_Liste_KPI[[#This Row],[Code UO]], #REF!)</f>
        <v>#REF!</v>
      </c>
      <c r="AE161" s="34" t="s">
        <v>225</v>
      </c>
      <c r="AF161" s="34" t="s">
        <v>225</v>
      </c>
      <c r="AG161" s="34" t="s">
        <v>225</v>
      </c>
      <c r="AH161" s="34"/>
      <c r="AI161" s="35" t="e">
        <f>IF(Tableau_Liste_KPI[[#This Row],[Charge commandée]]="","",IF(Tableau_Liste_KPI[[#This Row],[Total]]&gt;Tableau_Liste_KPI[[#This Row],[Charge commandée]],"KO",""))</f>
        <v>#REF!</v>
      </c>
      <c r="AJ161" s="35" t="e">
        <f>IF(Tableau_Liste_KPI[[#This Row],[KPI Charges]]="KO",Tableau_Liste_KPI[[#This Row],[Charge commandée]]-Tableau_Liste_KPI[[#This Row],[Total]],"")</f>
        <v>#REF!</v>
      </c>
    </row>
    <row r="162" spans="1:36" ht="12" x14ac:dyDescent="0.2">
      <c r="A162" s="12" t="s">
        <v>40</v>
      </c>
      <c r="B162" s="12" t="s">
        <v>370</v>
      </c>
      <c r="C162" s="12" t="s">
        <v>173</v>
      </c>
      <c r="D162" s="12" t="s">
        <v>37</v>
      </c>
      <c r="E162" s="12" t="s">
        <v>541</v>
      </c>
      <c r="F162" s="12" t="s">
        <v>34</v>
      </c>
      <c r="G162" s="12" t="s">
        <v>706</v>
      </c>
      <c r="H162" s="6">
        <v>42976.717361111114</v>
      </c>
      <c r="I162" s="6">
        <v>42976.741388888891</v>
      </c>
      <c r="J162" s="6" t="s">
        <v>225</v>
      </c>
      <c r="K162" s="69" t="s">
        <v>225</v>
      </c>
      <c r="L162" s="13" t="s">
        <v>225</v>
      </c>
      <c r="M162" s="13">
        <v>3</v>
      </c>
      <c r="N162" s="13">
        <v>0</v>
      </c>
      <c r="O162" s="12">
        <v>17</v>
      </c>
      <c r="P162" s="13" t="s">
        <v>225</v>
      </c>
      <c r="Q162" s="13">
        <v>3</v>
      </c>
      <c r="R162" s="33">
        <v>30</v>
      </c>
      <c r="S162" s="33">
        <v>40</v>
      </c>
      <c r="T162" s="33">
        <v>43039.5</v>
      </c>
      <c r="U162" s="33" t="s">
        <v>225</v>
      </c>
      <c r="V162" s="33" t="s">
        <v>225</v>
      </c>
      <c r="W162" s="33" t="s">
        <v>697</v>
      </c>
      <c r="X162" s="33" t="s">
        <v>225</v>
      </c>
      <c r="Y162" s="33">
        <v>43042</v>
      </c>
      <c r="Z162" s="33">
        <v>43056</v>
      </c>
      <c r="AA162" s="13">
        <v>8068</v>
      </c>
      <c r="AB162" s="13">
        <v>10.1</v>
      </c>
      <c r="AC162" s="13">
        <f>SUMIF(Tableau_Liste_UO[[Code UO]:[Code UO]],Tableau_Liste_KPI[[#This Row],[Code UO]], Tableau_Liste_UO[RAF])</f>
        <v>0</v>
      </c>
      <c r="AD162" s="13" t="e">
        <f>SUMIF(Tableau_Liste_UO[[Code UO]:[Code UO]],Tableau_Liste_KPI[[#This Row],[Code UO]], #REF!)</f>
        <v>#REF!</v>
      </c>
      <c r="AE162" s="34" t="s">
        <v>225</v>
      </c>
      <c r="AF162" s="34" t="s">
        <v>225</v>
      </c>
      <c r="AG162" s="34" t="s">
        <v>225</v>
      </c>
      <c r="AH162" s="34"/>
      <c r="AI162" s="35" t="e">
        <f>IF(Tableau_Liste_KPI[[#This Row],[Charge commandée]]="","",IF(Tableau_Liste_KPI[[#This Row],[Total]]&gt;Tableau_Liste_KPI[[#This Row],[Charge commandée]],"KO",""))</f>
        <v>#REF!</v>
      </c>
      <c r="AJ162" s="35" t="e">
        <f>IF(Tableau_Liste_KPI[[#This Row],[KPI Charges]]="KO",Tableau_Liste_KPI[[#This Row],[Charge commandée]]-Tableau_Liste_KPI[[#This Row],[Total]],"")</f>
        <v>#REF!</v>
      </c>
    </row>
    <row r="163" spans="1:36" ht="12" x14ac:dyDescent="0.2">
      <c r="A163" s="12" t="s">
        <v>41</v>
      </c>
      <c r="B163" s="12" t="s">
        <v>594</v>
      </c>
      <c r="C163" s="12" t="s">
        <v>173</v>
      </c>
      <c r="D163" s="12" t="s">
        <v>37</v>
      </c>
      <c r="E163" s="12" t="s">
        <v>540</v>
      </c>
      <c r="F163" s="12" t="s">
        <v>34</v>
      </c>
      <c r="G163" s="12" t="s">
        <v>691</v>
      </c>
      <c r="H163" s="6">
        <v>42976.69027777778</v>
      </c>
      <c r="I163" s="6">
        <v>42976.715300925927</v>
      </c>
      <c r="J163" s="6" t="s">
        <v>225</v>
      </c>
      <c r="K163" s="69" t="s">
        <v>225</v>
      </c>
      <c r="L163" s="13" t="s">
        <v>225</v>
      </c>
      <c r="M163" s="13">
        <v>0</v>
      </c>
      <c r="N163" s="13">
        <v>0</v>
      </c>
      <c r="O163" s="12">
        <v>0</v>
      </c>
      <c r="P163" s="13" t="s">
        <v>225</v>
      </c>
      <c r="Q163" s="13" t="s">
        <v>225</v>
      </c>
      <c r="R163" s="33">
        <v>30</v>
      </c>
      <c r="S163" s="33">
        <v>40</v>
      </c>
      <c r="T163" s="33">
        <v>43007.5</v>
      </c>
      <c r="U163" s="33" t="s">
        <v>225</v>
      </c>
      <c r="V163" s="33" t="s">
        <v>225</v>
      </c>
      <c r="W163" s="33" t="s">
        <v>697</v>
      </c>
      <c r="X163" s="33" t="s">
        <v>225</v>
      </c>
      <c r="Y163" s="33">
        <v>43018</v>
      </c>
      <c r="Z163" s="33">
        <v>43032</v>
      </c>
      <c r="AA163" s="13">
        <v>11544</v>
      </c>
      <c r="AB163" s="13">
        <v>14.2</v>
      </c>
      <c r="AC163" s="13">
        <f>SUMIF(Tableau_Liste_UO[[Code UO]:[Code UO]],Tableau_Liste_KPI[[#This Row],[Code UO]], Tableau_Liste_UO[RAF])</f>
        <v>0</v>
      </c>
      <c r="AD163" s="13" t="e">
        <f>SUMIF(Tableau_Liste_UO[[Code UO]:[Code UO]],Tableau_Liste_KPI[[#This Row],[Code UO]], #REF!)</f>
        <v>#REF!</v>
      </c>
      <c r="AE163" s="34" t="s">
        <v>225</v>
      </c>
      <c r="AF163" s="34" t="s">
        <v>225</v>
      </c>
      <c r="AG163" s="34" t="s">
        <v>225</v>
      </c>
      <c r="AH163" s="34"/>
      <c r="AI163" s="35" t="e">
        <f>IF(Tableau_Liste_KPI[[#This Row],[Charge commandée]]="","",IF(Tableau_Liste_KPI[[#This Row],[Total]]&gt;Tableau_Liste_KPI[[#This Row],[Charge commandée]],"KO",""))</f>
        <v>#REF!</v>
      </c>
      <c r="AJ163" s="35" t="e">
        <f>IF(Tableau_Liste_KPI[[#This Row],[KPI Charges]]="KO",Tableau_Liste_KPI[[#This Row],[Charge commandée]]-Tableau_Liste_KPI[[#This Row],[Total]],"")</f>
        <v>#REF!</v>
      </c>
    </row>
    <row r="164" spans="1:36" ht="12" x14ac:dyDescent="0.2">
      <c r="A164" s="12" t="s">
        <v>212</v>
      </c>
      <c r="B164" s="12" t="s">
        <v>369</v>
      </c>
      <c r="C164" s="12" t="s">
        <v>259</v>
      </c>
      <c r="D164" s="12" t="s">
        <v>37</v>
      </c>
      <c r="E164" s="12" t="s">
        <v>63</v>
      </c>
      <c r="F164" s="12" t="s">
        <v>34</v>
      </c>
      <c r="G164" s="12" t="s">
        <v>704</v>
      </c>
      <c r="H164" s="6">
        <v>42976.625</v>
      </c>
      <c r="I164" s="6">
        <v>42979.681655092594</v>
      </c>
      <c r="J164" s="6">
        <v>43000.692881944444</v>
      </c>
      <c r="K164" s="69">
        <v>43055.494641203702</v>
      </c>
      <c r="L164" s="13" t="s">
        <v>225</v>
      </c>
      <c r="M164" s="13">
        <v>3</v>
      </c>
      <c r="N164" s="13">
        <v>11</v>
      </c>
      <c r="O164" s="12">
        <v>2</v>
      </c>
      <c r="P164" s="13">
        <v>38</v>
      </c>
      <c r="Q164" s="13">
        <v>14</v>
      </c>
      <c r="R164" s="33">
        <v>7</v>
      </c>
      <c r="S164" s="33">
        <v>20</v>
      </c>
      <c r="T164" s="33">
        <v>43000.625</v>
      </c>
      <c r="U164" s="33">
        <v>42990.7</v>
      </c>
      <c r="V164" s="33">
        <v>43003.765277777777</v>
      </c>
      <c r="W164" s="33" t="s">
        <v>690</v>
      </c>
      <c r="X164" s="33" t="s">
        <v>694</v>
      </c>
      <c r="Y164" s="33">
        <v>42992</v>
      </c>
      <c r="Z164" s="33">
        <v>43011</v>
      </c>
      <c r="AA164" s="13">
        <v>5777</v>
      </c>
      <c r="AB164" s="13">
        <v>7.1</v>
      </c>
      <c r="AC164" s="13">
        <f>SUMIF(Tableau_Liste_UO[[Code UO]:[Code UO]],Tableau_Liste_KPI[[#This Row],[Code UO]], Tableau_Liste_UO[RAF])</f>
        <v>0</v>
      </c>
      <c r="AD164" s="13" t="e">
        <f>SUMIF(Tableau_Liste_UO[[Code UO]:[Code UO]],Tableau_Liste_KPI[[#This Row],[Code UO]], #REF!)</f>
        <v>#REF!</v>
      </c>
      <c r="AE164" s="34" t="s">
        <v>721</v>
      </c>
      <c r="AF164" s="34" t="s">
        <v>225</v>
      </c>
      <c r="AG164" s="34" t="s">
        <v>225</v>
      </c>
      <c r="AH164" s="34"/>
      <c r="AI164" s="35" t="e">
        <f>IF(Tableau_Liste_KPI[[#This Row],[Charge commandée]]="","",IF(Tableau_Liste_KPI[[#This Row],[Total]]&gt;Tableau_Liste_KPI[[#This Row],[Charge commandée]],"KO",""))</f>
        <v>#REF!</v>
      </c>
      <c r="AJ164" s="35" t="e">
        <f>IF(Tableau_Liste_KPI[[#This Row],[KPI Charges]]="KO",Tableau_Liste_KPI[[#This Row],[Charge commandée]]-Tableau_Liste_KPI[[#This Row],[Total]],"")</f>
        <v>#REF!</v>
      </c>
    </row>
    <row r="165" spans="1:36" ht="12" x14ac:dyDescent="0.2">
      <c r="A165" s="12" t="s">
        <v>42</v>
      </c>
      <c r="B165" s="12" t="s">
        <v>368</v>
      </c>
      <c r="C165" s="12" t="s">
        <v>259</v>
      </c>
      <c r="D165" s="12" t="s">
        <v>33</v>
      </c>
      <c r="E165" s="12" t="s">
        <v>44</v>
      </c>
      <c r="F165" s="12" t="s">
        <v>43</v>
      </c>
      <c r="G165" s="12" t="s">
        <v>689</v>
      </c>
      <c r="H165" s="6">
        <v>42975.576388888891</v>
      </c>
      <c r="I165" s="6">
        <v>42975.577349537038</v>
      </c>
      <c r="J165" s="6">
        <v>43073.669490740744</v>
      </c>
      <c r="K165" s="69">
        <v>43073.670659722222</v>
      </c>
      <c r="L165" s="13" t="s">
        <v>225</v>
      </c>
      <c r="M165" s="13">
        <v>1</v>
      </c>
      <c r="N165" s="13">
        <v>-1</v>
      </c>
      <c r="O165" s="12">
        <v>68</v>
      </c>
      <c r="P165" s="13">
        <v>-1</v>
      </c>
      <c r="Q165" s="13" t="s">
        <v>225</v>
      </c>
      <c r="R165" s="33">
        <v>10</v>
      </c>
      <c r="S165" s="33">
        <v>15</v>
      </c>
      <c r="T165" s="33" t="s">
        <v>225</v>
      </c>
      <c r="U165" s="33">
        <v>43084.53402777778</v>
      </c>
      <c r="V165" s="33" t="s">
        <v>225</v>
      </c>
      <c r="W165" s="33" t="s">
        <v>697</v>
      </c>
      <c r="X165" s="33" t="s">
        <v>707</v>
      </c>
      <c r="Y165" s="33">
        <v>43084</v>
      </c>
      <c r="Z165" s="33">
        <v>43091</v>
      </c>
      <c r="AA165" s="13">
        <v>912</v>
      </c>
      <c r="AB165" s="13">
        <v>1</v>
      </c>
      <c r="AC165" s="13">
        <f>SUMIF(Tableau_Liste_UO[[Code UO]:[Code UO]],Tableau_Liste_KPI[[#This Row],[Code UO]], Tableau_Liste_UO[RAF])</f>
        <v>0</v>
      </c>
      <c r="AD165" s="13" t="e">
        <f>SUMIF(Tableau_Liste_UO[[Code UO]:[Code UO]],Tableau_Liste_KPI[[#This Row],[Code UO]], #REF!)</f>
        <v>#REF!</v>
      </c>
      <c r="AE165" s="34" t="s">
        <v>225</v>
      </c>
      <c r="AF165" s="34" t="s">
        <v>225</v>
      </c>
      <c r="AG165" s="34" t="s">
        <v>225</v>
      </c>
      <c r="AH165" s="34"/>
      <c r="AI165" s="35" t="e">
        <f>IF(Tableau_Liste_KPI[[#This Row],[Charge commandée]]="","",IF(Tableau_Liste_KPI[[#This Row],[Total]]&gt;Tableau_Liste_KPI[[#This Row],[Charge commandée]],"KO",""))</f>
        <v>#REF!</v>
      </c>
      <c r="AJ165" s="35" t="e">
        <f>IF(Tableau_Liste_KPI[[#This Row],[KPI Charges]]="KO",Tableau_Liste_KPI[[#This Row],[Charge commandée]]-Tableau_Liste_KPI[[#This Row],[Total]],"")</f>
        <v>#REF!</v>
      </c>
    </row>
    <row r="166" spans="1:36" ht="12" x14ac:dyDescent="0.2">
      <c r="A166" s="12" t="s">
        <v>45</v>
      </c>
      <c r="B166" s="12" t="s">
        <v>595</v>
      </c>
      <c r="C166" s="12" t="s">
        <v>259</v>
      </c>
      <c r="D166" s="12" t="s">
        <v>33</v>
      </c>
      <c r="E166" s="12" t="s">
        <v>539</v>
      </c>
      <c r="F166" s="12" t="s">
        <v>43</v>
      </c>
      <c r="G166" s="12" t="s">
        <v>698</v>
      </c>
      <c r="H166" s="6">
        <v>42975.574999999997</v>
      </c>
      <c r="I166" s="6">
        <v>42975.576111111113</v>
      </c>
      <c r="J166" s="6">
        <v>43034.531307870369</v>
      </c>
      <c r="K166" s="69">
        <v>43048.715474537035</v>
      </c>
      <c r="L166" s="13" t="s">
        <v>225</v>
      </c>
      <c r="M166" s="13">
        <v>1</v>
      </c>
      <c r="N166" s="13">
        <v>5</v>
      </c>
      <c r="O166" s="12">
        <v>37</v>
      </c>
      <c r="P166" s="13">
        <v>9</v>
      </c>
      <c r="Q166" s="13">
        <v>6</v>
      </c>
      <c r="R166" s="33">
        <v>5</v>
      </c>
      <c r="S166" s="33">
        <v>8</v>
      </c>
      <c r="T166" s="33" t="s">
        <v>225</v>
      </c>
      <c r="U166" s="33">
        <v>43034.734027777777</v>
      </c>
      <c r="V166" s="33" t="s">
        <v>225</v>
      </c>
      <c r="W166" s="33" t="s">
        <v>697</v>
      </c>
      <c r="X166" s="33" t="s">
        <v>694</v>
      </c>
      <c r="Y166" s="33">
        <v>43033</v>
      </c>
      <c r="Z166" s="33">
        <v>43038</v>
      </c>
      <c r="AA166" s="13">
        <v>1522</v>
      </c>
      <c r="AB166" s="13">
        <v>2</v>
      </c>
      <c r="AC166" s="13">
        <f>SUMIF(Tableau_Liste_UO[[Code UO]:[Code UO]],Tableau_Liste_KPI[[#This Row],[Code UO]], Tableau_Liste_UO[RAF])</f>
        <v>0</v>
      </c>
      <c r="AD166" s="13" t="e">
        <f>SUMIF(Tableau_Liste_UO[[Code UO]:[Code UO]],Tableau_Liste_KPI[[#This Row],[Code UO]], #REF!)</f>
        <v>#REF!</v>
      </c>
      <c r="AE166" s="34" t="s">
        <v>721</v>
      </c>
      <c r="AF166" s="34" t="s">
        <v>225</v>
      </c>
      <c r="AG166" s="34" t="s">
        <v>225</v>
      </c>
      <c r="AH166" s="34"/>
      <c r="AI166" s="35" t="e">
        <f>IF(Tableau_Liste_KPI[[#This Row],[Charge commandée]]="","",IF(Tableau_Liste_KPI[[#This Row],[Total]]&gt;Tableau_Liste_KPI[[#This Row],[Charge commandée]],"KO",""))</f>
        <v>#REF!</v>
      </c>
      <c r="AJ166" s="35" t="e">
        <f>IF(Tableau_Liste_KPI[[#This Row],[KPI Charges]]="KO",Tableau_Liste_KPI[[#This Row],[Charge commandée]]-Tableau_Liste_KPI[[#This Row],[Total]],"")</f>
        <v>#REF!</v>
      </c>
    </row>
    <row r="167" spans="1:36" ht="12" x14ac:dyDescent="0.2">
      <c r="A167" s="25" t="s">
        <v>46</v>
      </c>
      <c r="B167" s="25" t="s">
        <v>596</v>
      </c>
      <c r="C167" s="12" t="s">
        <v>259</v>
      </c>
      <c r="D167" s="25" t="s">
        <v>33</v>
      </c>
      <c r="E167" s="25" t="s">
        <v>538</v>
      </c>
      <c r="F167" s="25" t="s">
        <v>34</v>
      </c>
      <c r="G167" s="25" t="s">
        <v>686</v>
      </c>
      <c r="H167" s="24">
        <v>42975.574999999997</v>
      </c>
      <c r="I167" s="24">
        <v>42975.575439814813</v>
      </c>
      <c r="J167" s="24">
        <v>43026.379421296297</v>
      </c>
      <c r="K167" s="71">
        <v>43027.470312500001</v>
      </c>
      <c r="L167" s="26" t="s">
        <v>225</v>
      </c>
      <c r="M167" s="26">
        <v>2</v>
      </c>
      <c r="N167" s="26">
        <v>20</v>
      </c>
      <c r="O167" s="25">
        <v>16</v>
      </c>
      <c r="P167" s="26">
        <v>1</v>
      </c>
      <c r="Q167" s="26">
        <v>22</v>
      </c>
      <c r="R167" s="39">
        <v>16</v>
      </c>
      <c r="S167" s="39">
        <v>24</v>
      </c>
      <c r="T167" s="39" t="s">
        <v>225</v>
      </c>
      <c r="U167" s="39">
        <v>42982.412499999999</v>
      </c>
      <c r="V167" s="39">
        <v>43025.654861111114</v>
      </c>
      <c r="W167" s="39" t="s">
        <v>697</v>
      </c>
      <c r="X167" s="39" t="s">
        <v>703</v>
      </c>
      <c r="Y167" s="39">
        <v>43019</v>
      </c>
      <c r="Z167" s="39">
        <v>43031</v>
      </c>
      <c r="AA167" s="26">
        <v>6088</v>
      </c>
      <c r="AB167" s="26">
        <v>8.1</v>
      </c>
      <c r="AC167" s="26">
        <f>SUMIF(Tableau_Liste_UO[[Code UO]:[Code UO]],Tableau_Liste_KPI[[#This Row],[Code UO]], Tableau_Liste_UO[RAF])</f>
        <v>0</v>
      </c>
      <c r="AD167" s="26" t="e">
        <f>SUMIF(Tableau_Liste_UO[[Code UO]:[Code UO]],Tableau_Liste_KPI[[#This Row],[Code UO]], #REF!)</f>
        <v>#REF!</v>
      </c>
      <c r="AE167" s="40" t="s">
        <v>721</v>
      </c>
      <c r="AF167" s="40" t="s">
        <v>225</v>
      </c>
      <c r="AG167" s="40" t="s">
        <v>225</v>
      </c>
      <c r="AH167" s="40"/>
      <c r="AI167" s="41" t="e">
        <f>IF(Tableau_Liste_KPI[[#This Row],[Charge commandée]]="","",IF(Tableau_Liste_KPI[[#This Row],[Total]]&gt;Tableau_Liste_KPI[[#This Row],[Charge commandée]],"KO",""))</f>
        <v>#REF!</v>
      </c>
      <c r="AJ167" s="41" t="e">
        <f>IF(Tableau_Liste_KPI[[#This Row],[KPI Charges]]="KO",Tableau_Liste_KPI[[#This Row],[Charge commandée]]-Tableau_Liste_KPI[[#This Row],[Total]],"")</f>
        <v>#REF!</v>
      </c>
    </row>
    <row r="168" spans="1:36" ht="12" x14ac:dyDescent="0.2">
      <c r="A168" s="12" t="s">
        <v>47</v>
      </c>
      <c r="B168" s="12" t="s">
        <v>367</v>
      </c>
      <c r="C168" s="12" t="s">
        <v>259</v>
      </c>
      <c r="D168" s="12" t="s">
        <v>37</v>
      </c>
      <c r="E168" s="12" t="s">
        <v>540</v>
      </c>
      <c r="F168" s="12" t="s">
        <v>43</v>
      </c>
      <c r="G168" s="12" t="s">
        <v>693</v>
      </c>
      <c r="H168" s="6">
        <v>42971.390277777777</v>
      </c>
      <c r="I168" s="6">
        <v>42971.390844907408</v>
      </c>
      <c r="J168" s="6">
        <v>43025.649756944447</v>
      </c>
      <c r="K168" s="69">
        <v>43028.645127314812</v>
      </c>
      <c r="L168" s="13" t="s">
        <v>225</v>
      </c>
      <c r="M168" s="13">
        <v>4</v>
      </c>
      <c r="N168" s="13">
        <v>31</v>
      </c>
      <c r="O168" s="12">
        <v>1</v>
      </c>
      <c r="P168" s="13">
        <v>6</v>
      </c>
      <c r="Q168" s="13">
        <v>35</v>
      </c>
      <c r="R168" s="33">
        <v>7</v>
      </c>
      <c r="S168" s="33">
        <v>10</v>
      </c>
      <c r="T168" s="33">
        <v>42984.390277777777</v>
      </c>
      <c r="U168" s="33">
        <v>42984.518055555556</v>
      </c>
      <c r="V168" s="33">
        <v>43025.493055555555</v>
      </c>
      <c r="W168" s="33" t="s">
        <v>697</v>
      </c>
      <c r="X168" s="33" t="s">
        <v>703</v>
      </c>
      <c r="Y168" s="33">
        <v>42983</v>
      </c>
      <c r="Z168" s="33">
        <v>42986</v>
      </c>
      <c r="AA168" s="13">
        <v>4127</v>
      </c>
      <c r="AB168" s="13">
        <v>5.0999999999999996</v>
      </c>
      <c r="AC168" s="13">
        <f>SUMIF(Tableau_Liste_UO[[Code UO]:[Code UO]],Tableau_Liste_KPI[[#This Row],[Code UO]], Tableau_Liste_UO[RAF])</f>
        <v>0</v>
      </c>
      <c r="AD168" s="13" t="e">
        <f>SUMIF(Tableau_Liste_UO[[Code UO]:[Code UO]],Tableau_Liste_KPI[[#This Row],[Code UO]], #REF!)</f>
        <v>#REF!</v>
      </c>
      <c r="AE168" s="34" t="s">
        <v>721</v>
      </c>
      <c r="AF168" s="34" t="s">
        <v>721</v>
      </c>
      <c r="AG168" s="34" t="s">
        <v>225</v>
      </c>
      <c r="AH168" s="34"/>
      <c r="AI168" s="35" t="e">
        <f>IF(Tableau_Liste_KPI[[#This Row],[Charge commandée]]="","",IF(Tableau_Liste_KPI[[#This Row],[Total]]&gt;Tableau_Liste_KPI[[#This Row],[Charge commandée]],"KO",""))</f>
        <v>#REF!</v>
      </c>
      <c r="AJ168" s="35" t="e">
        <f>IF(Tableau_Liste_KPI[[#This Row],[KPI Charges]]="KO",Tableau_Liste_KPI[[#This Row],[Charge commandée]]-Tableau_Liste_KPI[[#This Row],[Total]],"")</f>
        <v>#REF!</v>
      </c>
    </row>
    <row r="169" spans="1:36" ht="12" x14ac:dyDescent="0.2">
      <c r="A169" s="12" t="s">
        <v>48</v>
      </c>
      <c r="B169" s="12" t="s">
        <v>366</v>
      </c>
      <c r="C169" s="12" t="s">
        <v>259</v>
      </c>
      <c r="D169" s="12" t="s">
        <v>33</v>
      </c>
      <c r="E169" s="12" t="s">
        <v>44</v>
      </c>
      <c r="F169" s="12" t="s">
        <v>225</v>
      </c>
      <c r="G169" s="12" t="s">
        <v>689</v>
      </c>
      <c r="H169" s="6">
        <v>42968.649305555555</v>
      </c>
      <c r="I169" s="6">
        <v>42968.654814814814</v>
      </c>
      <c r="J169" s="6">
        <v>42996.631157407406</v>
      </c>
      <c r="K169" s="69">
        <v>43003.530821759261</v>
      </c>
      <c r="L169" s="13" t="s">
        <v>225</v>
      </c>
      <c r="M169" s="13">
        <v>4</v>
      </c>
      <c r="N169" s="13">
        <v>2</v>
      </c>
      <c r="O169" s="12">
        <v>14</v>
      </c>
      <c r="P169" s="13">
        <v>5</v>
      </c>
      <c r="Q169" s="13">
        <v>6</v>
      </c>
      <c r="R169" s="33">
        <v>10</v>
      </c>
      <c r="S169" s="33">
        <v>15</v>
      </c>
      <c r="T169" s="33" t="s">
        <v>225</v>
      </c>
      <c r="U169" s="33">
        <v>42982.441666666666</v>
      </c>
      <c r="V169" s="33" t="s">
        <v>225</v>
      </c>
      <c r="W169" s="33" t="s">
        <v>697</v>
      </c>
      <c r="X169" s="33" t="s">
        <v>690</v>
      </c>
      <c r="Y169" s="33">
        <v>43000</v>
      </c>
      <c r="Z169" s="33">
        <v>43007</v>
      </c>
      <c r="AA169" s="13">
        <v>912</v>
      </c>
      <c r="AB169" s="13">
        <v>1</v>
      </c>
      <c r="AC169" s="13">
        <f>SUMIF(Tableau_Liste_UO[[Code UO]:[Code UO]],Tableau_Liste_KPI[[#This Row],[Code UO]], Tableau_Liste_UO[RAF])</f>
        <v>0</v>
      </c>
      <c r="AD169" s="13" t="e">
        <f>SUMIF(Tableau_Liste_UO[[Code UO]:[Code UO]],Tableau_Liste_KPI[[#This Row],[Code UO]], #REF!)</f>
        <v>#REF!</v>
      </c>
      <c r="AE169" s="34" t="s">
        <v>225</v>
      </c>
      <c r="AF169" s="34" t="s">
        <v>225</v>
      </c>
      <c r="AG169" s="34" t="s">
        <v>225</v>
      </c>
      <c r="AH169" s="34"/>
      <c r="AI169" s="35" t="e">
        <f>IF(Tableau_Liste_KPI[[#This Row],[Charge commandée]]="","",IF(Tableau_Liste_KPI[[#This Row],[Total]]&gt;Tableau_Liste_KPI[[#This Row],[Charge commandée]],"KO",""))</f>
        <v>#REF!</v>
      </c>
      <c r="AJ169" s="35" t="e">
        <f>IF(Tableau_Liste_KPI[[#This Row],[KPI Charges]]="KO",Tableau_Liste_KPI[[#This Row],[Charge commandée]]-Tableau_Liste_KPI[[#This Row],[Total]],"")</f>
        <v>#REF!</v>
      </c>
    </row>
    <row r="170" spans="1:36" ht="12" x14ac:dyDescent="0.2">
      <c r="A170" s="12" t="s">
        <v>49</v>
      </c>
      <c r="B170" s="12" t="s">
        <v>597</v>
      </c>
      <c r="C170" s="12" t="s">
        <v>259</v>
      </c>
      <c r="D170" s="12" t="s">
        <v>33</v>
      </c>
      <c r="E170" s="12" t="s">
        <v>539</v>
      </c>
      <c r="F170" s="12" t="s">
        <v>34</v>
      </c>
      <c r="G170" s="12" t="s">
        <v>699</v>
      </c>
      <c r="H170" s="6">
        <v>42968.649305555555</v>
      </c>
      <c r="I170" s="6">
        <v>42968.653587962966</v>
      </c>
      <c r="J170" s="6">
        <v>42976.469201388885</v>
      </c>
      <c r="K170" s="69">
        <v>42982.575775462959</v>
      </c>
      <c r="L170" s="13" t="s">
        <v>225</v>
      </c>
      <c r="M170" s="13">
        <v>4</v>
      </c>
      <c r="N170" s="13">
        <v>3</v>
      </c>
      <c r="O170" s="12">
        <v>0</v>
      </c>
      <c r="P170" s="13">
        <v>4</v>
      </c>
      <c r="Q170" s="13">
        <v>7</v>
      </c>
      <c r="R170" s="33">
        <v>8</v>
      </c>
      <c r="S170" s="33">
        <v>11</v>
      </c>
      <c r="T170" s="33" t="s">
        <v>225</v>
      </c>
      <c r="U170" s="33">
        <v>42978.442361111112</v>
      </c>
      <c r="V170" s="33" t="s">
        <v>225</v>
      </c>
      <c r="W170" s="33" t="s">
        <v>697</v>
      </c>
      <c r="X170" s="33" t="s">
        <v>690</v>
      </c>
      <c r="Y170" s="33">
        <v>42978</v>
      </c>
      <c r="Z170" s="33">
        <v>42983</v>
      </c>
      <c r="AA170" s="13">
        <v>3044</v>
      </c>
      <c r="AB170" s="13">
        <v>4</v>
      </c>
      <c r="AC170" s="13">
        <f>SUMIF(Tableau_Liste_UO[[Code UO]:[Code UO]],Tableau_Liste_KPI[[#This Row],[Code UO]], Tableau_Liste_UO[RAF])</f>
        <v>0</v>
      </c>
      <c r="AD170" s="13" t="e">
        <f>SUMIF(Tableau_Liste_UO[[Code UO]:[Code UO]],Tableau_Liste_KPI[[#This Row],[Code UO]], #REF!)</f>
        <v>#REF!</v>
      </c>
      <c r="AE170" s="34" t="s">
        <v>225</v>
      </c>
      <c r="AF170" s="34" t="s">
        <v>225</v>
      </c>
      <c r="AG170" s="34" t="s">
        <v>225</v>
      </c>
      <c r="AH170" s="34"/>
      <c r="AI170" s="35" t="e">
        <f>IF(Tableau_Liste_KPI[[#This Row],[Charge commandée]]="","",IF(Tableau_Liste_KPI[[#This Row],[Total]]&gt;Tableau_Liste_KPI[[#This Row],[Charge commandée]],"KO",""))</f>
        <v>#REF!</v>
      </c>
      <c r="AJ170" s="35" t="e">
        <f>IF(Tableau_Liste_KPI[[#This Row],[KPI Charges]]="KO",Tableau_Liste_KPI[[#This Row],[Charge commandée]]-Tableau_Liste_KPI[[#This Row],[Total]],"")</f>
        <v>#REF!</v>
      </c>
    </row>
    <row r="171" spans="1:36" ht="12" x14ac:dyDescent="0.2">
      <c r="A171" s="12" t="s">
        <v>50</v>
      </c>
      <c r="B171" s="12" t="s">
        <v>598</v>
      </c>
      <c r="C171" s="12" t="s">
        <v>259</v>
      </c>
      <c r="D171" s="12" t="s">
        <v>37</v>
      </c>
      <c r="E171" s="12" t="s">
        <v>540</v>
      </c>
      <c r="F171" s="12" t="s">
        <v>192</v>
      </c>
      <c r="G171" s="12" t="s">
        <v>695</v>
      </c>
      <c r="H171" s="6">
        <v>42965.688888888886</v>
      </c>
      <c r="I171" s="6">
        <v>42972.473009259258</v>
      </c>
      <c r="J171" s="6">
        <v>43000.610127314816</v>
      </c>
      <c r="K171" s="69">
        <v>43038.570405092592</v>
      </c>
      <c r="L171" s="13" t="s">
        <v>225</v>
      </c>
      <c r="M171" s="13">
        <v>-1</v>
      </c>
      <c r="N171" s="13">
        <v>16</v>
      </c>
      <c r="O171" s="12">
        <v>4</v>
      </c>
      <c r="P171" s="13">
        <v>26</v>
      </c>
      <c r="Q171" s="13">
        <v>15</v>
      </c>
      <c r="R171" s="33">
        <v>15</v>
      </c>
      <c r="S171" s="33">
        <v>25</v>
      </c>
      <c r="T171" s="33">
        <v>42993.5</v>
      </c>
      <c r="U171" s="33">
        <v>42990.7</v>
      </c>
      <c r="V171" s="33" t="s">
        <v>225</v>
      </c>
      <c r="W171" s="33" t="s">
        <v>697</v>
      </c>
      <c r="X171" s="33" t="s">
        <v>703</v>
      </c>
      <c r="Y171" s="33">
        <v>42999</v>
      </c>
      <c r="Z171" s="33">
        <v>43013</v>
      </c>
      <c r="AA171" s="13">
        <v>7874</v>
      </c>
      <c r="AB171" s="13">
        <v>9.6</v>
      </c>
      <c r="AC171" s="13">
        <f>SUMIF(Tableau_Liste_UO[[Code UO]:[Code UO]],Tableau_Liste_KPI[[#This Row],[Code UO]], Tableau_Liste_UO[RAF])</f>
        <v>0</v>
      </c>
      <c r="AD171" s="13" t="e">
        <f>SUMIF(Tableau_Liste_UO[[Code UO]:[Code UO]],Tableau_Liste_KPI[[#This Row],[Code UO]], #REF!)</f>
        <v>#REF!</v>
      </c>
      <c r="AE171" s="34" t="s">
        <v>225</v>
      </c>
      <c r="AF171" s="34" t="s">
        <v>225</v>
      </c>
      <c r="AG171" s="34" t="s">
        <v>225</v>
      </c>
      <c r="AH171" s="34"/>
      <c r="AI171" s="35" t="e">
        <f>IF(Tableau_Liste_KPI[[#This Row],[Charge commandée]]="","",IF(Tableau_Liste_KPI[[#This Row],[Total]]&gt;Tableau_Liste_KPI[[#This Row],[Charge commandée]],"KO",""))</f>
        <v>#REF!</v>
      </c>
      <c r="AJ171" s="35" t="e">
        <f>IF(Tableau_Liste_KPI[[#This Row],[KPI Charges]]="KO",Tableau_Liste_KPI[[#This Row],[Charge commandée]]-Tableau_Liste_KPI[[#This Row],[Total]],"")</f>
        <v>#REF!</v>
      </c>
    </row>
    <row r="172" spans="1:36" ht="12" x14ac:dyDescent="0.2">
      <c r="A172" s="12" t="s">
        <v>51</v>
      </c>
      <c r="B172" s="12" t="s">
        <v>365</v>
      </c>
      <c r="C172" s="12" t="s">
        <v>259</v>
      </c>
      <c r="D172" s="12" t="s">
        <v>37</v>
      </c>
      <c r="E172" s="12" t="s">
        <v>540</v>
      </c>
      <c r="F172" s="12" t="s">
        <v>34</v>
      </c>
      <c r="G172" s="12" t="s">
        <v>691</v>
      </c>
      <c r="H172" s="6">
        <v>42965.469444444447</v>
      </c>
      <c r="I172" s="6">
        <v>42965.470405092594</v>
      </c>
      <c r="J172" s="6">
        <v>42986.420613425929</v>
      </c>
      <c r="K172" s="69">
        <v>43006.486620370371</v>
      </c>
      <c r="L172" s="13" t="s">
        <v>225</v>
      </c>
      <c r="M172" s="13">
        <v>0</v>
      </c>
      <c r="N172" s="13">
        <v>15</v>
      </c>
      <c r="O172" s="12">
        <v>0</v>
      </c>
      <c r="P172" s="13">
        <v>14</v>
      </c>
      <c r="Q172" s="13">
        <v>15</v>
      </c>
      <c r="R172" s="33">
        <v>30</v>
      </c>
      <c r="S172" s="33">
        <v>40</v>
      </c>
      <c r="T172" s="33">
        <v>42979.469444444447</v>
      </c>
      <c r="U172" s="33">
        <v>42978.565972222219</v>
      </c>
      <c r="V172" s="33">
        <v>42986.643055555556</v>
      </c>
      <c r="W172" s="33" t="s">
        <v>697</v>
      </c>
      <c r="X172" s="33" t="s">
        <v>690</v>
      </c>
      <c r="Y172" s="33">
        <v>43007</v>
      </c>
      <c r="Z172" s="33">
        <v>43021</v>
      </c>
      <c r="AA172" s="13">
        <v>11544</v>
      </c>
      <c r="AB172" s="13">
        <v>14.2</v>
      </c>
      <c r="AC172" s="13">
        <f>SUMIF(Tableau_Liste_UO[[Code UO]:[Code UO]],Tableau_Liste_KPI[[#This Row],[Code UO]], Tableau_Liste_UO[RAF])</f>
        <v>0</v>
      </c>
      <c r="AD172" s="13" t="e">
        <f>SUMIF(Tableau_Liste_UO[[Code UO]:[Code UO]],Tableau_Liste_KPI[[#This Row],[Code UO]], #REF!)</f>
        <v>#REF!</v>
      </c>
      <c r="AE172" s="34" t="s">
        <v>225</v>
      </c>
      <c r="AF172" s="34" t="s">
        <v>225</v>
      </c>
      <c r="AG172" s="34" t="s">
        <v>225</v>
      </c>
      <c r="AH172" s="34"/>
      <c r="AI172" s="35" t="e">
        <f>IF(Tableau_Liste_KPI[[#This Row],[Charge commandée]]="","",IF(Tableau_Liste_KPI[[#This Row],[Total]]&gt;Tableau_Liste_KPI[[#This Row],[Charge commandée]],"KO",""))</f>
        <v>#REF!</v>
      </c>
      <c r="AJ172" s="35" t="e">
        <f>IF(Tableau_Liste_KPI[[#This Row],[KPI Charges]]="KO",Tableau_Liste_KPI[[#This Row],[Charge commandée]]-Tableau_Liste_KPI[[#This Row],[Total]],"")</f>
        <v>#REF!</v>
      </c>
    </row>
    <row r="173" spans="1:36" ht="12" x14ac:dyDescent="0.2">
      <c r="A173" s="12" t="s">
        <v>52</v>
      </c>
      <c r="B173" s="12" t="s">
        <v>364</v>
      </c>
      <c r="C173" s="12" t="s">
        <v>281</v>
      </c>
      <c r="D173" s="12" t="s">
        <v>37</v>
      </c>
      <c r="E173" s="12" t="s">
        <v>544</v>
      </c>
      <c r="F173" s="12" t="s">
        <v>34</v>
      </c>
      <c r="G173" s="12" t="s">
        <v>702</v>
      </c>
      <c r="H173" s="6">
        <v>42957.579861111109</v>
      </c>
      <c r="I173" s="6">
        <v>42957.580960648149</v>
      </c>
      <c r="J173" s="6" t="s">
        <v>225</v>
      </c>
      <c r="K173" s="69" t="s">
        <v>225</v>
      </c>
      <c r="L173" s="13" t="s">
        <v>225</v>
      </c>
      <c r="M173" s="13">
        <v>0</v>
      </c>
      <c r="N173" s="13">
        <v>94</v>
      </c>
      <c r="O173" s="12">
        <v>0</v>
      </c>
      <c r="P173" s="13" t="s">
        <v>225</v>
      </c>
      <c r="Q173" s="13">
        <v>94</v>
      </c>
      <c r="R173" s="33" t="s">
        <v>225</v>
      </c>
      <c r="S173" s="33" t="s">
        <v>225</v>
      </c>
      <c r="T173" s="33" t="s">
        <v>225</v>
      </c>
      <c r="U173" s="33" t="s">
        <v>225</v>
      </c>
      <c r="V173" s="33" t="s">
        <v>225</v>
      </c>
      <c r="W173" s="33" t="s">
        <v>697</v>
      </c>
      <c r="X173" s="33" t="s">
        <v>225</v>
      </c>
      <c r="Y173" s="33">
        <v>43084.578472222223</v>
      </c>
      <c r="Z173" s="33">
        <v>43084.578472222223</v>
      </c>
      <c r="AA173" s="13">
        <v>11250</v>
      </c>
      <c r="AB173" s="13">
        <v>15</v>
      </c>
      <c r="AC173" s="13">
        <f>SUMIF(Tableau_Liste_UO[[Code UO]:[Code UO]],Tableau_Liste_KPI[[#This Row],[Code UO]], Tableau_Liste_UO[RAF])</f>
        <v>0</v>
      </c>
      <c r="AD173" s="13" t="e">
        <f>SUMIF(Tableau_Liste_UO[[Code UO]:[Code UO]],Tableau_Liste_KPI[[#This Row],[Code UO]], #REF!)</f>
        <v>#REF!</v>
      </c>
      <c r="AE173" s="34" t="s">
        <v>225</v>
      </c>
      <c r="AF173" s="34" t="s">
        <v>225</v>
      </c>
      <c r="AG173" s="34" t="s">
        <v>225</v>
      </c>
      <c r="AH173" s="34"/>
      <c r="AI173" s="35" t="e">
        <f>IF(Tableau_Liste_KPI[[#This Row],[Charge commandée]]="","",IF(Tableau_Liste_KPI[[#This Row],[Total]]&gt;Tableau_Liste_KPI[[#This Row],[Charge commandée]],"KO",""))</f>
        <v>#REF!</v>
      </c>
      <c r="AJ173" s="35" t="e">
        <f>IF(Tableau_Liste_KPI[[#This Row],[KPI Charges]]="KO",Tableau_Liste_KPI[[#This Row],[Charge commandée]]-Tableau_Liste_KPI[[#This Row],[Total]],"")</f>
        <v>#REF!</v>
      </c>
    </row>
    <row r="174" spans="1:36" ht="12" x14ac:dyDescent="0.2">
      <c r="A174" s="12" t="s">
        <v>362</v>
      </c>
      <c r="B174" s="12" t="s">
        <v>363</v>
      </c>
      <c r="C174" s="12" t="s">
        <v>173</v>
      </c>
      <c r="D174" s="12" t="s">
        <v>37</v>
      </c>
      <c r="E174" s="12" t="s">
        <v>544</v>
      </c>
      <c r="F174" s="12" t="s">
        <v>34</v>
      </c>
      <c r="G174" s="12" t="s">
        <v>702</v>
      </c>
      <c r="H174" s="6">
        <v>42956.780555555553</v>
      </c>
      <c r="I174" s="6">
        <v>43069.671249999999</v>
      </c>
      <c r="J174" s="6" t="s">
        <v>225</v>
      </c>
      <c r="K174" s="69" t="s">
        <v>225</v>
      </c>
      <c r="L174" s="13" t="s">
        <v>225</v>
      </c>
      <c r="M174" s="13">
        <v>0</v>
      </c>
      <c r="N174" s="13">
        <v>0</v>
      </c>
      <c r="O174" s="12">
        <v>0</v>
      </c>
      <c r="P174" s="13" t="s">
        <v>225</v>
      </c>
      <c r="Q174" s="13" t="s">
        <v>225</v>
      </c>
      <c r="R174" s="33" t="s">
        <v>225</v>
      </c>
      <c r="S174" s="33" t="s">
        <v>225</v>
      </c>
      <c r="T174" s="33" t="s">
        <v>225</v>
      </c>
      <c r="U174" s="33" t="s">
        <v>225</v>
      </c>
      <c r="V174" s="33" t="s">
        <v>225</v>
      </c>
      <c r="W174" s="33" t="s">
        <v>694</v>
      </c>
      <c r="X174" s="33" t="s">
        <v>225</v>
      </c>
      <c r="Y174" s="33">
        <v>42958.979166666664</v>
      </c>
      <c r="Z174" s="33">
        <v>42958.979166666664</v>
      </c>
      <c r="AA174" s="13">
        <v>0</v>
      </c>
      <c r="AB174" s="13">
        <v>0</v>
      </c>
      <c r="AC174" s="13">
        <f>SUMIF(Tableau_Liste_UO[[Code UO]:[Code UO]],Tableau_Liste_KPI[[#This Row],[Code UO]], Tableau_Liste_UO[RAF])</f>
        <v>0</v>
      </c>
      <c r="AD174" s="13" t="e">
        <f>SUMIF(Tableau_Liste_UO[[Code UO]:[Code UO]],Tableau_Liste_KPI[[#This Row],[Code UO]], #REF!)</f>
        <v>#REF!</v>
      </c>
      <c r="AE174" s="34" t="s">
        <v>225</v>
      </c>
      <c r="AF174" s="34" t="s">
        <v>225</v>
      </c>
      <c r="AG174" s="34" t="s">
        <v>225</v>
      </c>
      <c r="AH174" s="34"/>
      <c r="AI174" s="35" t="e">
        <f>IF(Tableau_Liste_KPI[[#This Row],[Charge commandée]]="","",IF(Tableau_Liste_KPI[[#This Row],[Total]]&gt;Tableau_Liste_KPI[[#This Row],[Charge commandée]],"KO",""))</f>
        <v>#REF!</v>
      </c>
      <c r="AJ174" s="35" t="e">
        <f>IF(Tableau_Liste_KPI[[#This Row],[KPI Charges]]="KO",Tableau_Liste_KPI[[#This Row],[Charge commandée]]-Tableau_Liste_KPI[[#This Row],[Total]],"")</f>
        <v>#REF!</v>
      </c>
    </row>
    <row r="175" spans="1:36" ht="12" x14ac:dyDescent="0.2">
      <c r="A175" s="12" t="s">
        <v>53</v>
      </c>
      <c r="B175" s="12" t="s">
        <v>361</v>
      </c>
      <c r="C175" s="12" t="s">
        <v>174</v>
      </c>
      <c r="D175" s="12" t="s">
        <v>33</v>
      </c>
      <c r="E175" s="12" t="s">
        <v>44</v>
      </c>
      <c r="F175" s="12" t="s">
        <v>225</v>
      </c>
      <c r="G175" s="12" t="s">
        <v>689</v>
      </c>
      <c r="H175" s="6">
        <v>42955.686805555553</v>
      </c>
      <c r="I175" s="6">
        <v>42955.687523148146</v>
      </c>
      <c r="J175" s="6">
        <v>43070.505590277775</v>
      </c>
      <c r="K175" s="69" t="s">
        <v>225</v>
      </c>
      <c r="L175" s="13" t="s">
        <v>225</v>
      </c>
      <c r="M175" s="13">
        <v>0</v>
      </c>
      <c r="N175" s="13">
        <v>-4</v>
      </c>
      <c r="O175" s="12">
        <v>44</v>
      </c>
      <c r="P175" s="13">
        <v>52</v>
      </c>
      <c r="Q175" s="13">
        <v>-4</v>
      </c>
      <c r="R175" s="33">
        <v>10</v>
      </c>
      <c r="S175" s="33">
        <v>15</v>
      </c>
      <c r="T175" s="33" t="s">
        <v>225</v>
      </c>
      <c r="U175" s="33">
        <v>42879.703472222223</v>
      </c>
      <c r="V175" s="33">
        <v>43063.392361111109</v>
      </c>
      <c r="W175" s="33" t="s">
        <v>697</v>
      </c>
      <c r="X175" s="33" t="s">
        <v>225</v>
      </c>
      <c r="Y175" s="33">
        <v>43032</v>
      </c>
      <c r="Z175" s="33">
        <v>43039</v>
      </c>
      <c r="AA175" s="13">
        <v>912</v>
      </c>
      <c r="AB175" s="13">
        <v>1</v>
      </c>
      <c r="AC175" s="13">
        <f>SUMIF(Tableau_Liste_UO[[Code UO]:[Code UO]],Tableau_Liste_KPI[[#This Row],[Code UO]], Tableau_Liste_UO[RAF])</f>
        <v>0</v>
      </c>
      <c r="AD175" s="13" t="e">
        <f>SUMIF(Tableau_Liste_UO[[Code UO]:[Code UO]],Tableau_Liste_KPI[[#This Row],[Code UO]], #REF!)</f>
        <v>#REF!</v>
      </c>
      <c r="AE175" s="34" t="s">
        <v>225</v>
      </c>
      <c r="AF175" s="34" t="s">
        <v>225</v>
      </c>
      <c r="AG175" s="34" t="s">
        <v>225</v>
      </c>
      <c r="AH175" s="34"/>
      <c r="AI175" s="35" t="e">
        <f>IF(Tableau_Liste_KPI[[#This Row],[Charge commandée]]="","",IF(Tableau_Liste_KPI[[#This Row],[Total]]&gt;Tableau_Liste_KPI[[#This Row],[Charge commandée]],"KO",""))</f>
        <v>#REF!</v>
      </c>
      <c r="AJ175" s="35" t="e">
        <f>IF(Tableau_Liste_KPI[[#This Row],[KPI Charges]]="KO",Tableau_Liste_KPI[[#This Row],[Charge commandée]]-Tableau_Liste_KPI[[#This Row],[Total]],"")</f>
        <v>#REF!</v>
      </c>
    </row>
    <row r="176" spans="1:36" ht="12" x14ac:dyDescent="0.2">
      <c r="A176" s="25" t="s">
        <v>54</v>
      </c>
      <c r="B176" s="25" t="s">
        <v>360</v>
      </c>
      <c r="C176" s="12" t="s">
        <v>259</v>
      </c>
      <c r="D176" s="25" t="s">
        <v>33</v>
      </c>
      <c r="E176" s="25" t="s">
        <v>44</v>
      </c>
      <c r="F176" s="25" t="s">
        <v>225</v>
      </c>
      <c r="G176" s="25" t="s">
        <v>689</v>
      </c>
      <c r="H176" s="24">
        <v>42955.678472222222</v>
      </c>
      <c r="I176" s="24">
        <v>42955.678865740738</v>
      </c>
      <c r="J176" s="24">
        <v>42957.388067129628</v>
      </c>
      <c r="K176" s="71">
        <v>42982.576168981483</v>
      </c>
      <c r="L176" s="26" t="s">
        <v>225</v>
      </c>
      <c r="M176" s="26">
        <v>0</v>
      </c>
      <c r="N176" s="26">
        <v>-2</v>
      </c>
      <c r="O176" s="25">
        <v>2</v>
      </c>
      <c r="P176" s="26">
        <v>16</v>
      </c>
      <c r="Q176" s="26">
        <v>-2</v>
      </c>
      <c r="R176" s="39">
        <v>10</v>
      </c>
      <c r="S176" s="39">
        <v>15</v>
      </c>
      <c r="T176" s="39" t="s">
        <v>225</v>
      </c>
      <c r="U176" s="39">
        <v>42958.686111111114</v>
      </c>
      <c r="V176" s="39" t="s">
        <v>225</v>
      </c>
      <c r="W176" s="39" t="s">
        <v>697</v>
      </c>
      <c r="X176" s="39" t="s">
        <v>690</v>
      </c>
      <c r="Y176" s="39">
        <v>42972</v>
      </c>
      <c r="Z176" s="39">
        <v>42979</v>
      </c>
      <c r="AA176" s="26">
        <v>912</v>
      </c>
      <c r="AB176" s="26">
        <v>1</v>
      </c>
      <c r="AC176" s="26">
        <f>SUMIF(Tableau_Liste_UO[[Code UO]:[Code UO]],Tableau_Liste_KPI[[#This Row],[Code UO]], Tableau_Liste_UO[RAF])</f>
        <v>0</v>
      </c>
      <c r="AD176" s="26" t="e">
        <f>SUMIF(Tableau_Liste_UO[[Code UO]:[Code UO]],Tableau_Liste_KPI[[#This Row],[Code UO]], #REF!)</f>
        <v>#REF!</v>
      </c>
      <c r="AE176" s="40" t="s">
        <v>225</v>
      </c>
      <c r="AF176" s="40" t="s">
        <v>225</v>
      </c>
      <c r="AG176" s="40" t="s">
        <v>225</v>
      </c>
      <c r="AH176" s="40"/>
      <c r="AI176" s="41" t="e">
        <f>IF(Tableau_Liste_KPI[[#This Row],[Charge commandée]]="","",IF(Tableau_Liste_KPI[[#This Row],[Total]]&gt;Tableau_Liste_KPI[[#This Row],[Charge commandée]],"KO",""))</f>
        <v>#REF!</v>
      </c>
      <c r="AJ176" s="41" t="e">
        <f>IF(Tableau_Liste_KPI[[#This Row],[KPI Charges]]="KO",Tableau_Liste_KPI[[#This Row],[Charge commandée]]-Tableau_Liste_KPI[[#This Row],[Total]],"")</f>
        <v>#REF!</v>
      </c>
    </row>
    <row r="177" spans="1:36" ht="12" x14ac:dyDescent="0.2">
      <c r="A177" s="32" t="s">
        <v>213</v>
      </c>
      <c r="B177" s="32" t="s">
        <v>359</v>
      </c>
      <c r="C177" s="12" t="s">
        <v>259</v>
      </c>
      <c r="D177" s="12" t="s">
        <v>33</v>
      </c>
      <c r="E177" s="12" t="s">
        <v>44</v>
      </c>
      <c r="F177" s="12" t="s">
        <v>34</v>
      </c>
      <c r="G177" s="12" t="s">
        <v>689</v>
      </c>
      <c r="H177" s="6">
        <v>42955.506944444445</v>
      </c>
      <c r="I177" s="6">
        <v>42997.682719907411</v>
      </c>
      <c r="J177" s="6">
        <v>43003.450972222221</v>
      </c>
      <c r="K177" s="69">
        <v>43020.73883101852</v>
      </c>
      <c r="L177" s="13" t="s">
        <v>225</v>
      </c>
      <c r="M177" s="13">
        <v>0</v>
      </c>
      <c r="N177" s="13">
        <v>-2</v>
      </c>
      <c r="O177" s="12">
        <v>4</v>
      </c>
      <c r="P177" s="13">
        <v>13</v>
      </c>
      <c r="Q177" s="13">
        <v>-2</v>
      </c>
      <c r="R177" s="33">
        <v>10</v>
      </c>
      <c r="S177" s="33">
        <v>15</v>
      </c>
      <c r="T177" s="33" t="s">
        <v>225</v>
      </c>
      <c r="U177" s="33">
        <v>43004.682638888888</v>
      </c>
      <c r="V177" s="33" t="s">
        <v>225</v>
      </c>
      <c r="W177" s="33" t="s">
        <v>690</v>
      </c>
      <c r="X177" s="33" t="s">
        <v>703</v>
      </c>
      <c r="Y177" s="33">
        <v>43017</v>
      </c>
      <c r="Z177" s="33">
        <v>43024</v>
      </c>
      <c r="AA177" s="13">
        <v>912</v>
      </c>
      <c r="AB177" s="13">
        <v>1</v>
      </c>
      <c r="AC177" s="13">
        <f>SUMIF(Tableau_Liste_UO[[Code UO]:[Code UO]],Tableau_Liste_KPI[[#This Row],[Code UO]], Tableau_Liste_UO[RAF])</f>
        <v>0</v>
      </c>
      <c r="AD177" s="13" t="e">
        <f>SUMIF(Tableau_Liste_UO[[Code UO]:[Code UO]],Tableau_Liste_KPI[[#This Row],[Code UO]], #REF!)</f>
        <v>#REF!</v>
      </c>
      <c r="AE177" s="34" t="s">
        <v>225</v>
      </c>
      <c r="AF177" s="34" t="s">
        <v>225</v>
      </c>
      <c r="AG177" s="34" t="s">
        <v>225</v>
      </c>
      <c r="AH177" s="34"/>
      <c r="AI177" s="35" t="e">
        <f>IF(Tableau_Liste_KPI[[#This Row],[Charge commandée]]="","",IF(Tableau_Liste_KPI[[#This Row],[Total]]&gt;Tableau_Liste_KPI[[#This Row],[Charge commandée]],"KO",""))</f>
        <v>#REF!</v>
      </c>
      <c r="AJ177" s="35" t="e">
        <f>IF(Tableau_Liste_KPI[[#This Row],[KPI Charges]]="KO",Tableau_Liste_KPI[[#This Row],[Charge commandée]]-Tableau_Liste_KPI[[#This Row],[Total]],"")</f>
        <v>#REF!</v>
      </c>
    </row>
    <row r="178" spans="1:36" ht="12" x14ac:dyDescent="0.2">
      <c r="A178" s="12" t="s">
        <v>55</v>
      </c>
      <c r="B178" s="12" t="s">
        <v>599</v>
      </c>
      <c r="C178" s="12" t="s">
        <v>259</v>
      </c>
      <c r="D178" s="12" t="s">
        <v>33</v>
      </c>
      <c r="E178" s="12" t="s">
        <v>538</v>
      </c>
      <c r="F178" s="12" t="s">
        <v>34</v>
      </c>
      <c r="G178" s="12" t="s">
        <v>686</v>
      </c>
      <c r="H178" s="6">
        <v>42955.506944444445</v>
      </c>
      <c r="I178" s="6">
        <v>42955.507928240739</v>
      </c>
      <c r="J178" s="6">
        <v>42975.513981481483</v>
      </c>
      <c r="K178" s="69">
        <v>42997.682592592595</v>
      </c>
      <c r="L178" s="13" t="s">
        <v>225</v>
      </c>
      <c r="M178" s="13">
        <v>0</v>
      </c>
      <c r="N178" s="13">
        <v>13</v>
      </c>
      <c r="O178" s="12">
        <v>0</v>
      </c>
      <c r="P178" s="13">
        <v>16</v>
      </c>
      <c r="Q178" s="13">
        <v>13</v>
      </c>
      <c r="R178" s="33">
        <v>16</v>
      </c>
      <c r="S178" s="33">
        <v>24</v>
      </c>
      <c r="T178" s="33" t="s">
        <v>225</v>
      </c>
      <c r="U178" s="33">
        <v>42977.585416666669</v>
      </c>
      <c r="V178" s="33" t="s">
        <v>225</v>
      </c>
      <c r="W178" s="33" t="s">
        <v>697</v>
      </c>
      <c r="X178" s="33" t="s">
        <v>690</v>
      </c>
      <c r="Y178" s="33">
        <v>42978</v>
      </c>
      <c r="Z178" s="33">
        <v>42990</v>
      </c>
      <c r="AA178" s="13">
        <v>6088</v>
      </c>
      <c r="AB178" s="13">
        <v>8.1</v>
      </c>
      <c r="AC178" s="13">
        <f>SUMIF(Tableau_Liste_UO[[Code UO]:[Code UO]],Tableau_Liste_KPI[[#This Row],[Code UO]], Tableau_Liste_UO[RAF])</f>
        <v>0</v>
      </c>
      <c r="AD178" s="13" t="e">
        <f>SUMIF(Tableau_Liste_UO[[Code UO]:[Code UO]],Tableau_Liste_KPI[[#This Row],[Code UO]], #REF!)</f>
        <v>#REF!</v>
      </c>
      <c r="AE178" s="34" t="s">
        <v>225</v>
      </c>
      <c r="AF178" s="34" t="s">
        <v>225</v>
      </c>
      <c r="AG178" s="34" t="s">
        <v>225</v>
      </c>
      <c r="AH178" s="34"/>
      <c r="AI178" s="35" t="e">
        <f>IF(Tableau_Liste_KPI[[#This Row],[Charge commandée]]="","",IF(Tableau_Liste_KPI[[#This Row],[Total]]&gt;Tableau_Liste_KPI[[#This Row],[Charge commandée]],"KO",""))</f>
        <v>#REF!</v>
      </c>
      <c r="AJ178" s="35" t="e">
        <f>IF(Tableau_Liste_KPI[[#This Row],[KPI Charges]]="KO",Tableau_Liste_KPI[[#This Row],[Charge commandée]]-Tableau_Liste_KPI[[#This Row],[Total]],"")</f>
        <v>#REF!</v>
      </c>
    </row>
    <row r="179" spans="1:36" ht="12" x14ac:dyDescent="0.2">
      <c r="A179" s="12" t="s">
        <v>214</v>
      </c>
      <c r="B179" s="12" t="s">
        <v>358</v>
      </c>
      <c r="C179" s="12" t="s">
        <v>259</v>
      </c>
      <c r="D179" s="12" t="s">
        <v>33</v>
      </c>
      <c r="E179" s="12" t="s">
        <v>44</v>
      </c>
      <c r="F179" s="12" t="s">
        <v>34</v>
      </c>
      <c r="G179" s="12" t="s">
        <v>689</v>
      </c>
      <c r="H179" s="6">
        <v>42955.49722222222</v>
      </c>
      <c r="I179" s="6">
        <v>42997.683958333335</v>
      </c>
      <c r="J179" s="6">
        <v>43020.731249999997</v>
      </c>
      <c r="K179" s="69">
        <v>43069.438194444447</v>
      </c>
      <c r="L179" s="13" t="s">
        <v>225</v>
      </c>
      <c r="M179" s="13">
        <v>0</v>
      </c>
      <c r="N179" s="13">
        <v>2</v>
      </c>
      <c r="O179" s="12">
        <v>14</v>
      </c>
      <c r="P179" s="13">
        <v>34</v>
      </c>
      <c r="Q179" s="13">
        <v>2</v>
      </c>
      <c r="R179" s="33">
        <v>10</v>
      </c>
      <c r="S179" s="33">
        <v>15</v>
      </c>
      <c r="T179" s="33" t="s">
        <v>225</v>
      </c>
      <c r="U179" s="33">
        <v>43011.746527777781</v>
      </c>
      <c r="V179" s="33" t="s">
        <v>225</v>
      </c>
      <c r="W179" s="33" t="s">
        <v>690</v>
      </c>
      <c r="X179" s="33" t="s">
        <v>694</v>
      </c>
      <c r="Y179" s="33">
        <v>43031</v>
      </c>
      <c r="Z179" s="33">
        <v>43038</v>
      </c>
      <c r="AA179" s="13">
        <v>912</v>
      </c>
      <c r="AB179" s="13">
        <v>1</v>
      </c>
      <c r="AC179" s="13">
        <f>SUMIF(Tableau_Liste_UO[[Code UO]:[Code UO]],Tableau_Liste_KPI[[#This Row],[Code UO]], Tableau_Liste_UO[RAF])</f>
        <v>0</v>
      </c>
      <c r="AD179" s="13" t="e">
        <f>SUMIF(Tableau_Liste_UO[[Code UO]:[Code UO]],Tableau_Liste_KPI[[#This Row],[Code UO]], #REF!)</f>
        <v>#REF!</v>
      </c>
      <c r="AE179" s="34" t="s">
        <v>225</v>
      </c>
      <c r="AF179" s="34" t="s">
        <v>225</v>
      </c>
      <c r="AG179" s="34" t="s">
        <v>225</v>
      </c>
      <c r="AH179" s="34"/>
      <c r="AI179" s="35" t="e">
        <f>IF(Tableau_Liste_KPI[[#This Row],[Charge commandée]]="","",IF(Tableau_Liste_KPI[[#This Row],[Total]]&gt;Tableau_Liste_KPI[[#This Row],[Charge commandée]],"KO",""))</f>
        <v>#REF!</v>
      </c>
      <c r="AJ179" s="35" t="e">
        <f>IF(Tableau_Liste_KPI[[#This Row],[KPI Charges]]="KO",Tableau_Liste_KPI[[#This Row],[Charge commandée]]-Tableau_Liste_KPI[[#This Row],[Total]],"")</f>
        <v>#REF!</v>
      </c>
    </row>
    <row r="180" spans="1:36" ht="12" x14ac:dyDescent="0.2">
      <c r="A180" s="12" t="s">
        <v>215</v>
      </c>
      <c r="B180" s="12" t="s">
        <v>600</v>
      </c>
      <c r="C180" s="12" t="s">
        <v>259</v>
      </c>
      <c r="D180" s="12" t="s">
        <v>33</v>
      </c>
      <c r="E180" s="12" t="s">
        <v>539</v>
      </c>
      <c r="F180" s="12" t="s">
        <v>34</v>
      </c>
      <c r="G180" s="12" t="s">
        <v>699</v>
      </c>
      <c r="H180" s="6">
        <v>42955.49722222222</v>
      </c>
      <c r="I180" s="6">
        <v>42985.674837962964</v>
      </c>
      <c r="J180" s="6">
        <v>42992.457106481481</v>
      </c>
      <c r="K180" s="69">
        <v>42997.683854166666</v>
      </c>
      <c r="L180" s="13" t="s">
        <v>225</v>
      </c>
      <c r="M180" s="13">
        <v>0</v>
      </c>
      <c r="N180" s="13">
        <v>5</v>
      </c>
      <c r="O180" s="12">
        <v>0</v>
      </c>
      <c r="P180" s="13">
        <v>3</v>
      </c>
      <c r="Q180" s="13">
        <v>5</v>
      </c>
      <c r="R180" s="33">
        <v>8</v>
      </c>
      <c r="S180" s="33">
        <v>11</v>
      </c>
      <c r="T180" s="33" t="s">
        <v>225</v>
      </c>
      <c r="U180" s="33">
        <v>42992.675000000003</v>
      </c>
      <c r="V180" s="33" t="s">
        <v>225</v>
      </c>
      <c r="W180" s="33" t="s">
        <v>690</v>
      </c>
      <c r="X180" s="33" t="s">
        <v>690</v>
      </c>
      <c r="Y180" s="33">
        <v>42997</v>
      </c>
      <c r="Z180" s="33">
        <v>43000</v>
      </c>
      <c r="AA180" s="13">
        <v>3044</v>
      </c>
      <c r="AB180" s="13">
        <v>4</v>
      </c>
      <c r="AC180" s="13">
        <f>SUMIF(Tableau_Liste_UO[[Code UO]:[Code UO]],Tableau_Liste_KPI[[#This Row],[Code UO]], Tableau_Liste_UO[RAF])</f>
        <v>0</v>
      </c>
      <c r="AD180" s="13" t="e">
        <f>SUMIF(Tableau_Liste_UO[[Code UO]:[Code UO]],Tableau_Liste_KPI[[#This Row],[Code UO]], #REF!)</f>
        <v>#REF!</v>
      </c>
      <c r="AE180" s="34" t="s">
        <v>225</v>
      </c>
      <c r="AF180" s="34" t="s">
        <v>225</v>
      </c>
      <c r="AG180" s="34" t="s">
        <v>225</v>
      </c>
      <c r="AH180" s="34"/>
      <c r="AI180" s="35" t="e">
        <f>IF(Tableau_Liste_KPI[[#This Row],[Charge commandée]]="","",IF(Tableau_Liste_KPI[[#This Row],[Total]]&gt;Tableau_Liste_KPI[[#This Row],[Charge commandée]],"KO",""))</f>
        <v>#REF!</v>
      </c>
      <c r="AJ180" s="35" t="e">
        <f>IF(Tableau_Liste_KPI[[#This Row],[KPI Charges]]="KO",Tableau_Liste_KPI[[#This Row],[Charge commandée]]-Tableau_Liste_KPI[[#This Row],[Total]],"")</f>
        <v>#REF!</v>
      </c>
    </row>
    <row r="181" spans="1:36" ht="12" x14ac:dyDescent="0.2">
      <c r="A181" s="12" t="s">
        <v>56</v>
      </c>
      <c r="B181" s="12" t="s">
        <v>601</v>
      </c>
      <c r="C181" s="12" t="s">
        <v>259</v>
      </c>
      <c r="D181" s="12" t="s">
        <v>33</v>
      </c>
      <c r="E181" s="12" t="s">
        <v>538</v>
      </c>
      <c r="F181" s="12" t="s">
        <v>34</v>
      </c>
      <c r="G181" s="12" t="s">
        <v>686</v>
      </c>
      <c r="H181" s="6">
        <v>42955.496527777781</v>
      </c>
      <c r="I181" s="6">
        <v>42955.497187499997</v>
      </c>
      <c r="J181" s="6">
        <v>42984.436145833337</v>
      </c>
      <c r="K181" s="69">
        <v>42997.683344907404</v>
      </c>
      <c r="L181" s="13" t="s">
        <v>225</v>
      </c>
      <c r="M181" s="13">
        <v>0</v>
      </c>
      <c r="N181" s="13">
        <v>20</v>
      </c>
      <c r="O181" s="12">
        <v>0</v>
      </c>
      <c r="P181" s="13">
        <v>9</v>
      </c>
      <c r="Q181" s="13">
        <v>20</v>
      </c>
      <c r="R181" s="33">
        <v>16</v>
      </c>
      <c r="S181" s="33">
        <v>24</v>
      </c>
      <c r="T181" s="33" t="s">
        <v>225</v>
      </c>
      <c r="U181" s="33">
        <v>42977.581250000003</v>
      </c>
      <c r="V181" s="33" t="s">
        <v>225</v>
      </c>
      <c r="W181" s="33" t="s">
        <v>697</v>
      </c>
      <c r="X181" s="33" t="s">
        <v>690</v>
      </c>
      <c r="Y181" s="33">
        <v>42978</v>
      </c>
      <c r="Z181" s="33">
        <v>42990</v>
      </c>
      <c r="AA181" s="13">
        <v>6088</v>
      </c>
      <c r="AB181" s="13">
        <v>8.1</v>
      </c>
      <c r="AC181" s="13">
        <f>SUMIF(Tableau_Liste_UO[[Code UO]:[Code UO]],Tableau_Liste_KPI[[#This Row],[Code UO]], Tableau_Liste_UO[RAF])</f>
        <v>0</v>
      </c>
      <c r="AD181" s="13" t="e">
        <f>SUMIF(Tableau_Liste_UO[[Code UO]:[Code UO]],Tableau_Liste_KPI[[#This Row],[Code UO]], #REF!)</f>
        <v>#REF!</v>
      </c>
      <c r="AE181" s="34" t="s">
        <v>721</v>
      </c>
      <c r="AF181" s="34" t="s">
        <v>225</v>
      </c>
      <c r="AG181" s="34" t="s">
        <v>225</v>
      </c>
      <c r="AH181" s="34"/>
      <c r="AI181" s="35" t="e">
        <f>IF(Tableau_Liste_KPI[[#This Row],[Charge commandée]]="","",IF(Tableau_Liste_KPI[[#This Row],[Total]]&gt;Tableau_Liste_KPI[[#This Row],[Charge commandée]],"KO",""))</f>
        <v>#REF!</v>
      </c>
      <c r="AJ181" s="35" t="e">
        <f>IF(Tableau_Liste_KPI[[#This Row],[KPI Charges]]="KO",Tableau_Liste_KPI[[#This Row],[Charge commandée]]-Tableau_Liste_KPI[[#This Row],[Total]],"")</f>
        <v>#REF!</v>
      </c>
    </row>
    <row r="182" spans="1:36" ht="12" x14ac:dyDescent="0.2">
      <c r="A182" s="12" t="s">
        <v>57</v>
      </c>
      <c r="B182" s="12" t="s">
        <v>357</v>
      </c>
      <c r="C182" s="12" t="s">
        <v>174</v>
      </c>
      <c r="D182" s="12" t="s">
        <v>33</v>
      </c>
      <c r="E182" s="12" t="s">
        <v>44</v>
      </c>
      <c r="F182" s="12" t="s">
        <v>34</v>
      </c>
      <c r="G182" s="12" t="s">
        <v>689</v>
      </c>
      <c r="H182" s="6">
        <v>42955.492361111108</v>
      </c>
      <c r="I182" s="6">
        <v>42969.735983796294</v>
      </c>
      <c r="J182" s="6">
        <v>43048.705497685187</v>
      </c>
      <c r="K182" s="69" t="s">
        <v>225</v>
      </c>
      <c r="L182" s="13" t="s">
        <v>225</v>
      </c>
      <c r="M182" s="13">
        <v>2</v>
      </c>
      <c r="N182" s="13">
        <v>-5</v>
      </c>
      <c r="O182" s="12">
        <v>42</v>
      </c>
      <c r="P182" s="13">
        <v>44</v>
      </c>
      <c r="Q182" s="13">
        <v>-3</v>
      </c>
      <c r="R182" s="33">
        <v>10</v>
      </c>
      <c r="S182" s="33">
        <v>15</v>
      </c>
      <c r="T182" s="33" t="s">
        <v>225</v>
      </c>
      <c r="U182" s="33">
        <v>42970.377083333333</v>
      </c>
      <c r="V182" s="33" t="s">
        <v>225</v>
      </c>
      <c r="W182" s="33" t="s">
        <v>697</v>
      </c>
      <c r="X182" s="33" t="s">
        <v>225</v>
      </c>
      <c r="Y182" s="33">
        <v>43042</v>
      </c>
      <c r="Z182" s="33">
        <v>43049</v>
      </c>
      <c r="AA182" s="13">
        <v>912</v>
      </c>
      <c r="AB182" s="13">
        <v>1</v>
      </c>
      <c r="AC182" s="13">
        <f>SUMIF(Tableau_Liste_UO[[Code UO]:[Code UO]],Tableau_Liste_KPI[[#This Row],[Code UO]], Tableau_Liste_UO[RAF])</f>
        <v>0</v>
      </c>
      <c r="AD182" s="13" t="e">
        <f>SUMIF(Tableau_Liste_UO[[Code UO]:[Code UO]],Tableau_Liste_KPI[[#This Row],[Code UO]], #REF!)</f>
        <v>#REF!</v>
      </c>
      <c r="AE182" s="34" t="s">
        <v>225</v>
      </c>
      <c r="AF182" s="34" t="s">
        <v>225</v>
      </c>
      <c r="AG182" s="34" t="s">
        <v>225</v>
      </c>
      <c r="AH182" s="34"/>
      <c r="AI182" s="35" t="e">
        <f>IF(Tableau_Liste_KPI[[#This Row],[Charge commandée]]="","",IF(Tableau_Liste_KPI[[#This Row],[Total]]&gt;Tableau_Liste_KPI[[#This Row],[Charge commandée]],"KO",""))</f>
        <v>#REF!</v>
      </c>
      <c r="AJ182" s="35" t="e">
        <f>IF(Tableau_Liste_KPI[[#This Row],[KPI Charges]]="KO",Tableau_Liste_KPI[[#This Row],[Charge commandée]]-Tableau_Liste_KPI[[#This Row],[Total]],"")</f>
        <v>#REF!</v>
      </c>
    </row>
    <row r="183" spans="1:36" ht="12" x14ac:dyDescent="0.2">
      <c r="A183" s="12" t="s">
        <v>58</v>
      </c>
      <c r="B183" s="12" t="s">
        <v>602</v>
      </c>
      <c r="C183" s="12" t="s">
        <v>259</v>
      </c>
      <c r="D183" s="12" t="s">
        <v>33</v>
      </c>
      <c r="E183" s="12" t="s">
        <v>539</v>
      </c>
      <c r="F183" s="12" t="s">
        <v>43</v>
      </c>
      <c r="G183" s="12" t="s">
        <v>698</v>
      </c>
      <c r="H183" s="6">
        <v>42955.492361111108</v>
      </c>
      <c r="I183" s="6">
        <v>42955.496134259258</v>
      </c>
      <c r="J183" s="6">
        <v>42969.734768518516</v>
      </c>
      <c r="K183" s="69">
        <v>42969.735659722224</v>
      </c>
      <c r="L183" s="13" t="s">
        <v>225</v>
      </c>
      <c r="M183" s="13">
        <v>0</v>
      </c>
      <c r="N183" s="13">
        <v>2</v>
      </c>
      <c r="O183" s="12">
        <v>1</v>
      </c>
      <c r="P183" s="13">
        <v>1</v>
      </c>
      <c r="Q183" s="13">
        <v>2</v>
      </c>
      <c r="R183" s="33">
        <v>5</v>
      </c>
      <c r="S183" s="33">
        <v>8</v>
      </c>
      <c r="T183" s="33" t="s">
        <v>225</v>
      </c>
      <c r="U183" s="33">
        <v>42928.595833333333</v>
      </c>
      <c r="V183" s="33" t="s">
        <v>225</v>
      </c>
      <c r="W183" s="33" t="s">
        <v>697</v>
      </c>
      <c r="X183" s="33" t="s">
        <v>697</v>
      </c>
      <c r="Y183" s="33">
        <v>42964</v>
      </c>
      <c r="Z183" s="33">
        <v>42969</v>
      </c>
      <c r="AA183" s="13">
        <v>1522</v>
      </c>
      <c r="AB183" s="13">
        <v>2</v>
      </c>
      <c r="AC183" s="13">
        <f>SUMIF(Tableau_Liste_UO[[Code UO]:[Code UO]],Tableau_Liste_KPI[[#This Row],[Code UO]], Tableau_Liste_UO[RAF])</f>
        <v>0</v>
      </c>
      <c r="AD183" s="13" t="e">
        <f>SUMIF(Tableau_Liste_UO[[Code UO]:[Code UO]],Tableau_Liste_KPI[[#This Row],[Code UO]], #REF!)</f>
        <v>#REF!</v>
      </c>
      <c r="AE183" s="34" t="s">
        <v>225</v>
      </c>
      <c r="AF183" s="34" t="s">
        <v>225</v>
      </c>
      <c r="AG183" s="34" t="s">
        <v>225</v>
      </c>
      <c r="AH183" s="34"/>
      <c r="AI183" s="35" t="e">
        <f>IF(Tableau_Liste_KPI[[#This Row],[Charge commandée]]="","",IF(Tableau_Liste_KPI[[#This Row],[Total]]&gt;Tableau_Liste_KPI[[#This Row],[Charge commandée]],"KO",""))</f>
        <v>#REF!</v>
      </c>
      <c r="AJ183" s="35" t="e">
        <f>IF(Tableau_Liste_KPI[[#This Row],[KPI Charges]]="KO",Tableau_Liste_KPI[[#This Row],[Charge commandée]]-Tableau_Liste_KPI[[#This Row],[Total]],"")</f>
        <v>#REF!</v>
      </c>
    </row>
    <row r="184" spans="1:36" ht="12" x14ac:dyDescent="0.2">
      <c r="A184" s="25" t="s">
        <v>59</v>
      </c>
      <c r="B184" s="25" t="s">
        <v>603</v>
      </c>
      <c r="C184" s="12" t="s">
        <v>259</v>
      </c>
      <c r="D184" s="25" t="s">
        <v>33</v>
      </c>
      <c r="E184" s="25" t="s">
        <v>538</v>
      </c>
      <c r="F184" s="25" t="s">
        <v>34</v>
      </c>
      <c r="G184" s="25" t="s">
        <v>686</v>
      </c>
      <c r="H184" s="24">
        <v>42955.491666666669</v>
      </c>
      <c r="I184" s="24">
        <v>42955.492256944446</v>
      </c>
      <c r="J184" s="24">
        <v>42957.377442129633</v>
      </c>
      <c r="K184" s="71">
        <v>42969.735775462963</v>
      </c>
      <c r="L184" s="26" t="s">
        <v>225</v>
      </c>
      <c r="M184" s="26">
        <v>0</v>
      </c>
      <c r="N184" s="26">
        <v>2</v>
      </c>
      <c r="O184" s="25">
        <v>0</v>
      </c>
      <c r="P184" s="26">
        <v>7</v>
      </c>
      <c r="Q184" s="26">
        <v>2</v>
      </c>
      <c r="R184" s="39">
        <v>16</v>
      </c>
      <c r="S184" s="39">
        <v>24</v>
      </c>
      <c r="T184" s="39" t="s">
        <v>225</v>
      </c>
      <c r="U184" s="39">
        <v>42912.595138888886</v>
      </c>
      <c r="V184" s="39" t="s">
        <v>225</v>
      </c>
      <c r="W184" s="39" t="s">
        <v>697</v>
      </c>
      <c r="X184" s="39" t="s">
        <v>697</v>
      </c>
      <c r="Y184" s="39">
        <v>42978</v>
      </c>
      <c r="Z184" s="39">
        <v>42990</v>
      </c>
      <c r="AA184" s="26">
        <v>6088</v>
      </c>
      <c r="AB184" s="26">
        <v>8.1</v>
      </c>
      <c r="AC184" s="26">
        <f>SUMIF(Tableau_Liste_UO[[Code UO]:[Code UO]],Tableau_Liste_KPI[[#This Row],[Code UO]], Tableau_Liste_UO[RAF])</f>
        <v>0</v>
      </c>
      <c r="AD184" s="26" t="e">
        <f>SUMIF(Tableau_Liste_UO[[Code UO]:[Code UO]],Tableau_Liste_KPI[[#This Row],[Code UO]], #REF!)</f>
        <v>#REF!</v>
      </c>
      <c r="AE184" s="40" t="s">
        <v>225</v>
      </c>
      <c r="AF184" s="40" t="s">
        <v>225</v>
      </c>
      <c r="AG184" s="40" t="s">
        <v>225</v>
      </c>
      <c r="AH184" s="40"/>
      <c r="AI184" s="41" t="e">
        <f>IF(Tableau_Liste_KPI[[#This Row],[Charge commandée]]="","",IF(Tableau_Liste_KPI[[#This Row],[Total]]&gt;Tableau_Liste_KPI[[#This Row],[Charge commandée]],"KO",""))</f>
        <v>#REF!</v>
      </c>
      <c r="AJ184" s="41" t="e">
        <f>IF(Tableau_Liste_KPI[[#This Row],[KPI Charges]]="KO",Tableau_Liste_KPI[[#This Row],[Charge commandée]]-Tableau_Liste_KPI[[#This Row],[Total]],"")</f>
        <v>#REF!</v>
      </c>
    </row>
    <row r="185" spans="1:36" ht="12" x14ac:dyDescent="0.2">
      <c r="A185" s="12" t="s">
        <v>60</v>
      </c>
      <c r="B185" s="12" t="s">
        <v>356</v>
      </c>
      <c r="C185" s="12" t="s">
        <v>259</v>
      </c>
      <c r="D185" s="12" t="s">
        <v>37</v>
      </c>
      <c r="E185" s="12" t="s">
        <v>540</v>
      </c>
      <c r="F185" s="12" t="s">
        <v>43</v>
      </c>
      <c r="G185" s="12" t="s">
        <v>693</v>
      </c>
      <c r="H185" s="6">
        <v>42950.692361111112</v>
      </c>
      <c r="I185" s="6">
        <v>42950.744479166664</v>
      </c>
      <c r="J185" s="6">
        <v>43014.675312500003</v>
      </c>
      <c r="K185" s="69">
        <v>43034.490879629629</v>
      </c>
      <c r="L185" s="13" t="s">
        <v>225</v>
      </c>
      <c r="M185" s="13">
        <v>3</v>
      </c>
      <c r="N185" s="13">
        <v>27</v>
      </c>
      <c r="O185" s="12">
        <v>11</v>
      </c>
      <c r="P185" s="13">
        <v>19</v>
      </c>
      <c r="Q185" s="13">
        <v>30</v>
      </c>
      <c r="R185" s="33">
        <v>7</v>
      </c>
      <c r="S185" s="33">
        <v>10</v>
      </c>
      <c r="T185" s="33">
        <v>42964.6875</v>
      </c>
      <c r="U185" s="33">
        <v>42964.708333333336</v>
      </c>
      <c r="V185" s="33">
        <v>43021.761805555558</v>
      </c>
      <c r="W185" s="33" t="s">
        <v>697</v>
      </c>
      <c r="X185" s="33" t="s">
        <v>703</v>
      </c>
      <c r="Y185" s="33">
        <v>42977</v>
      </c>
      <c r="Z185" s="33">
        <v>42982</v>
      </c>
      <c r="AA185" s="13">
        <v>4127</v>
      </c>
      <c r="AB185" s="13">
        <v>5.0999999999999996</v>
      </c>
      <c r="AC185" s="13">
        <f>SUMIF(Tableau_Liste_UO[[Code UO]:[Code UO]],Tableau_Liste_KPI[[#This Row],[Code UO]], Tableau_Liste_UO[RAF])</f>
        <v>0</v>
      </c>
      <c r="AD185" s="13" t="e">
        <f>SUMIF(Tableau_Liste_UO[[Code UO]:[Code UO]],Tableau_Liste_KPI[[#This Row],[Code UO]], #REF!)</f>
        <v>#REF!</v>
      </c>
      <c r="AE185" s="34" t="s">
        <v>721</v>
      </c>
      <c r="AF185" s="34" t="s">
        <v>721</v>
      </c>
      <c r="AG185" s="34" t="s">
        <v>225</v>
      </c>
      <c r="AH185" s="34"/>
      <c r="AI185" s="35" t="e">
        <f>IF(Tableau_Liste_KPI[[#This Row],[Charge commandée]]="","",IF(Tableau_Liste_KPI[[#This Row],[Total]]&gt;Tableau_Liste_KPI[[#This Row],[Charge commandée]],"KO",""))</f>
        <v>#REF!</v>
      </c>
      <c r="AJ185" s="35" t="e">
        <f>IF(Tableau_Liste_KPI[[#This Row],[KPI Charges]]="KO",Tableau_Liste_KPI[[#This Row],[Charge commandée]]-Tableau_Liste_KPI[[#This Row],[Total]],"")</f>
        <v>#REF!</v>
      </c>
    </row>
    <row r="186" spans="1:36" ht="12" x14ac:dyDescent="0.2">
      <c r="A186" s="25" t="s">
        <v>61</v>
      </c>
      <c r="B186" s="25" t="s">
        <v>355</v>
      </c>
      <c r="C186" s="12" t="s">
        <v>259</v>
      </c>
      <c r="D186" s="25" t="s">
        <v>37</v>
      </c>
      <c r="E186" s="25" t="s">
        <v>544</v>
      </c>
      <c r="F186" s="25" t="s">
        <v>34</v>
      </c>
      <c r="G186" s="25" t="s">
        <v>702</v>
      </c>
      <c r="H186" s="24">
        <v>42950.606944444444</v>
      </c>
      <c r="I186" s="24">
        <v>42951.432233796295</v>
      </c>
      <c r="J186" s="24" t="s">
        <v>225</v>
      </c>
      <c r="K186" s="71">
        <v>42990.726574074077</v>
      </c>
      <c r="L186" s="26" t="s">
        <v>225</v>
      </c>
      <c r="M186" s="26">
        <v>0</v>
      </c>
      <c r="N186" s="26">
        <v>26</v>
      </c>
      <c r="O186" s="25">
        <v>0</v>
      </c>
      <c r="P186" s="26" t="s">
        <v>225</v>
      </c>
      <c r="Q186" s="26">
        <v>26</v>
      </c>
      <c r="R186" s="39" t="s">
        <v>225</v>
      </c>
      <c r="S186" s="39" t="s">
        <v>225</v>
      </c>
      <c r="T186" s="39" t="s">
        <v>225</v>
      </c>
      <c r="U186" s="39" t="s">
        <v>225</v>
      </c>
      <c r="V186" s="39" t="s">
        <v>225</v>
      </c>
      <c r="W186" s="39" t="s">
        <v>697</v>
      </c>
      <c r="X186" s="39" t="s">
        <v>690</v>
      </c>
      <c r="Y186" s="39">
        <v>42951.604166666664</v>
      </c>
      <c r="Z186" s="39">
        <v>42951.604166666664</v>
      </c>
      <c r="AA186" s="26">
        <v>1500</v>
      </c>
      <c r="AB186" s="26">
        <v>2</v>
      </c>
      <c r="AC186" s="26">
        <f>SUMIF(Tableau_Liste_UO[[Code UO]:[Code UO]],Tableau_Liste_KPI[[#This Row],[Code UO]], Tableau_Liste_UO[RAF])</f>
        <v>0</v>
      </c>
      <c r="AD186" s="26" t="e">
        <f>SUMIF(Tableau_Liste_UO[[Code UO]:[Code UO]],Tableau_Liste_KPI[[#This Row],[Code UO]], #REF!)</f>
        <v>#REF!</v>
      </c>
      <c r="AE186" s="40" t="s">
        <v>225</v>
      </c>
      <c r="AF186" s="40" t="s">
        <v>225</v>
      </c>
      <c r="AG186" s="40" t="s">
        <v>225</v>
      </c>
      <c r="AH186" s="40"/>
      <c r="AI186" s="41" t="e">
        <f>IF(Tableau_Liste_KPI[[#This Row],[Charge commandée]]="","",IF(Tableau_Liste_KPI[[#This Row],[Total]]&gt;Tableau_Liste_KPI[[#This Row],[Charge commandée]],"KO",""))</f>
        <v>#REF!</v>
      </c>
      <c r="AJ186" s="41" t="e">
        <f>IF(Tableau_Liste_KPI[[#This Row],[KPI Charges]]="KO",Tableau_Liste_KPI[[#This Row],[Charge commandée]]-Tableau_Liste_KPI[[#This Row],[Total]],"")</f>
        <v>#REF!</v>
      </c>
    </row>
    <row r="187" spans="1:36" ht="12" x14ac:dyDescent="0.2">
      <c r="A187" s="12" t="s">
        <v>62</v>
      </c>
      <c r="B187" s="12" t="s">
        <v>354</v>
      </c>
      <c r="C187" s="12" t="s">
        <v>259</v>
      </c>
      <c r="D187" s="12" t="s">
        <v>37</v>
      </c>
      <c r="E187" s="12" t="s">
        <v>63</v>
      </c>
      <c r="F187" s="12" t="s">
        <v>43</v>
      </c>
      <c r="G187" s="12" t="s">
        <v>700</v>
      </c>
      <c r="H187" s="6">
        <v>42949.734027777777</v>
      </c>
      <c r="I187" s="6">
        <v>42949.735208333332</v>
      </c>
      <c r="J187" s="6">
        <v>42997.668252314812</v>
      </c>
      <c r="K187" s="69">
        <v>42997.702268518522</v>
      </c>
      <c r="L187" s="13" t="s">
        <v>225</v>
      </c>
      <c r="M187" s="13">
        <v>2</v>
      </c>
      <c r="N187" s="13">
        <v>27</v>
      </c>
      <c r="O187" s="12">
        <v>0</v>
      </c>
      <c r="P187" s="13">
        <v>4</v>
      </c>
      <c r="Q187" s="13">
        <v>29</v>
      </c>
      <c r="R187" s="33">
        <v>2</v>
      </c>
      <c r="S187" s="33">
        <v>5</v>
      </c>
      <c r="T187" s="33">
        <v>42992.730555555558</v>
      </c>
      <c r="U187" s="33">
        <v>42978.565972222219</v>
      </c>
      <c r="V187" s="33">
        <v>42989.736805555556</v>
      </c>
      <c r="W187" s="33" t="s">
        <v>697</v>
      </c>
      <c r="X187" s="33" t="s">
        <v>690</v>
      </c>
      <c r="Y187" s="33">
        <v>42951</v>
      </c>
      <c r="Z187" s="33">
        <v>42956</v>
      </c>
      <c r="AA187" s="13">
        <v>825</v>
      </c>
      <c r="AB187" s="13">
        <v>1</v>
      </c>
      <c r="AC187" s="13">
        <f>SUMIF(Tableau_Liste_UO[[Code UO]:[Code UO]],Tableau_Liste_KPI[[#This Row],[Code UO]], Tableau_Liste_UO[RAF])</f>
        <v>0</v>
      </c>
      <c r="AD187" s="13" t="e">
        <f>SUMIF(Tableau_Liste_UO[[Code UO]:[Code UO]],Tableau_Liste_KPI[[#This Row],[Code UO]], #REF!)</f>
        <v>#REF!</v>
      </c>
      <c r="AE187" s="34" t="s">
        <v>721</v>
      </c>
      <c r="AF187" s="34" t="s">
        <v>721</v>
      </c>
      <c r="AG187" s="34" t="s">
        <v>225</v>
      </c>
      <c r="AH187" s="34"/>
      <c r="AI187" s="35" t="e">
        <f>IF(Tableau_Liste_KPI[[#This Row],[Charge commandée]]="","",IF(Tableau_Liste_KPI[[#This Row],[Total]]&gt;Tableau_Liste_KPI[[#This Row],[Charge commandée]],"KO",""))</f>
        <v>#REF!</v>
      </c>
      <c r="AJ187" s="35" t="e">
        <f>IF(Tableau_Liste_KPI[[#This Row],[KPI Charges]]="KO",Tableau_Liste_KPI[[#This Row],[Charge commandée]]-Tableau_Liste_KPI[[#This Row],[Total]],"")</f>
        <v>#REF!</v>
      </c>
    </row>
    <row r="188" spans="1:36" ht="12" x14ac:dyDescent="0.2">
      <c r="A188" s="12" t="s">
        <v>223</v>
      </c>
      <c r="B188" s="12" t="s">
        <v>353</v>
      </c>
      <c r="C188" s="12" t="s">
        <v>173</v>
      </c>
      <c r="D188" s="12" t="s">
        <v>37</v>
      </c>
      <c r="E188" s="12" t="s">
        <v>540</v>
      </c>
      <c r="F188" s="12" t="s">
        <v>114</v>
      </c>
      <c r="G188" s="12" t="s">
        <v>705</v>
      </c>
      <c r="H188" s="6">
        <v>42944.753472222219</v>
      </c>
      <c r="I188" s="6">
        <v>43000.648831018516</v>
      </c>
      <c r="J188" s="6" t="s">
        <v>225</v>
      </c>
      <c r="K188" s="69" t="s">
        <v>225</v>
      </c>
      <c r="L188" s="13" t="s">
        <v>225</v>
      </c>
      <c r="M188" s="13">
        <v>0</v>
      </c>
      <c r="N188" s="13">
        <v>0</v>
      </c>
      <c r="O188" s="12">
        <v>0</v>
      </c>
      <c r="P188" s="13" t="s">
        <v>225</v>
      </c>
      <c r="Q188" s="13" t="s">
        <v>225</v>
      </c>
      <c r="R188" s="33">
        <v>50</v>
      </c>
      <c r="S188" s="33">
        <v>60</v>
      </c>
      <c r="T188" s="33">
        <v>43048.752083333333</v>
      </c>
      <c r="U188" s="33" t="s">
        <v>225</v>
      </c>
      <c r="V188" s="33" t="s">
        <v>225</v>
      </c>
      <c r="W188" s="33" t="s">
        <v>690</v>
      </c>
      <c r="X188" s="33" t="s">
        <v>225</v>
      </c>
      <c r="Y188" s="33">
        <v>43073</v>
      </c>
      <c r="Z188" s="33">
        <v>43087</v>
      </c>
      <c r="AA188" s="13">
        <v>16919</v>
      </c>
      <c r="AB188" s="13">
        <v>20.7</v>
      </c>
      <c r="AC188" s="13">
        <f>SUMIF(Tableau_Liste_UO[[Code UO]:[Code UO]],Tableau_Liste_KPI[[#This Row],[Code UO]], Tableau_Liste_UO[RAF])</f>
        <v>0</v>
      </c>
      <c r="AD188" s="13" t="e">
        <f>SUMIF(Tableau_Liste_UO[[Code UO]:[Code UO]],Tableau_Liste_KPI[[#This Row],[Code UO]], #REF!)</f>
        <v>#REF!</v>
      </c>
      <c r="AE188" s="34" t="s">
        <v>225</v>
      </c>
      <c r="AF188" s="34" t="s">
        <v>225</v>
      </c>
      <c r="AG188" s="34" t="s">
        <v>225</v>
      </c>
      <c r="AH188" s="34"/>
      <c r="AI188" s="35" t="e">
        <f>IF(Tableau_Liste_KPI[[#This Row],[Charge commandée]]="","",IF(Tableau_Liste_KPI[[#This Row],[Total]]&gt;Tableau_Liste_KPI[[#This Row],[Charge commandée]],"KO",""))</f>
        <v>#REF!</v>
      </c>
      <c r="AJ188" s="35" t="e">
        <f>IF(Tableau_Liste_KPI[[#This Row],[KPI Charges]]="KO",Tableau_Liste_KPI[[#This Row],[Charge commandée]]-Tableau_Liste_KPI[[#This Row],[Total]],"")</f>
        <v>#REF!</v>
      </c>
    </row>
    <row r="189" spans="1:36" ht="12" x14ac:dyDescent="0.2">
      <c r="A189" s="25" t="s">
        <v>224</v>
      </c>
      <c r="B189" s="25" t="s">
        <v>353</v>
      </c>
      <c r="C189" s="12" t="s">
        <v>173</v>
      </c>
      <c r="D189" s="25" t="s">
        <v>37</v>
      </c>
      <c r="E189" s="25" t="s">
        <v>63</v>
      </c>
      <c r="F189" s="25" t="s">
        <v>114</v>
      </c>
      <c r="G189" s="25" t="s">
        <v>709</v>
      </c>
      <c r="H189" s="24">
        <v>42944.751388888886</v>
      </c>
      <c r="I189" s="24">
        <v>43000.648645833331</v>
      </c>
      <c r="J189" s="24" t="s">
        <v>225</v>
      </c>
      <c r="K189" s="71" t="s">
        <v>225</v>
      </c>
      <c r="L189" s="26" t="s">
        <v>225</v>
      </c>
      <c r="M189" s="26">
        <v>0</v>
      </c>
      <c r="N189" s="26">
        <v>0</v>
      </c>
      <c r="O189" s="25">
        <v>0</v>
      </c>
      <c r="P189" s="26" t="s">
        <v>225</v>
      </c>
      <c r="Q189" s="26" t="s">
        <v>225</v>
      </c>
      <c r="R189" s="39">
        <v>15</v>
      </c>
      <c r="S189" s="39">
        <v>30</v>
      </c>
      <c r="T189" s="39">
        <v>43006.751388888886</v>
      </c>
      <c r="U189" s="39" t="s">
        <v>225</v>
      </c>
      <c r="V189" s="39" t="s">
        <v>225</v>
      </c>
      <c r="W189" s="39" t="s">
        <v>690</v>
      </c>
      <c r="X189" s="39" t="s">
        <v>225</v>
      </c>
      <c r="Y189" s="39">
        <v>43021</v>
      </c>
      <c r="Z189" s="39">
        <v>43045</v>
      </c>
      <c r="AA189" s="26">
        <v>8253</v>
      </c>
      <c r="AB189" s="26">
        <v>10.1</v>
      </c>
      <c r="AC189" s="26">
        <f>SUMIF(Tableau_Liste_UO[[Code UO]:[Code UO]],Tableau_Liste_KPI[[#This Row],[Code UO]], Tableau_Liste_UO[RAF])</f>
        <v>0</v>
      </c>
      <c r="AD189" s="26" t="e">
        <f>SUMIF(Tableau_Liste_UO[[Code UO]:[Code UO]],Tableau_Liste_KPI[[#This Row],[Code UO]], #REF!)</f>
        <v>#REF!</v>
      </c>
      <c r="AE189" s="40" t="s">
        <v>225</v>
      </c>
      <c r="AF189" s="40" t="s">
        <v>225</v>
      </c>
      <c r="AG189" s="40" t="s">
        <v>225</v>
      </c>
      <c r="AH189" s="40"/>
      <c r="AI189" s="41" t="e">
        <f>IF(Tableau_Liste_KPI[[#This Row],[Charge commandée]]="","",IF(Tableau_Liste_KPI[[#This Row],[Total]]&gt;Tableau_Liste_KPI[[#This Row],[Charge commandée]],"KO",""))</f>
        <v>#REF!</v>
      </c>
      <c r="AJ189" s="41" t="e">
        <f>IF(Tableau_Liste_KPI[[#This Row],[KPI Charges]]="KO",Tableau_Liste_KPI[[#This Row],[Charge commandée]]-Tableau_Liste_KPI[[#This Row],[Total]],"")</f>
        <v>#REF!</v>
      </c>
    </row>
    <row r="190" spans="1:36" ht="12" x14ac:dyDescent="0.2">
      <c r="A190" s="25" t="s">
        <v>64</v>
      </c>
      <c r="B190" s="25" t="s">
        <v>352</v>
      </c>
      <c r="C190" s="12" t="s">
        <v>173</v>
      </c>
      <c r="D190" s="25" t="s">
        <v>37</v>
      </c>
      <c r="E190" s="25" t="s">
        <v>544</v>
      </c>
      <c r="F190" s="25" t="s">
        <v>43</v>
      </c>
      <c r="G190" s="25" t="s">
        <v>702</v>
      </c>
      <c r="H190" s="24">
        <v>42944.720833333333</v>
      </c>
      <c r="I190" s="24">
        <v>42955.560763888891</v>
      </c>
      <c r="J190" s="24" t="s">
        <v>225</v>
      </c>
      <c r="K190" s="71" t="s">
        <v>225</v>
      </c>
      <c r="L190" s="26" t="s">
        <v>225</v>
      </c>
      <c r="M190" s="26">
        <v>3</v>
      </c>
      <c r="N190" s="26">
        <v>73</v>
      </c>
      <c r="O190" s="25">
        <v>5</v>
      </c>
      <c r="P190" s="26" t="s">
        <v>225</v>
      </c>
      <c r="Q190" s="26">
        <v>76</v>
      </c>
      <c r="R190" s="39" t="s">
        <v>225</v>
      </c>
      <c r="S190" s="39" t="s">
        <v>225</v>
      </c>
      <c r="T190" s="39">
        <v>42978.720138888886</v>
      </c>
      <c r="U190" s="39">
        <v>43007.696527777778</v>
      </c>
      <c r="V190" s="39">
        <v>43069.620833333334</v>
      </c>
      <c r="W190" s="39" t="s">
        <v>697</v>
      </c>
      <c r="X190" s="39" t="s">
        <v>225</v>
      </c>
      <c r="Y190" s="39">
        <v>0</v>
      </c>
      <c r="Z190" s="39">
        <v>0</v>
      </c>
      <c r="AA190" s="26">
        <v>0</v>
      </c>
      <c r="AB190" s="26">
        <v>0</v>
      </c>
      <c r="AC190" s="26">
        <f>SUMIF(Tableau_Liste_UO[[Code UO]:[Code UO]],Tableau_Liste_KPI[[#This Row],[Code UO]], Tableau_Liste_UO[RAF])</f>
        <v>0</v>
      </c>
      <c r="AD190" s="26" t="e">
        <f>SUMIF(Tableau_Liste_UO[[Code UO]:[Code UO]],Tableau_Liste_KPI[[#This Row],[Code UO]], #REF!)</f>
        <v>#REF!</v>
      </c>
      <c r="AE190" s="40" t="s">
        <v>225</v>
      </c>
      <c r="AF190" s="40" t="s">
        <v>225</v>
      </c>
      <c r="AG190" s="40" t="s">
        <v>225</v>
      </c>
      <c r="AH190" s="40"/>
      <c r="AI190" s="41" t="e">
        <f>IF(Tableau_Liste_KPI[[#This Row],[Charge commandée]]="","",IF(Tableau_Liste_KPI[[#This Row],[Total]]&gt;Tableau_Liste_KPI[[#This Row],[Charge commandée]],"KO",""))</f>
        <v>#REF!</v>
      </c>
      <c r="AJ190" s="41" t="e">
        <f>IF(Tableau_Liste_KPI[[#This Row],[KPI Charges]]="KO",Tableau_Liste_KPI[[#This Row],[Charge commandée]]-Tableau_Liste_KPI[[#This Row],[Total]],"")</f>
        <v>#REF!</v>
      </c>
    </row>
    <row r="191" spans="1:36" ht="12" x14ac:dyDescent="0.2">
      <c r="A191" s="12" t="s">
        <v>65</v>
      </c>
      <c r="B191" s="12" t="s">
        <v>604</v>
      </c>
      <c r="C191" s="12" t="s">
        <v>281</v>
      </c>
      <c r="D191" s="12" t="s">
        <v>37</v>
      </c>
      <c r="E191" s="12" t="s">
        <v>539</v>
      </c>
      <c r="F191" s="12" t="s">
        <v>34</v>
      </c>
      <c r="G191" s="12" t="s">
        <v>708</v>
      </c>
      <c r="H191" s="6">
        <v>42944.720138888886</v>
      </c>
      <c r="I191" s="6">
        <v>42955.561180555553</v>
      </c>
      <c r="J191" s="6" t="s">
        <v>225</v>
      </c>
      <c r="K191" s="69" t="s">
        <v>225</v>
      </c>
      <c r="L191" s="13" t="s">
        <v>225</v>
      </c>
      <c r="M191" s="13">
        <v>3</v>
      </c>
      <c r="N191" s="13">
        <v>43</v>
      </c>
      <c r="O191" s="12">
        <v>51</v>
      </c>
      <c r="P191" s="13" t="s">
        <v>225</v>
      </c>
      <c r="Q191" s="13">
        <v>46</v>
      </c>
      <c r="R191" s="33">
        <v>55</v>
      </c>
      <c r="S191" s="33">
        <v>70</v>
      </c>
      <c r="T191" s="33">
        <v>42975.71597222222</v>
      </c>
      <c r="U191" s="33">
        <v>42993.703472222223</v>
      </c>
      <c r="V191" s="33">
        <v>43091</v>
      </c>
      <c r="W191" s="33" t="s">
        <v>697</v>
      </c>
      <c r="X191" s="33" t="s">
        <v>225</v>
      </c>
      <c r="Y191" s="33">
        <v>43115</v>
      </c>
      <c r="Z191" s="33">
        <v>43136</v>
      </c>
      <c r="AA191" s="13">
        <v>15590</v>
      </c>
      <c r="AB191" s="13">
        <v>20.2</v>
      </c>
      <c r="AC191" s="13">
        <f>SUMIF(Tableau_Liste_UO[[Code UO]:[Code UO]],Tableau_Liste_KPI[[#This Row],[Code UO]], Tableau_Liste_UO[RAF])</f>
        <v>0</v>
      </c>
      <c r="AD191" s="13" t="e">
        <f>SUMIF(Tableau_Liste_UO[[Code UO]:[Code UO]],Tableau_Liste_KPI[[#This Row],[Code UO]], #REF!)</f>
        <v>#REF!</v>
      </c>
      <c r="AE191" s="34" t="s">
        <v>225</v>
      </c>
      <c r="AF191" s="34" t="s">
        <v>225</v>
      </c>
      <c r="AG191" s="34" t="s">
        <v>721</v>
      </c>
      <c r="AH191" s="34"/>
      <c r="AI191" s="35" t="e">
        <f>IF(Tableau_Liste_KPI[[#This Row],[Charge commandée]]="","",IF(Tableau_Liste_KPI[[#This Row],[Total]]&gt;Tableau_Liste_KPI[[#This Row],[Charge commandée]],"KO",""))</f>
        <v>#REF!</v>
      </c>
      <c r="AJ191" s="35" t="e">
        <f>IF(Tableau_Liste_KPI[[#This Row],[KPI Charges]]="KO",Tableau_Liste_KPI[[#This Row],[Charge commandée]]-Tableau_Liste_KPI[[#This Row],[Total]],"")</f>
        <v>#REF!</v>
      </c>
    </row>
    <row r="192" spans="1:36" ht="12" x14ac:dyDescent="0.2">
      <c r="A192" s="12" t="s">
        <v>66</v>
      </c>
      <c r="B192" s="12" t="s">
        <v>351</v>
      </c>
      <c r="C192" s="12" t="s">
        <v>259</v>
      </c>
      <c r="D192" s="12" t="s">
        <v>37</v>
      </c>
      <c r="E192" s="12" t="s">
        <v>63</v>
      </c>
      <c r="F192" s="12" t="s">
        <v>43</v>
      </c>
      <c r="G192" s="12" t="s">
        <v>700</v>
      </c>
      <c r="H192" s="6">
        <v>42944.582638888889</v>
      </c>
      <c r="I192" s="6">
        <v>42948.384085648147</v>
      </c>
      <c r="J192" s="6">
        <v>42956.449293981481</v>
      </c>
      <c r="K192" s="69">
        <v>42972.486562500002</v>
      </c>
      <c r="L192" s="13" t="s">
        <v>225</v>
      </c>
      <c r="M192" s="13">
        <v>0</v>
      </c>
      <c r="N192" s="13">
        <v>3</v>
      </c>
      <c r="O192" s="12">
        <v>0</v>
      </c>
      <c r="P192" s="13">
        <v>11</v>
      </c>
      <c r="Q192" s="13">
        <v>3</v>
      </c>
      <c r="R192" s="33">
        <v>2</v>
      </c>
      <c r="S192" s="33">
        <v>5</v>
      </c>
      <c r="T192" s="33">
        <v>42957.581944444442</v>
      </c>
      <c r="U192" s="33">
        <v>42957.709027777775</v>
      </c>
      <c r="V192" s="33" t="s">
        <v>225</v>
      </c>
      <c r="W192" s="33" t="s">
        <v>697</v>
      </c>
      <c r="X192" s="33" t="s">
        <v>697</v>
      </c>
      <c r="Y192" s="33">
        <v>42950</v>
      </c>
      <c r="Z192" s="33">
        <v>42955</v>
      </c>
      <c r="AA192" s="13">
        <v>825</v>
      </c>
      <c r="AB192" s="13">
        <v>1</v>
      </c>
      <c r="AC192" s="13">
        <f>SUMIF(Tableau_Liste_UO[[Code UO]:[Code UO]],Tableau_Liste_KPI[[#This Row],[Code UO]], Tableau_Liste_UO[RAF])</f>
        <v>0</v>
      </c>
      <c r="AD192" s="13" t="e">
        <f>SUMIF(Tableau_Liste_UO[[Code UO]:[Code UO]],Tableau_Liste_KPI[[#This Row],[Code UO]], #REF!)</f>
        <v>#REF!</v>
      </c>
      <c r="AE192" s="34" t="s">
        <v>721</v>
      </c>
      <c r="AF192" s="34" t="s">
        <v>225</v>
      </c>
      <c r="AG192" s="34" t="s">
        <v>225</v>
      </c>
      <c r="AH192" s="34"/>
      <c r="AI192" s="35" t="e">
        <f>IF(Tableau_Liste_KPI[[#This Row],[Charge commandée]]="","",IF(Tableau_Liste_KPI[[#This Row],[Total]]&gt;Tableau_Liste_KPI[[#This Row],[Charge commandée]],"KO",""))</f>
        <v>#REF!</v>
      </c>
      <c r="AJ192" s="35" t="e">
        <f>IF(Tableau_Liste_KPI[[#This Row],[KPI Charges]]="KO",Tableau_Liste_KPI[[#This Row],[Charge commandée]]-Tableau_Liste_KPI[[#This Row],[Total]],"")</f>
        <v>#REF!</v>
      </c>
    </row>
    <row r="193" spans="1:36" ht="12" x14ac:dyDescent="0.2">
      <c r="A193" s="12" t="s">
        <v>67</v>
      </c>
      <c r="B193" s="12" t="s">
        <v>350</v>
      </c>
      <c r="C193" s="12" t="s">
        <v>259</v>
      </c>
      <c r="D193" s="12" t="s">
        <v>37</v>
      </c>
      <c r="E193" s="12" t="s">
        <v>544</v>
      </c>
      <c r="F193" s="12" t="s">
        <v>34</v>
      </c>
      <c r="G193" s="12" t="s">
        <v>702</v>
      </c>
      <c r="H193" s="6">
        <v>42944.472222222219</v>
      </c>
      <c r="I193" s="6">
        <v>42944.472638888888</v>
      </c>
      <c r="J193" s="6">
        <v>42944.603414351855</v>
      </c>
      <c r="K193" s="69">
        <v>42944.603622685187</v>
      </c>
      <c r="L193" s="13" t="s">
        <v>225</v>
      </c>
      <c r="M193" s="13">
        <v>0</v>
      </c>
      <c r="N193" s="13">
        <v>0</v>
      </c>
      <c r="O193" s="12">
        <v>0</v>
      </c>
      <c r="P193" s="13" t="s">
        <v>225</v>
      </c>
      <c r="Q193" s="13" t="s">
        <v>225</v>
      </c>
      <c r="R193" s="33" t="s">
        <v>225</v>
      </c>
      <c r="S193" s="33" t="s">
        <v>225</v>
      </c>
      <c r="T193" s="33" t="s">
        <v>225</v>
      </c>
      <c r="U193" s="33" t="s">
        <v>225</v>
      </c>
      <c r="V193" s="33" t="s">
        <v>225</v>
      </c>
      <c r="W193" s="33" t="s">
        <v>692</v>
      </c>
      <c r="X193" s="33" t="s">
        <v>692</v>
      </c>
      <c r="Y193" s="33">
        <v>42942.47152777778</v>
      </c>
      <c r="Z193" s="33">
        <v>42942.47152777778</v>
      </c>
      <c r="AA193" s="13">
        <v>750</v>
      </c>
      <c r="AB193" s="13">
        <v>1</v>
      </c>
      <c r="AC193" s="13">
        <f>SUMIF(Tableau_Liste_UO[[Code UO]:[Code UO]],Tableau_Liste_KPI[[#This Row],[Code UO]], Tableau_Liste_UO[RAF])</f>
        <v>0</v>
      </c>
      <c r="AD193" s="13" t="e">
        <f>SUMIF(Tableau_Liste_UO[[Code UO]:[Code UO]],Tableau_Liste_KPI[[#This Row],[Code UO]], #REF!)</f>
        <v>#REF!</v>
      </c>
      <c r="AE193" s="34" t="s">
        <v>225</v>
      </c>
      <c r="AF193" s="34" t="s">
        <v>225</v>
      </c>
      <c r="AG193" s="34" t="s">
        <v>225</v>
      </c>
      <c r="AH193" s="34"/>
      <c r="AI193" s="35" t="e">
        <f>IF(Tableau_Liste_KPI[[#This Row],[Charge commandée]]="","",IF(Tableau_Liste_KPI[[#This Row],[Total]]&gt;Tableau_Liste_KPI[[#This Row],[Charge commandée]],"KO",""))</f>
        <v>#REF!</v>
      </c>
      <c r="AJ193" s="35" t="e">
        <f>IF(Tableau_Liste_KPI[[#This Row],[KPI Charges]]="KO",Tableau_Liste_KPI[[#This Row],[Charge commandée]]-Tableau_Liste_KPI[[#This Row],[Total]],"")</f>
        <v>#REF!</v>
      </c>
    </row>
    <row r="194" spans="1:36" ht="12" x14ac:dyDescent="0.2">
      <c r="A194" s="12" t="s">
        <v>68</v>
      </c>
      <c r="B194" s="12" t="s">
        <v>349</v>
      </c>
      <c r="C194" s="12" t="s">
        <v>173</v>
      </c>
      <c r="D194" s="12" t="s">
        <v>37</v>
      </c>
      <c r="E194" s="12" t="s">
        <v>544</v>
      </c>
      <c r="F194" s="12" t="s">
        <v>34</v>
      </c>
      <c r="G194" s="12" t="s">
        <v>702</v>
      </c>
      <c r="H194" s="6">
        <v>42944.442361111112</v>
      </c>
      <c r="I194" s="6">
        <v>42944.443182870367</v>
      </c>
      <c r="J194" s="6" t="s">
        <v>225</v>
      </c>
      <c r="K194" s="69" t="s">
        <v>225</v>
      </c>
      <c r="L194" s="13" t="s">
        <v>225</v>
      </c>
      <c r="M194" s="13">
        <v>-1</v>
      </c>
      <c r="N194" s="13">
        <v>0</v>
      </c>
      <c r="O194" s="12">
        <v>0</v>
      </c>
      <c r="P194" s="13" t="s">
        <v>225</v>
      </c>
      <c r="Q194" s="13">
        <v>-1</v>
      </c>
      <c r="R194" s="33" t="s">
        <v>225</v>
      </c>
      <c r="S194" s="33" t="s">
        <v>225</v>
      </c>
      <c r="T194" s="33" t="s">
        <v>225</v>
      </c>
      <c r="U194" s="33" t="s">
        <v>225</v>
      </c>
      <c r="V194" s="33" t="s">
        <v>225</v>
      </c>
      <c r="W194" s="33" t="s">
        <v>692</v>
      </c>
      <c r="X194" s="33" t="s">
        <v>225</v>
      </c>
      <c r="Y194" s="33">
        <v>42978.440972222219</v>
      </c>
      <c r="Z194" s="33">
        <v>42978.440972222219</v>
      </c>
      <c r="AA194" s="13">
        <v>0</v>
      </c>
      <c r="AB194" s="13">
        <v>0</v>
      </c>
      <c r="AC194" s="13">
        <f>SUMIF(Tableau_Liste_UO[[Code UO]:[Code UO]],Tableau_Liste_KPI[[#This Row],[Code UO]], Tableau_Liste_UO[RAF])</f>
        <v>0</v>
      </c>
      <c r="AD194" s="13" t="e">
        <f>SUMIF(Tableau_Liste_UO[[Code UO]:[Code UO]],Tableau_Liste_KPI[[#This Row],[Code UO]], #REF!)</f>
        <v>#REF!</v>
      </c>
      <c r="AE194" s="34" t="s">
        <v>225</v>
      </c>
      <c r="AF194" s="34" t="s">
        <v>225</v>
      </c>
      <c r="AG194" s="34" t="s">
        <v>225</v>
      </c>
      <c r="AH194" s="34"/>
      <c r="AI194" s="35" t="e">
        <f>IF(Tableau_Liste_KPI[[#This Row],[Charge commandée]]="","",IF(Tableau_Liste_KPI[[#This Row],[Total]]&gt;Tableau_Liste_KPI[[#This Row],[Charge commandée]],"KO",""))</f>
        <v>#REF!</v>
      </c>
      <c r="AJ194" s="35" t="e">
        <f>IF(Tableau_Liste_KPI[[#This Row],[KPI Charges]]="KO",Tableau_Liste_KPI[[#This Row],[Charge commandée]]-Tableau_Liste_KPI[[#This Row],[Total]],"")</f>
        <v>#REF!</v>
      </c>
    </row>
    <row r="195" spans="1:36" ht="12" x14ac:dyDescent="0.2">
      <c r="A195" s="12" t="s">
        <v>69</v>
      </c>
      <c r="B195" s="12" t="s">
        <v>348</v>
      </c>
      <c r="C195" s="12" t="s">
        <v>259</v>
      </c>
      <c r="D195" s="12" t="s">
        <v>37</v>
      </c>
      <c r="E195" s="12" t="s">
        <v>544</v>
      </c>
      <c r="F195" s="12" t="s">
        <v>34</v>
      </c>
      <c r="G195" s="12" t="s">
        <v>702</v>
      </c>
      <c r="H195" s="6">
        <v>42941.507638888892</v>
      </c>
      <c r="I195" s="6">
        <v>42941.508206018516</v>
      </c>
      <c r="J195" s="6" t="s">
        <v>225</v>
      </c>
      <c r="K195" s="69">
        <v>43027.495023148149</v>
      </c>
      <c r="L195" s="13" t="s">
        <v>225</v>
      </c>
      <c r="M195" s="13">
        <v>-1</v>
      </c>
      <c r="N195" s="13">
        <v>-1</v>
      </c>
      <c r="O195" s="12">
        <v>0</v>
      </c>
      <c r="P195" s="13" t="s">
        <v>225</v>
      </c>
      <c r="Q195" s="13">
        <v>-2</v>
      </c>
      <c r="R195" s="33" t="s">
        <v>225</v>
      </c>
      <c r="S195" s="33" t="s">
        <v>225</v>
      </c>
      <c r="T195" s="33" t="s">
        <v>225</v>
      </c>
      <c r="U195" s="33" t="s">
        <v>225</v>
      </c>
      <c r="V195" s="33" t="s">
        <v>225</v>
      </c>
      <c r="W195" s="33" t="s">
        <v>692</v>
      </c>
      <c r="X195" s="33" t="s">
        <v>703</v>
      </c>
      <c r="Y195" s="33">
        <v>43007.506249999999</v>
      </c>
      <c r="Z195" s="33">
        <v>43007.506249999999</v>
      </c>
      <c r="AA195" s="13">
        <v>3750</v>
      </c>
      <c r="AB195" s="13">
        <v>5</v>
      </c>
      <c r="AC195" s="13">
        <f>SUMIF(Tableau_Liste_UO[[Code UO]:[Code UO]],Tableau_Liste_KPI[[#This Row],[Code UO]], Tableau_Liste_UO[RAF])</f>
        <v>0</v>
      </c>
      <c r="AD195" s="13" t="e">
        <f>SUMIF(Tableau_Liste_UO[[Code UO]:[Code UO]],Tableau_Liste_KPI[[#This Row],[Code UO]], #REF!)</f>
        <v>#REF!</v>
      </c>
      <c r="AE195" s="34" t="s">
        <v>225</v>
      </c>
      <c r="AF195" s="34" t="s">
        <v>225</v>
      </c>
      <c r="AG195" s="34" t="s">
        <v>225</v>
      </c>
      <c r="AH195" s="34"/>
      <c r="AI195" s="35" t="e">
        <f>IF(Tableau_Liste_KPI[[#This Row],[Charge commandée]]="","",IF(Tableau_Liste_KPI[[#This Row],[Total]]&gt;Tableau_Liste_KPI[[#This Row],[Charge commandée]],"KO",""))</f>
        <v>#REF!</v>
      </c>
      <c r="AJ195" s="35" t="e">
        <f>IF(Tableau_Liste_KPI[[#This Row],[KPI Charges]]="KO",Tableau_Liste_KPI[[#This Row],[Charge commandée]]-Tableau_Liste_KPI[[#This Row],[Total]],"")</f>
        <v>#REF!</v>
      </c>
    </row>
    <row r="196" spans="1:36" ht="12" x14ac:dyDescent="0.2">
      <c r="A196" s="12" t="s">
        <v>28</v>
      </c>
      <c r="B196" s="12" t="s">
        <v>292</v>
      </c>
      <c r="C196" s="12" t="s">
        <v>259</v>
      </c>
      <c r="D196" s="12" t="s">
        <v>37</v>
      </c>
      <c r="E196" s="12" t="s">
        <v>541</v>
      </c>
      <c r="F196" s="12" t="s">
        <v>34</v>
      </c>
      <c r="G196" s="12" t="s">
        <v>706</v>
      </c>
      <c r="H196" s="6">
        <v>42940.482638888891</v>
      </c>
      <c r="I196" s="6">
        <v>42940.485393518517</v>
      </c>
      <c r="J196" s="6">
        <v>43067.67900462963</v>
      </c>
      <c r="K196" s="69">
        <v>43083.489398148151</v>
      </c>
      <c r="L196" s="13" t="s">
        <v>225</v>
      </c>
      <c r="M196" s="13">
        <v>4</v>
      </c>
      <c r="N196" s="13">
        <v>58</v>
      </c>
      <c r="O196" s="12">
        <v>-1</v>
      </c>
      <c r="P196" s="13">
        <v>39</v>
      </c>
      <c r="Q196" s="13">
        <v>62</v>
      </c>
      <c r="R196" s="33">
        <v>30</v>
      </c>
      <c r="S196" s="33">
        <v>40</v>
      </c>
      <c r="T196" s="33">
        <v>42965.481944444444</v>
      </c>
      <c r="U196" s="33">
        <v>42967.670138888891</v>
      </c>
      <c r="V196" s="33">
        <v>43006.48333333333</v>
      </c>
      <c r="W196" s="33" t="s">
        <v>692</v>
      </c>
      <c r="X196" s="33" t="s">
        <v>707</v>
      </c>
      <c r="Y196" s="33">
        <v>42982</v>
      </c>
      <c r="Z196" s="33">
        <v>42996</v>
      </c>
      <c r="AA196" s="13">
        <v>8068</v>
      </c>
      <c r="AB196" s="13">
        <v>10.1</v>
      </c>
      <c r="AC196" s="13">
        <f>SUMIF(Tableau_Liste_UO[[Code UO]:[Code UO]],Tableau_Liste_KPI[[#This Row],[Code UO]], Tableau_Liste_UO[RAF])</f>
        <v>0</v>
      </c>
      <c r="AD196" s="13" t="e">
        <f>SUMIF(Tableau_Liste_UO[[Code UO]:[Code UO]],Tableau_Liste_KPI[[#This Row],[Code UO]], #REF!)</f>
        <v>#REF!</v>
      </c>
      <c r="AE196" s="34" t="s">
        <v>721</v>
      </c>
      <c r="AF196" s="34" t="s">
        <v>721</v>
      </c>
      <c r="AG196" s="34" t="s">
        <v>225</v>
      </c>
      <c r="AH196" s="34"/>
      <c r="AI196" s="35" t="e">
        <f>IF(Tableau_Liste_KPI[[#This Row],[Charge commandée]]="","",IF(Tableau_Liste_KPI[[#This Row],[Total]]&gt;Tableau_Liste_KPI[[#This Row],[Charge commandée]],"KO",""))</f>
        <v>#REF!</v>
      </c>
      <c r="AJ196" s="35" t="e">
        <f>IF(Tableau_Liste_KPI[[#This Row],[KPI Charges]]="KO",Tableau_Liste_KPI[[#This Row],[Charge commandée]]-Tableau_Liste_KPI[[#This Row],[Total]],"")</f>
        <v>#REF!</v>
      </c>
    </row>
    <row r="197" spans="1:36" ht="12" x14ac:dyDescent="0.2">
      <c r="A197" s="21" t="s">
        <v>27</v>
      </c>
      <c r="B197" s="21" t="s">
        <v>292</v>
      </c>
      <c r="C197" s="12" t="s">
        <v>281</v>
      </c>
      <c r="D197" s="21" t="s">
        <v>37</v>
      </c>
      <c r="E197" s="21" t="s">
        <v>540</v>
      </c>
      <c r="F197" s="21" t="s">
        <v>114</v>
      </c>
      <c r="G197" s="21" t="s">
        <v>705</v>
      </c>
      <c r="H197" s="22">
        <v>42940.479861111111</v>
      </c>
      <c r="I197" s="22">
        <v>42940.481342592589</v>
      </c>
      <c r="J197" s="22" t="s">
        <v>225</v>
      </c>
      <c r="K197" s="70" t="s">
        <v>225</v>
      </c>
      <c r="L197" s="23" t="s">
        <v>225</v>
      </c>
      <c r="M197" s="23">
        <v>0</v>
      </c>
      <c r="N197" s="23">
        <v>63</v>
      </c>
      <c r="O197" s="21">
        <v>42</v>
      </c>
      <c r="P197" s="23" t="s">
        <v>225</v>
      </c>
      <c r="Q197" s="23">
        <v>63</v>
      </c>
      <c r="R197" s="36">
        <v>50</v>
      </c>
      <c r="S197" s="36">
        <v>60</v>
      </c>
      <c r="T197" s="36">
        <v>42965.479166666664</v>
      </c>
      <c r="U197" s="36">
        <v>42967</v>
      </c>
      <c r="V197" s="36">
        <v>43069.759027777778</v>
      </c>
      <c r="W197" s="36" t="s">
        <v>692</v>
      </c>
      <c r="X197" s="36" t="s">
        <v>225</v>
      </c>
      <c r="Y197" s="36">
        <v>43070</v>
      </c>
      <c r="Z197" s="36">
        <v>43084</v>
      </c>
      <c r="AA197" s="23">
        <v>16919</v>
      </c>
      <c r="AB197" s="23">
        <v>20.7</v>
      </c>
      <c r="AC197" s="23">
        <f>SUMIF(Tableau_Liste_UO[[Code UO]:[Code UO]],Tableau_Liste_KPI[[#This Row],[Code UO]], Tableau_Liste_UO[RAF])</f>
        <v>0</v>
      </c>
      <c r="AD197" s="23" t="e">
        <f>SUMIF(Tableau_Liste_UO[[Code UO]:[Code UO]],Tableau_Liste_KPI[[#This Row],[Code UO]], #REF!)</f>
        <v>#REF!</v>
      </c>
      <c r="AE197" s="37" t="s">
        <v>721</v>
      </c>
      <c r="AF197" s="37" t="s">
        <v>721</v>
      </c>
      <c r="AG197" s="37" t="s">
        <v>721</v>
      </c>
      <c r="AH197" s="37"/>
      <c r="AI197" s="38" t="e">
        <f>IF(Tableau_Liste_KPI[[#This Row],[Charge commandée]]="","",IF(Tableau_Liste_KPI[[#This Row],[Total]]&gt;Tableau_Liste_KPI[[#This Row],[Charge commandée]],"KO",""))</f>
        <v>#REF!</v>
      </c>
      <c r="AJ197" s="38" t="e">
        <f>IF(Tableau_Liste_KPI[[#This Row],[KPI Charges]]="KO",Tableau_Liste_KPI[[#This Row],[Charge commandée]]-Tableau_Liste_KPI[[#This Row],[Total]],"")</f>
        <v>#REF!</v>
      </c>
    </row>
    <row r="198" spans="1:36" ht="12" x14ac:dyDescent="0.2">
      <c r="A198" s="32" t="s">
        <v>26</v>
      </c>
      <c r="B198" s="12" t="s">
        <v>347</v>
      </c>
      <c r="C198" s="12" t="s">
        <v>259</v>
      </c>
      <c r="D198" s="12" t="s">
        <v>37</v>
      </c>
      <c r="E198" s="12" t="s">
        <v>63</v>
      </c>
      <c r="F198" s="12" t="s">
        <v>43</v>
      </c>
      <c r="G198" s="12" t="s">
        <v>700</v>
      </c>
      <c r="H198" s="6">
        <v>42937.470833333333</v>
      </c>
      <c r="I198" s="6">
        <v>42937.475289351853</v>
      </c>
      <c r="J198" s="6">
        <v>42942.429768518516</v>
      </c>
      <c r="K198" s="69">
        <v>42970.619363425925</v>
      </c>
      <c r="L198" s="13" t="s">
        <v>225</v>
      </c>
      <c r="M198" s="13">
        <v>0</v>
      </c>
      <c r="N198" s="13">
        <v>0</v>
      </c>
      <c r="O198" s="12">
        <v>2</v>
      </c>
      <c r="P198" s="13">
        <v>19</v>
      </c>
      <c r="Q198" s="13" t="s">
        <v>225</v>
      </c>
      <c r="R198" s="33">
        <v>2</v>
      </c>
      <c r="S198" s="33">
        <v>5</v>
      </c>
      <c r="T198" s="33">
        <v>42968.508333333331</v>
      </c>
      <c r="U198" s="33">
        <v>42942.506249999999</v>
      </c>
      <c r="V198" s="33" t="s">
        <v>225</v>
      </c>
      <c r="W198" s="33" t="s">
        <v>692</v>
      </c>
      <c r="X198" s="33" t="s">
        <v>697</v>
      </c>
      <c r="Y198" s="33">
        <v>42943</v>
      </c>
      <c r="Z198" s="33">
        <v>42948</v>
      </c>
      <c r="AA198" s="13">
        <v>825</v>
      </c>
      <c r="AB198" s="13">
        <v>1</v>
      </c>
      <c r="AC198" s="13">
        <f>SUMIF(Tableau_Liste_UO[[Code UO]:[Code UO]],Tableau_Liste_KPI[[#This Row],[Code UO]], Tableau_Liste_UO[RAF])</f>
        <v>0</v>
      </c>
      <c r="AD198" s="13" t="e">
        <f>SUMIF(Tableau_Liste_UO[[Code UO]:[Code UO]],Tableau_Liste_KPI[[#This Row],[Code UO]], #REF!)</f>
        <v>#REF!</v>
      </c>
      <c r="AE198" s="34" t="s">
        <v>225</v>
      </c>
      <c r="AF198" s="34" t="s">
        <v>225</v>
      </c>
      <c r="AG198" s="34" t="s">
        <v>225</v>
      </c>
      <c r="AH198" s="34"/>
      <c r="AI198" s="35" t="e">
        <f>IF(Tableau_Liste_KPI[[#This Row],[Charge commandée]]="","",IF(Tableau_Liste_KPI[[#This Row],[Total]]&gt;Tableau_Liste_KPI[[#This Row],[Charge commandée]],"KO",""))</f>
        <v>#REF!</v>
      </c>
      <c r="AJ198" s="35" t="e">
        <f>IF(Tableau_Liste_KPI[[#This Row],[KPI Charges]]="KO",Tableau_Liste_KPI[[#This Row],[Charge commandée]]-Tableau_Liste_KPI[[#This Row],[Total]],"")</f>
        <v>#REF!</v>
      </c>
    </row>
    <row r="199" spans="1:36" ht="12" x14ac:dyDescent="0.2">
      <c r="A199" s="32" t="s">
        <v>24</v>
      </c>
      <c r="B199" s="12" t="s">
        <v>605</v>
      </c>
      <c r="C199" s="12" t="s">
        <v>259</v>
      </c>
      <c r="D199" s="12" t="s">
        <v>33</v>
      </c>
      <c r="E199" s="12" t="s">
        <v>538</v>
      </c>
      <c r="F199" s="12" t="s">
        <v>34</v>
      </c>
      <c r="G199" s="12" t="s">
        <v>686</v>
      </c>
      <c r="H199" s="6">
        <v>42936.569444444445</v>
      </c>
      <c r="I199" s="6">
        <v>42978.496655092589</v>
      </c>
      <c r="J199" s="6">
        <v>42998.688391203701</v>
      </c>
      <c r="K199" s="69">
        <v>43011.673888888887</v>
      </c>
      <c r="L199" s="13" t="s">
        <v>225</v>
      </c>
      <c r="M199" s="13">
        <v>0</v>
      </c>
      <c r="N199" s="13">
        <v>14</v>
      </c>
      <c r="O199" s="12">
        <v>0</v>
      </c>
      <c r="P199" s="13">
        <v>9</v>
      </c>
      <c r="Q199" s="13">
        <v>14</v>
      </c>
      <c r="R199" s="33">
        <v>16</v>
      </c>
      <c r="S199" s="33">
        <v>24</v>
      </c>
      <c r="T199" s="33" t="s">
        <v>225</v>
      </c>
      <c r="U199" s="33">
        <v>43000.509027777778</v>
      </c>
      <c r="V199" s="33" t="s">
        <v>225</v>
      </c>
      <c r="W199" s="33" t="s">
        <v>697</v>
      </c>
      <c r="X199" s="33" t="s">
        <v>703</v>
      </c>
      <c r="Y199" s="33">
        <v>43000</v>
      </c>
      <c r="Z199" s="33">
        <v>43012</v>
      </c>
      <c r="AA199" s="13">
        <v>6088</v>
      </c>
      <c r="AB199" s="13">
        <v>8.1</v>
      </c>
      <c r="AC199" s="13">
        <f>SUMIF(Tableau_Liste_UO[[Code UO]:[Code UO]],Tableau_Liste_KPI[[#This Row],[Code UO]], Tableau_Liste_UO[RAF])</f>
        <v>0</v>
      </c>
      <c r="AD199" s="13" t="e">
        <f>SUMIF(Tableau_Liste_UO[[Code UO]:[Code UO]],Tableau_Liste_KPI[[#This Row],[Code UO]], #REF!)</f>
        <v>#REF!</v>
      </c>
      <c r="AE199" s="34" t="s">
        <v>225</v>
      </c>
      <c r="AF199" s="34" t="s">
        <v>225</v>
      </c>
      <c r="AG199" s="34" t="s">
        <v>225</v>
      </c>
      <c r="AH199" s="34"/>
      <c r="AI199" s="35" t="e">
        <f>IF(Tableau_Liste_KPI[[#This Row],[Charge commandée]]="","",IF(Tableau_Liste_KPI[[#This Row],[Total]]&gt;Tableau_Liste_KPI[[#This Row],[Charge commandée]],"KO",""))</f>
        <v>#REF!</v>
      </c>
      <c r="AJ199" s="35" t="e">
        <f>IF(Tableau_Liste_KPI[[#This Row],[KPI Charges]]="KO",Tableau_Liste_KPI[[#This Row],[Charge commandée]]-Tableau_Liste_KPI[[#This Row],[Total]],"")</f>
        <v>#REF!</v>
      </c>
    </row>
    <row r="200" spans="1:36" ht="12" x14ac:dyDescent="0.2">
      <c r="A200" s="12" t="s">
        <v>25</v>
      </c>
      <c r="B200" s="12" t="s">
        <v>346</v>
      </c>
      <c r="C200" s="12" t="s">
        <v>259</v>
      </c>
      <c r="D200" s="12" t="s">
        <v>37</v>
      </c>
      <c r="E200" s="12" t="s">
        <v>540</v>
      </c>
      <c r="F200" s="12" t="s">
        <v>43</v>
      </c>
      <c r="G200" s="12" t="s">
        <v>693</v>
      </c>
      <c r="H200" s="6">
        <v>42936.509027777778</v>
      </c>
      <c r="I200" s="6">
        <v>42936.509988425925</v>
      </c>
      <c r="J200" s="6">
        <v>43014.519259259258</v>
      </c>
      <c r="K200" s="69">
        <v>43020.465497685182</v>
      </c>
      <c r="L200" s="13" t="s">
        <v>225</v>
      </c>
      <c r="M200" s="13">
        <v>7</v>
      </c>
      <c r="N200" s="13">
        <v>24</v>
      </c>
      <c r="O200" s="12">
        <v>23</v>
      </c>
      <c r="P200" s="13">
        <v>4</v>
      </c>
      <c r="Q200" s="13">
        <v>31</v>
      </c>
      <c r="R200" s="33">
        <v>7</v>
      </c>
      <c r="S200" s="33">
        <v>10</v>
      </c>
      <c r="T200" s="33">
        <v>42968.508333333331</v>
      </c>
      <c r="U200" s="33">
        <v>43004.486111111109</v>
      </c>
      <c r="V200" s="33">
        <v>43014.685416666667</v>
      </c>
      <c r="W200" s="33" t="s">
        <v>692</v>
      </c>
      <c r="X200" s="33" t="s">
        <v>703</v>
      </c>
      <c r="Y200" s="33">
        <v>42979</v>
      </c>
      <c r="Z200" s="33">
        <v>42984</v>
      </c>
      <c r="AA200" s="13">
        <v>4127</v>
      </c>
      <c r="AB200" s="13">
        <v>5.0999999999999996</v>
      </c>
      <c r="AC200" s="13">
        <f>SUMIF(Tableau_Liste_UO[[Code UO]:[Code UO]],Tableau_Liste_KPI[[#This Row],[Code UO]], Tableau_Liste_UO[RAF])</f>
        <v>0</v>
      </c>
      <c r="AD200" s="13" t="e">
        <f>SUMIF(Tableau_Liste_UO[[Code UO]:[Code UO]],Tableau_Liste_KPI[[#This Row],[Code UO]], #REF!)</f>
        <v>#REF!</v>
      </c>
      <c r="AE200" s="34" t="s">
        <v>721</v>
      </c>
      <c r="AF200" s="34" t="s">
        <v>721</v>
      </c>
      <c r="AG200" s="34" t="s">
        <v>225</v>
      </c>
      <c r="AH200" s="34"/>
      <c r="AI200" s="35" t="e">
        <f>IF(Tableau_Liste_KPI[[#This Row],[Charge commandée]]="","",IF(Tableau_Liste_KPI[[#This Row],[Total]]&gt;Tableau_Liste_KPI[[#This Row],[Charge commandée]],"KO",""))</f>
        <v>#REF!</v>
      </c>
      <c r="AJ200" s="35" t="e">
        <f>IF(Tableau_Liste_KPI[[#This Row],[KPI Charges]]="KO",Tableau_Liste_KPI[[#This Row],[Charge commandée]]-Tableau_Liste_KPI[[#This Row],[Total]],"")</f>
        <v>#REF!</v>
      </c>
    </row>
    <row r="201" spans="1:36" ht="12" x14ac:dyDescent="0.2">
      <c r="A201" s="12" t="s">
        <v>23</v>
      </c>
      <c r="B201" s="12" t="s">
        <v>340</v>
      </c>
      <c r="C201" s="12" t="s">
        <v>173</v>
      </c>
      <c r="D201" s="12" t="s">
        <v>37</v>
      </c>
      <c r="E201" s="12" t="s">
        <v>63</v>
      </c>
      <c r="F201" s="12" t="s">
        <v>34</v>
      </c>
      <c r="G201" s="12" t="s">
        <v>704</v>
      </c>
      <c r="H201" s="6">
        <v>42933.570138888892</v>
      </c>
      <c r="I201" s="6">
        <v>42933.570983796293</v>
      </c>
      <c r="J201" s="6" t="s">
        <v>225</v>
      </c>
      <c r="K201" s="69" t="s">
        <v>225</v>
      </c>
      <c r="L201" s="13" t="s">
        <v>225</v>
      </c>
      <c r="M201" s="13">
        <v>11</v>
      </c>
      <c r="N201" s="13">
        <v>4</v>
      </c>
      <c r="O201" s="12">
        <v>82</v>
      </c>
      <c r="P201" s="13" t="s">
        <v>225</v>
      </c>
      <c r="Q201" s="13">
        <v>15</v>
      </c>
      <c r="R201" s="33">
        <v>7</v>
      </c>
      <c r="S201" s="33">
        <v>20</v>
      </c>
      <c r="T201" s="33">
        <v>42989.75</v>
      </c>
      <c r="U201" s="33">
        <v>42996.768055555556</v>
      </c>
      <c r="V201" s="33">
        <v>43069.625</v>
      </c>
      <c r="W201" s="33" t="s">
        <v>692</v>
      </c>
      <c r="X201" s="33" t="s">
        <v>225</v>
      </c>
      <c r="Y201" s="33">
        <v>43060</v>
      </c>
      <c r="Z201" s="33">
        <v>43077</v>
      </c>
      <c r="AA201" s="13">
        <v>5777</v>
      </c>
      <c r="AB201" s="13">
        <v>7.1</v>
      </c>
      <c r="AC201" s="13">
        <f>SUMIF(Tableau_Liste_UO[[Code UO]:[Code UO]],Tableau_Liste_KPI[[#This Row],[Code UO]], Tableau_Liste_UO[RAF])</f>
        <v>0</v>
      </c>
      <c r="AD201" s="13" t="e">
        <f>SUMIF(Tableau_Liste_UO[[Code UO]:[Code UO]],Tableau_Liste_KPI[[#This Row],[Code UO]], #REF!)</f>
        <v>#REF!</v>
      </c>
      <c r="AE201" s="34" t="s">
        <v>721</v>
      </c>
      <c r="AF201" s="34" t="s">
        <v>225</v>
      </c>
      <c r="AG201" s="34" t="s">
        <v>225</v>
      </c>
      <c r="AH201" s="34"/>
      <c r="AI201" s="35" t="e">
        <f>IF(Tableau_Liste_KPI[[#This Row],[Charge commandée]]="","",IF(Tableau_Liste_KPI[[#This Row],[Total]]&gt;Tableau_Liste_KPI[[#This Row],[Charge commandée]],"KO",""))</f>
        <v>#REF!</v>
      </c>
      <c r="AJ201" s="35" t="e">
        <f>IF(Tableau_Liste_KPI[[#This Row],[KPI Charges]]="KO",Tableau_Liste_KPI[[#This Row],[Charge commandée]]-Tableau_Liste_KPI[[#This Row],[Total]],"")</f>
        <v>#REF!</v>
      </c>
    </row>
    <row r="202" spans="1:36" ht="12" x14ac:dyDescent="0.2">
      <c r="A202" s="12" t="s">
        <v>22</v>
      </c>
      <c r="B202" s="12" t="s">
        <v>339</v>
      </c>
      <c r="C202" s="12" t="s">
        <v>173</v>
      </c>
      <c r="D202" s="12" t="s">
        <v>37</v>
      </c>
      <c r="E202" s="12" t="s">
        <v>63</v>
      </c>
      <c r="F202" s="12" t="s">
        <v>34</v>
      </c>
      <c r="G202" s="12" t="s">
        <v>704</v>
      </c>
      <c r="H202" s="6">
        <v>42933.568749999999</v>
      </c>
      <c r="I202" s="6">
        <v>42933.56958333333</v>
      </c>
      <c r="J202" s="6" t="s">
        <v>225</v>
      </c>
      <c r="K202" s="69" t="s">
        <v>225</v>
      </c>
      <c r="L202" s="13" t="s">
        <v>225</v>
      </c>
      <c r="M202" s="13">
        <v>10</v>
      </c>
      <c r="N202" s="13">
        <v>4</v>
      </c>
      <c r="O202" s="12">
        <v>82</v>
      </c>
      <c r="P202" s="13" t="s">
        <v>225</v>
      </c>
      <c r="Q202" s="13">
        <v>14</v>
      </c>
      <c r="R202" s="33">
        <v>7</v>
      </c>
      <c r="S202" s="33">
        <v>20</v>
      </c>
      <c r="T202" s="33">
        <v>42979.75</v>
      </c>
      <c r="U202" s="33">
        <v>42989.480555555558</v>
      </c>
      <c r="V202" s="33">
        <v>43069.628472222219</v>
      </c>
      <c r="W202" s="33" t="s">
        <v>692</v>
      </c>
      <c r="X202" s="33" t="s">
        <v>225</v>
      </c>
      <c r="Y202" s="33">
        <v>43060</v>
      </c>
      <c r="Z202" s="33">
        <v>43077</v>
      </c>
      <c r="AA202" s="13">
        <v>5777</v>
      </c>
      <c r="AB202" s="13">
        <v>7.1</v>
      </c>
      <c r="AC202" s="13">
        <f>SUMIF(Tableau_Liste_UO[[Code UO]:[Code UO]],Tableau_Liste_KPI[[#This Row],[Code UO]], Tableau_Liste_UO[RAF])</f>
        <v>0</v>
      </c>
      <c r="AD202" s="13" t="e">
        <f>SUMIF(Tableau_Liste_UO[[Code UO]:[Code UO]],Tableau_Liste_KPI[[#This Row],[Code UO]], #REF!)</f>
        <v>#REF!</v>
      </c>
      <c r="AE202" s="34" t="s">
        <v>721</v>
      </c>
      <c r="AF202" s="34" t="s">
        <v>225</v>
      </c>
      <c r="AG202" s="34" t="s">
        <v>225</v>
      </c>
      <c r="AH202" s="34"/>
      <c r="AI202" s="35" t="e">
        <f>IF(Tableau_Liste_KPI[[#This Row],[Charge commandée]]="","",IF(Tableau_Liste_KPI[[#This Row],[Total]]&gt;Tableau_Liste_KPI[[#This Row],[Charge commandée]],"KO",""))</f>
        <v>#REF!</v>
      </c>
      <c r="AJ202" s="35" t="e">
        <f>IF(Tableau_Liste_KPI[[#This Row],[KPI Charges]]="KO",Tableau_Liste_KPI[[#This Row],[Charge commandée]]-Tableau_Liste_KPI[[#This Row],[Total]],"")</f>
        <v>#REF!</v>
      </c>
    </row>
    <row r="203" spans="1:36" ht="12" x14ac:dyDescent="0.2">
      <c r="A203" s="12" t="s">
        <v>70</v>
      </c>
      <c r="B203" s="12" t="s">
        <v>345</v>
      </c>
      <c r="C203" s="12" t="s">
        <v>173</v>
      </c>
      <c r="D203" s="12" t="s">
        <v>33</v>
      </c>
      <c r="E203" s="12" t="s">
        <v>44</v>
      </c>
      <c r="F203" s="12" t="s">
        <v>34</v>
      </c>
      <c r="G203" s="12" t="s">
        <v>689</v>
      </c>
      <c r="H203" s="6">
        <v>42928.652777777781</v>
      </c>
      <c r="I203" s="6">
        <v>42947.721203703702</v>
      </c>
      <c r="J203" s="6" t="s">
        <v>225</v>
      </c>
      <c r="K203" s="69" t="s">
        <v>225</v>
      </c>
      <c r="L203" s="13" t="s">
        <v>225</v>
      </c>
      <c r="M203" s="13">
        <v>0</v>
      </c>
      <c r="N203" s="13">
        <v>0</v>
      </c>
      <c r="O203" s="12">
        <v>0</v>
      </c>
      <c r="P203" s="13" t="s">
        <v>225</v>
      </c>
      <c r="Q203" s="13" t="s">
        <v>225</v>
      </c>
      <c r="R203" s="33">
        <v>10</v>
      </c>
      <c r="S203" s="33">
        <v>15</v>
      </c>
      <c r="T203" s="33" t="s">
        <v>225</v>
      </c>
      <c r="U203" s="33" t="s">
        <v>225</v>
      </c>
      <c r="V203" s="33" t="s">
        <v>225</v>
      </c>
      <c r="W203" s="33" t="s">
        <v>692</v>
      </c>
      <c r="X203" s="33" t="s">
        <v>225</v>
      </c>
      <c r="Y203" s="33">
        <v>42961</v>
      </c>
      <c r="Z203" s="33">
        <v>42969</v>
      </c>
      <c r="AA203" s="13">
        <v>912</v>
      </c>
      <c r="AB203" s="13">
        <v>1</v>
      </c>
      <c r="AC203" s="13">
        <f>SUMIF(Tableau_Liste_UO[[Code UO]:[Code UO]],Tableau_Liste_KPI[[#This Row],[Code UO]], Tableau_Liste_UO[RAF])</f>
        <v>0</v>
      </c>
      <c r="AD203" s="13" t="e">
        <f>SUMIF(Tableau_Liste_UO[[Code UO]:[Code UO]],Tableau_Liste_KPI[[#This Row],[Code UO]], #REF!)</f>
        <v>#REF!</v>
      </c>
      <c r="AE203" s="34" t="s">
        <v>225</v>
      </c>
      <c r="AF203" s="34" t="s">
        <v>225</v>
      </c>
      <c r="AG203" s="34" t="s">
        <v>225</v>
      </c>
      <c r="AH203" s="34"/>
      <c r="AI203" s="35" t="e">
        <f>IF(Tableau_Liste_KPI[[#This Row],[Charge commandée]]="","",IF(Tableau_Liste_KPI[[#This Row],[Total]]&gt;Tableau_Liste_KPI[[#This Row],[Charge commandée]],"KO",""))</f>
        <v>#REF!</v>
      </c>
      <c r="AJ203" s="35" t="e">
        <f>IF(Tableau_Liste_KPI[[#This Row],[KPI Charges]]="KO",Tableau_Liste_KPI[[#This Row],[Charge commandée]]-Tableau_Liste_KPI[[#This Row],[Total]],"")</f>
        <v>#REF!</v>
      </c>
    </row>
    <row r="204" spans="1:36" ht="12" x14ac:dyDescent="0.2">
      <c r="A204" s="32" t="s">
        <v>71</v>
      </c>
      <c r="B204" s="12" t="s">
        <v>606</v>
      </c>
      <c r="C204" s="12" t="s">
        <v>173</v>
      </c>
      <c r="D204" s="12" t="s">
        <v>33</v>
      </c>
      <c r="E204" s="12" t="s">
        <v>539</v>
      </c>
      <c r="F204" s="12" t="s">
        <v>34</v>
      </c>
      <c r="G204" s="12" t="s">
        <v>699</v>
      </c>
      <c r="H204" s="6">
        <v>42928.652777777781</v>
      </c>
      <c r="I204" s="6">
        <v>42947.721342592595</v>
      </c>
      <c r="J204" s="6" t="s">
        <v>225</v>
      </c>
      <c r="K204" s="69" t="s">
        <v>225</v>
      </c>
      <c r="L204" s="13" t="s">
        <v>225</v>
      </c>
      <c r="M204" s="13">
        <v>0</v>
      </c>
      <c r="N204" s="13">
        <v>0</v>
      </c>
      <c r="O204" s="12">
        <v>0</v>
      </c>
      <c r="P204" s="13" t="s">
        <v>225</v>
      </c>
      <c r="Q204" s="13" t="s">
        <v>225</v>
      </c>
      <c r="R204" s="33">
        <v>8</v>
      </c>
      <c r="S204" s="33">
        <v>11</v>
      </c>
      <c r="T204" s="33" t="s">
        <v>225</v>
      </c>
      <c r="U204" s="33" t="s">
        <v>225</v>
      </c>
      <c r="V204" s="33" t="s">
        <v>225</v>
      </c>
      <c r="W204" s="33" t="s">
        <v>692</v>
      </c>
      <c r="X204" s="33" t="s">
        <v>225</v>
      </c>
      <c r="Y204" s="33">
        <v>42957</v>
      </c>
      <c r="Z204" s="33">
        <v>42963</v>
      </c>
      <c r="AA204" s="13">
        <v>3044</v>
      </c>
      <c r="AB204" s="13">
        <v>4</v>
      </c>
      <c r="AC204" s="13">
        <f>SUMIF(Tableau_Liste_UO[[Code UO]:[Code UO]],Tableau_Liste_KPI[[#This Row],[Code UO]], Tableau_Liste_UO[RAF])</f>
        <v>0</v>
      </c>
      <c r="AD204" s="13" t="e">
        <f>SUMIF(Tableau_Liste_UO[[Code UO]:[Code UO]],Tableau_Liste_KPI[[#This Row],[Code UO]], #REF!)</f>
        <v>#REF!</v>
      </c>
      <c r="AE204" s="34" t="s">
        <v>225</v>
      </c>
      <c r="AF204" s="34" t="s">
        <v>225</v>
      </c>
      <c r="AG204" s="34" t="s">
        <v>225</v>
      </c>
      <c r="AH204" s="34"/>
      <c r="AI204" s="35" t="e">
        <f>IF(Tableau_Liste_KPI[[#This Row],[Charge commandée]]="","",IF(Tableau_Liste_KPI[[#This Row],[Total]]&gt;Tableau_Liste_KPI[[#This Row],[Charge commandée]],"KO",""))</f>
        <v>#REF!</v>
      </c>
      <c r="AJ204" s="35" t="e">
        <f>IF(Tableau_Liste_KPI[[#This Row],[KPI Charges]]="KO",Tableau_Liste_KPI[[#This Row],[Charge commandée]]-Tableau_Liste_KPI[[#This Row],[Total]],"")</f>
        <v>#REF!</v>
      </c>
    </row>
    <row r="205" spans="1:36" ht="12" x14ac:dyDescent="0.2">
      <c r="A205" s="12" t="s">
        <v>72</v>
      </c>
      <c r="B205" s="12" t="s">
        <v>607</v>
      </c>
      <c r="C205" s="12" t="s">
        <v>173</v>
      </c>
      <c r="D205" s="12" t="s">
        <v>33</v>
      </c>
      <c r="E205" s="12" t="s">
        <v>538</v>
      </c>
      <c r="F205" s="12" t="s">
        <v>34</v>
      </c>
      <c r="G205" s="12" t="s">
        <v>686</v>
      </c>
      <c r="H205" s="6">
        <v>42928.652083333334</v>
      </c>
      <c r="I205" s="6">
        <v>42947.721122685187</v>
      </c>
      <c r="J205" s="6" t="s">
        <v>225</v>
      </c>
      <c r="K205" s="69" t="s">
        <v>225</v>
      </c>
      <c r="L205" s="13" t="s">
        <v>225</v>
      </c>
      <c r="M205" s="13">
        <v>0</v>
      </c>
      <c r="N205" s="13">
        <v>0</v>
      </c>
      <c r="O205" s="12">
        <v>0</v>
      </c>
      <c r="P205" s="13" t="s">
        <v>225</v>
      </c>
      <c r="Q205" s="13" t="s">
        <v>225</v>
      </c>
      <c r="R205" s="33">
        <v>16</v>
      </c>
      <c r="S205" s="33">
        <v>24</v>
      </c>
      <c r="T205" s="33" t="s">
        <v>225</v>
      </c>
      <c r="U205" s="33" t="s">
        <v>225</v>
      </c>
      <c r="V205" s="33" t="s">
        <v>225</v>
      </c>
      <c r="W205" s="33" t="s">
        <v>692</v>
      </c>
      <c r="X205" s="33" t="s">
        <v>225</v>
      </c>
      <c r="Y205" s="33">
        <v>42970</v>
      </c>
      <c r="Z205" s="33">
        <v>42982</v>
      </c>
      <c r="AA205" s="13">
        <v>6088</v>
      </c>
      <c r="AB205" s="13">
        <v>8.1</v>
      </c>
      <c r="AC205" s="13">
        <f>SUMIF(Tableau_Liste_UO[[Code UO]:[Code UO]],Tableau_Liste_KPI[[#This Row],[Code UO]], Tableau_Liste_UO[RAF])</f>
        <v>0</v>
      </c>
      <c r="AD205" s="13" t="e">
        <f>SUMIF(Tableau_Liste_UO[[Code UO]:[Code UO]],Tableau_Liste_KPI[[#This Row],[Code UO]], #REF!)</f>
        <v>#REF!</v>
      </c>
      <c r="AE205" s="34" t="s">
        <v>225</v>
      </c>
      <c r="AF205" s="34" t="s">
        <v>225</v>
      </c>
      <c r="AG205" s="34" t="s">
        <v>225</v>
      </c>
      <c r="AH205" s="34"/>
      <c r="AI205" s="35" t="e">
        <f>IF(Tableau_Liste_KPI[[#This Row],[Charge commandée]]="","",IF(Tableau_Liste_KPI[[#This Row],[Total]]&gt;Tableau_Liste_KPI[[#This Row],[Charge commandée]],"KO",""))</f>
        <v>#REF!</v>
      </c>
      <c r="AJ205" s="35" t="e">
        <f>IF(Tableau_Liste_KPI[[#This Row],[KPI Charges]]="KO",Tableau_Liste_KPI[[#This Row],[Charge commandée]]-Tableau_Liste_KPI[[#This Row],[Total]],"")</f>
        <v>#REF!</v>
      </c>
    </row>
    <row r="206" spans="1:36" ht="12" x14ac:dyDescent="0.2">
      <c r="A206" s="12" t="s">
        <v>21</v>
      </c>
      <c r="B206" s="12" t="s">
        <v>344</v>
      </c>
      <c r="C206" s="12" t="s">
        <v>259</v>
      </c>
      <c r="D206" s="12" t="s">
        <v>33</v>
      </c>
      <c r="E206" s="12" t="s">
        <v>44</v>
      </c>
      <c r="F206" s="12" t="s">
        <v>43</v>
      </c>
      <c r="G206" s="12" t="s">
        <v>689</v>
      </c>
      <c r="H206" s="6">
        <v>42928.647222222222</v>
      </c>
      <c r="I206" s="6">
        <v>42928.647511574076</v>
      </c>
      <c r="J206" s="6">
        <v>42982.645960648151</v>
      </c>
      <c r="K206" s="69">
        <v>42983.692118055558</v>
      </c>
      <c r="L206" s="13" t="s">
        <v>225</v>
      </c>
      <c r="M206" s="13">
        <v>0</v>
      </c>
      <c r="N206" s="13">
        <v>-2</v>
      </c>
      <c r="O206" s="12">
        <v>35</v>
      </c>
      <c r="P206" s="13">
        <v>1</v>
      </c>
      <c r="Q206" s="13">
        <v>-2</v>
      </c>
      <c r="R206" s="33">
        <v>10</v>
      </c>
      <c r="S206" s="33">
        <v>15</v>
      </c>
      <c r="T206" s="33" t="s">
        <v>225</v>
      </c>
      <c r="U206" s="33">
        <v>42928.723611111112</v>
      </c>
      <c r="V206" s="33" t="s">
        <v>225</v>
      </c>
      <c r="W206" s="33" t="s">
        <v>692</v>
      </c>
      <c r="X206" s="33" t="s">
        <v>690</v>
      </c>
      <c r="Y206" s="33">
        <v>42996</v>
      </c>
      <c r="Z206" s="33">
        <v>43003</v>
      </c>
      <c r="AA206" s="13">
        <v>912</v>
      </c>
      <c r="AB206" s="13">
        <v>1</v>
      </c>
      <c r="AC206" s="13">
        <f>SUMIF(Tableau_Liste_UO[[Code UO]:[Code UO]],Tableau_Liste_KPI[[#This Row],[Code UO]], Tableau_Liste_UO[RAF])</f>
        <v>0</v>
      </c>
      <c r="AD206" s="13" t="e">
        <f>SUMIF(Tableau_Liste_UO[[Code UO]:[Code UO]],Tableau_Liste_KPI[[#This Row],[Code UO]], #REF!)</f>
        <v>#REF!</v>
      </c>
      <c r="AE206" s="34" t="s">
        <v>225</v>
      </c>
      <c r="AF206" s="34" t="s">
        <v>225</v>
      </c>
      <c r="AG206" s="34" t="s">
        <v>225</v>
      </c>
      <c r="AH206" s="34"/>
      <c r="AI206" s="35" t="e">
        <f>IF(Tableau_Liste_KPI[[#This Row],[Charge commandée]]="","",IF(Tableau_Liste_KPI[[#This Row],[Total]]&gt;Tableau_Liste_KPI[[#This Row],[Charge commandée]],"KO",""))</f>
        <v>#REF!</v>
      </c>
      <c r="AJ206" s="35" t="e">
        <f>IF(Tableau_Liste_KPI[[#This Row],[KPI Charges]]="KO",Tableau_Liste_KPI[[#This Row],[Charge commandée]]-Tableau_Liste_KPI[[#This Row],[Total]],"")</f>
        <v>#REF!</v>
      </c>
    </row>
    <row r="207" spans="1:36" ht="12" x14ac:dyDescent="0.2">
      <c r="A207" s="25" t="s">
        <v>20</v>
      </c>
      <c r="B207" s="25" t="s">
        <v>343</v>
      </c>
      <c r="C207" s="12" t="s">
        <v>259</v>
      </c>
      <c r="D207" s="25" t="s">
        <v>33</v>
      </c>
      <c r="E207" s="25" t="s">
        <v>44</v>
      </c>
      <c r="F207" s="25" t="s">
        <v>225</v>
      </c>
      <c r="G207" s="25" t="s">
        <v>689</v>
      </c>
      <c r="H207" s="24">
        <v>42928.48541666667</v>
      </c>
      <c r="I207" s="24">
        <v>42928.485949074071</v>
      </c>
      <c r="J207" s="24">
        <v>43012.69358796296</v>
      </c>
      <c r="K207" s="71">
        <v>43018.620879629627</v>
      </c>
      <c r="L207" s="26" t="s">
        <v>225</v>
      </c>
      <c r="M207" s="26">
        <v>7</v>
      </c>
      <c r="N207" s="26">
        <v>5</v>
      </c>
      <c r="O207" s="25">
        <v>45</v>
      </c>
      <c r="P207" s="26">
        <v>4</v>
      </c>
      <c r="Q207" s="26">
        <v>12</v>
      </c>
      <c r="R207" s="39">
        <v>10</v>
      </c>
      <c r="S207" s="39">
        <v>15</v>
      </c>
      <c r="T207" s="39" t="s">
        <v>225</v>
      </c>
      <c r="U207" s="39">
        <v>42913.406944444447</v>
      </c>
      <c r="V207" s="39" t="s">
        <v>225</v>
      </c>
      <c r="W207" s="39" t="s">
        <v>692</v>
      </c>
      <c r="X207" s="39" t="s">
        <v>703</v>
      </c>
      <c r="Y207" s="39">
        <v>43010</v>
      </c>
      <c r="Z207" s="39">
        <v>43017</v>
      </c>
      <c r="AA207" s="26">
        <v>912</v>
      </c>
      <c r="AB207" s="26">
        <v>1</v>
      </c>
      <c r="AC207" s="26">
        <f>SUMIF(Tableau_Liste_UO[[Code UO]:[Code UO]],Tableau_Liste_KPI[[#This Row],[Code UO]], Tableau_Liste_UO[RAF])</f>
        <v>0</v>
      </c>
      <c r="AD207" s="26" t="e">
        <f>SUMIF(Tableau_Liste_UO[[Code UO]:[Code UO]],Tableau_Liste_KPI[[#This Row],[Code UO]], #REF!)</f>
        <v>#REF!</v>
      </c>
      <c r="AE207" s="40" t="s">
        <v>721</v>
      </c>
      <c r="AF207" s="40" t="s">
        <v>225</v>
      </c>
      <c r="AG207" s="40" t="s">
        <v>225</v>
      </c>
      <c r="AH207" s="40"/>
      <c r="AI207" s="41" t="e">
        <f>IF(Tableau_Liste_KPI[[#This Row],[Charge commandée]]="","",IF(Tableau_Liste_KPI[[#This Row],[Total]]&gt;Tableau_Liste_KPI[[#This Row],[Charge commandée]],"KO",""))</f>
        <v>#REF!</v>
      </c>
      <c r="AJ207" s="41" t="e">
        <f>IF(Tableau_Liste_KPI[[#This Row],[KPI Charges]]="KO",Tableau_Liste_KPI[[#This Row],[Charge commandée]]-Tableau_Liste_KPI[[#This Row],[Total]],"")</f>
        <v>#REF!</v>
      </c>
    </row>
    <row r="208" spans="1:36" ht="12" x14ac:dyDescent="0.2">
      <c r="A208" s="12" t="s">
        <v>19</v>
      </c>
      <c r="B208" s="12" t="s">
        <v>342</v>
      </c>
      <c r="C208" s="12" t="s">
        <v>259</v>
      </c>
      <c r="D208" s="12" t="s">
        <v>37</v>
      </c>
      <c r="E208" s="12" t="s">
        <v>544</v>
      </c>
      <c r="F208" s="12" t="s">
        <v>34</v>
      </c>
      <c r="G208" s="12" t="s">
        <v>702</v>
      </c>
      <c r="H208" s="6">
        <v>42928.43472222222</v>
      </c>
      <c r="I208" s="6">
        <v>42928.4375</v>
      </c>
      <c r="J208" s="6" t="s">
        <v>225</v>
      </c>
      <c r="K208" s="69">
        <v>43021.654351851852</v>
      </c>
      <c r="L208" s="13" t="s">
        <v>225</v>
      </c>
      <c r="M208" s="13">
        <v>-1</v>
      </c>
      <c r="N208" s="13">
        <v>39</v>
      </c>
      <c r="O208" s="12">
        <v>0</v>
      </c>
      <c r="P208" s="13" t="s">
        <v>225</v>
      </c>
      <c r="Q208" s="13">
        <v>38</v>
      </c>
      <c r="R208" s="33" t="s">
        <v>225</v>
      </c>
      <c r="S208" s="33" t="s">
        <v>225</v>
      </c>
      <c r="T208" s="33" t="s">
        <v>225</v>
      </c>
      <c r="U208" s="33" t="s">
        <v>225</v>
      </c>
      <c r="V208" s="33" t="s">
        <v>225</v>
      </c>
      <c r="W208" s="33" t="s">
        <v>692</v>
      </c>
      <c r="X208" s="33" t="s">
        <v>703</v>
      </c>
      <c r="Y208" s="33">
        <v>42921.754166666666</v>
      </c>
      <c r="Z208" s="33">
        <v>42921.754166666666</v>
      </c>
      <c r="AA208" s="13">
        <v>3750</v>
      </c>
      <c r="AB208" s="13">
        <v>5</v>
      </c>
      <c r="AC208" s="13">
        <f>SUMIF(Tableau_Liste_UO[[Code UO]:[Code UO]],Tableau_Liste_KPI[[#This Row],[Code UO]], Tableau_Liste_UO[RAF])</f>
        <v>0</v>
      </c>
      <c r="AD208" s="13" t="e">
        <f>SUMIF(Tableau_Liste_UO[[Code UO]:[Code UO]],Tableau_Liste_KPI[[#This Row],[Code UO]], #REF!)</f>
        <v>#REF!</v>
      </c>
      <c r="AE208" s="34" t="s">
        <v>225</v>
      </c>
      <c r="AF208" s="34" t="s">
        <v>225</v>
      </c>
      <c r="AG208" s="34" t="s">
        <v>225</v>
      </c>
      <c r="AH208" s="34"/>
      <c r="AI208" s="35" t="e">
        <f>IF(Tableau_Liste_KPI[[#This Row],[Charge commandée]]="","",IF(Tableau_Liste_KPI[[#This Row],[Total]]&gt;Tableau_Liste_KPI[[#This Row],[Charge commandée]],"KO",""))</f>
        <v>#REF!</v>
      </c>
      <c r="AJ208" s="35" t="e">
        <f>IF(Tableau_Liste_KPI[[#This Row],[KPI Charges]]="KO",Tableau_Liste_KPI[[#This Row],[Charge commandée]]-Tableau_Liste_KPI[[#This Row],[Total]],"")</f>
        <v>#REF!</v>
      </c>
    </row>
    <row r="209" spans="1:36" ht="12" x14ac:dyDescent="0.2">
      <c r="A209" s="12" t="s">
        <v>18</v>
      </c>
      <c r="B209" s="12" t="s">
        <v>274</v>
      </c>
      <c r="C209" s="12" t="s">
        <v>259</v>
      </c>
      <c r="D209" s="12" t="s">
        <v>37</v>
      </c>
      <c r="E209" s="12" t="s">
        <v>544</v>
      </c>
      <c r="F209" s="12" t="s">
        <v>34</v>
      </c>
      <c r="G209" s="12" t="s">
        <v>702</v>
      </c>
      <c r="H209" s="6">
        <v>42927.631944444445</v>
      </c>
      <c r="I209" s="6">
        <v>42927.730243055557</v>
      </c>
      <c r="J209" s="6" t="s">
        <v>225</v>
      </c>
      <c r="K209" s="69">
        <v>43068.685023148151</v>
      </c>
      <c r="L209" s="13" t="s">
        <v>225</v>
      </c>
      <c r="M209" s="13">
        <v>1</v>
      </c>
      <c r="N209" s="13">
        <v>62</v>
      </c>
      <c r="O209" s="12">
        <v>0</v>
      </c>
      <c r="P209" s="13" t="s">
        <v>225</v>
      </c>
      <c r="Q209" s="13">
        <v>63</v>
      </c>
      <c r="R209" s="33" t="s">
        <v>225</v>
      </c>
      <c r="S209" s="33" t="s">
        <v>225</v>
      </c>
      <c r="T209" s="33" t="s">
        <v>225</v>
      </c>
      <c r="U209" s="33" t="s">
        <v>225</v>
      </c>
      <c r="V209" s="33" t="s">
        <v>225</v>
      </c>
      <c r="W209" s="33" t="s">
        <v>692</v>
      </c>
      <c r="X209" s="33" t="s">
        <v>694</v>
      </c>
      <c r="Y209" s="33">
        <v>43039.627083333333</v>
      </c>
      <c r="Z209" s="33">
        <v>43039.627083333333</v>
      </c>
      <c r="AA209" s="13">
        <v>2250</v>
      </c>
      <c r="AB209" s="13">
        <v>3</v>
      </c>
      <c r="AC209" s="13">
        <f>SUMIF(Tableau_Liste_UO[[Code UO]:[Code UO]],Tableau_Liste_KPI[[#This Row],[Code UO]], Tableau_Liste_UO[RAF])</f>
        <v>0</v>
      </c>
      <c r="AD209" s="13" t="e">
        <f>SUMIF(Tableau_Liste_UO[[Code UO]:[Code UO]],Tableau_Liste_KPI[[#This Row],[Code UO]], #REF!)</f>
        <v>#REF!</v>
      </c>
      <c r="AE209" s="34" t="s">
        <v>225</v>
      </c>
      <c r="AF209" s="34" t="s">
        <v>225</v>
      </c>
      <c r="AG209" s="34" t="s">
        <v>225</v>
      </c>
      <c r="AH209" s="34"/>
      <c r="AI209" s="35" t="e">
        <f>IF(Tableau_Liste_KPI[[#This Row],[Charge commandée]]="","",IF(Tableau_Liste_KPI[[#This Row],[Total]]&gt;Tableau_Liste_KPI[[#This Row],[Charge commandée]],"KO",""))</f>
        <v>#REF!</v>
      </c>
      <c r="AJ209" s="35" t="e">
        <f>IF(Tableau_Liste_KPI[[#This Row],[KPI Charges]]="KO",Tableau_Liste_KPI[[#This Row],[Charge commandée]]-Tableau_Liste_KPI[[#This Row],[Total]],"")</f>
        <v>#REF!</v>
      </c>
    </row>
    <row r="210" spans="1:36" ht="12" x14ac:dyDescent="0.2">
      <c r="A210" s="12" t="s">
        <v>17</v>
      </c>
      <c r="B210" s="12" t="s">
        <v>608</v>
      </c>
      <c r="C210" s="12" t="s">
        <v>259</v>
      </c>
      <c r="D210" s="12" t="s">
        <v>37</v>
      </c>
      <c r="E210" s="12" t="s">
        <v>544</v>
      </c>
      <c r="F210" s="12" t="s">
        <v>43</v>
      </c>
      <c r="G210" s="12" t="s">
        <v>702</v>
      </c>
      <c r="H210" s="6">
        <v>42927.444444444445</v>
      </c>
      <c r="I210" s="6">
        <v>42933.7190162037</v>
      </c>
      <c r="J210" s="6" t="s">
        <v>225</v>
      </c>
      <c r="K210" s="69">
        <v>43063.687604166669</v>
      </c>
      <c r="L210" s="13" t="s">
        <v>225</v>
      </c>
      <c r="M210" s="13">
        <v>-1</v>
      </c>
      <c r="N210" s="13">
        <v>68</v>
      </c>
      <c r="O210" s="12">
        <v>0</v>
      </c>
      <c r="P210" s="13" t="s">
        <v>225</v>
      </c>
      <c r="Q210" s="13">
        <v>67</v>
      </c>
      <c r="R210" s="33" t="s">
        <v>225</v>
      </c>
      <c r="S210" s="33" t="s">
        <v>225</v>
      </c>
      <c r="T210" s="33">
        <v>42947.75</v>
      </c>
      <c r="U210" s="33" t="s">
        <v>225</v>
      </c>
      <c r="V210" s="33" t="s">
        <v>225</v>
      </c>
      <c r="W210" s="33" t="s">
        <v>692</v>
      </c>
      <c r="X210" s="33" t="s">
        <v>694</v>
      </c>
      <c r="Y210" s="33">
        <v>42962.731249999997</v>
      </c>
      <c r="Z210" s="33">
        <v>42962.731249999997</v>
      </c>
      <c r="AA210" s="13">
        <v>22500</v>
      </c>
      <c r="AB210" s="13">
        <v>30</v>
      </c>
      <c r="AC210" s="13">
        <f>SUMIF(Tableau_Liste_UO[[Code UO]:[Code UO]],Tableau_Liste_KPI[[#This Row],[Code UO]], Tableau_Liste_UO[RAF])</f>
        <v>0</v>
      </c>
      <c r="AD210" s="13" t="e">
        <f>SUMIF(Tableau_Liste_UO[[Code UO]:[Code UO]],Tableau_Liste_KPI[[#This Row],[Code UO]], #REF!)</f>
        <v>#REF!</v>
      </c>
      <c r="AE210" s="34" t="s">
        <v>225</v>
      </c>
      <c r="AF210" s="34" t="s">
        <v>225</v>
      </c>
      <c r="AG210" s="34" t="s">
        <v>225</v>
      </c>
      <c r="AH210" s="34"/>
      <c r="AI210" s="35" t="e">
        <f>IF(Tableau_Liste_KPI[[#This Row],[Charge commandée]]="","",IF(Tableau_Liste_KPI[[#This Row],[Total]]&gt;Tableau_Liste_KPI[[#This Row],[Charge commandée]],"KO",""))</f>
        <v>#REF!</v>
      </c>
      <c r="AJ210" s="35" t="e">
        <f>IF(Tableau_Liste_KPI[[#This Row],[KPI Charges]]="KO",Tableau_Liste_KPI[[#This Row],[Charge commandée]]-Tableau_Liste_KPI[[#This Row],[Total]],"")</f>
        <v>#REF!</v>
      </c>
    </row>
    <row r="211" spans="1:36" ht="12" x14ac:dyDescent="0.2">
      <c r="A211" s="12" t="s">
        <v>15</v>
      </c>
      <c r="B211" s="12" t="s">
        <v>341</v>
      </c>
      <c r="C211" s="12" t="s">
        <v>259</v>
      </c>
      <c r="D211" s="12" t="s">
        <v>33</v>
      </c>
      <c r="E211" s="12" t="s">
        <v>544</v>
      </c>
      <c r="F211" s="12" t="s">
        <v>34</v>
      </c>
      <c r="G211" s="12" t="s">
        <v>701</v>
      </c>
      <c r="H211" s="6">
        <v>42926.659722222219</v>
      </c>
      <c r="I211" s="6">
        <v>42926.661192129628</v>
      </c>
      <c r="J211" s="6" t="s">
        <v>225</v>
      </c>
      <c r="K211" s="69">
        <v>43048.686967592592</v>
      </c>
      <c r="L211" s="13" t="s">
        <v>225</v>
      </c>
      <c r="M211" s="13">
        <v>-1</v>
      </c>
      <c r="N211" s="13">
        <v>14</v>
      </c>
      <c r="O211" s="12">
        <v>0</v>
      </c>
      <c r="P211" s="13" t="s">
        <v>225</v>
      </c>
      <c r="Q211" s="13">
        <v>13</v>
      </c>
      <c r="R211" s="33" t="s">
        <v>225</v>
      </c>
      <c r="S211" s="33" t="s">
        <v>225</v>
      </c>
      <c r="T211" s="33" t="s">
        <v>225</v>
      </c>
      <c r="U211" s="33" t="s">
        <v>225</v>
      </c>
      <c r="V211" s="33" t="s">
        <v>225</v>
      </c>
      <c r="W211" s="33" t="s">
        <v>692</v>
      </c>
      <c r="X211" s="33" t="s">
        <v>694</v>
      </c>
      <c r="Y211" s="33">
        <v>42978.660416666666</v>
      </c>
      <c r="Z211" s="33">
        <v>42978.660416666666</v>
      </c>
      <c r="AA211" s="13">
        <v>2250</v>
      </c>
      <c r="AB211" s="13">
        <v>3</v>
      </c>
      <c r="AC211" s="13">
        <f>SUMIF(Tableau_Liste_UO[[Code UO]:[Code UO]],Tableau_Liste_KPI[[#This Row],[Code UO]], Tableau_Liste_UO[RAF])</f>
        <v>0</v>
      </c>
      <c r="AD211" s="13" t="e">
        <f>SUMIF(Tableau_Liste_UO[[Code UO]:[Code UO]],Tableau_Liste_KPI[[#This Row],[Code UO]], #REF!)</f>
        <v>#REF!</v>
      </c>
      <c r="AE211" s="34" t="s">
        <v>225</v>
      </c>
      <c r="AF211" s="34" t="s">
        <v>225</v>
      </c>
      <c r="AG211" s="34" t="s">
        <v>225</v>
      </c>
      <c r="AH211" s="34"/>
      <c r="AI211" s="35" t="e">
        <f>IF(Tableau_Liste_KPI[[#This Row],[Charge commandée]]="","",IF(Tableau_Liste_KPI[[#This Row],[Total]]&gt;Tableau_Liste_KPI[[#This Row],[Charge commandée]],"KO",""))</f>
        <v>#REF!</v>
      </c>
      <c r="AJ211" s="35" t="e">
        <f>IF(Tableau_Liste_KPI[[#This Row],[KPI Charges]]="KO",Tableau_Liste_KPI[[#This Row],[Charge commandée]]-Tableau_Liste_KPI[[#This Row],[Total]],"")</f>
        <v>#REF!</v>
      </c>
    </row>
    <row r="212" spans="1:36" ht="12" x14ac:dyDescent="0.2">
      <c r="A212" s="12" t="s">
        <v>16</v>
      </c>
      <c r="B212" s="12" t="s">
        <v>609</v>
      </c>
      <c r="C212" s="12" t="s">
        <v>174</v>
      </c>
      <c r="D212" s="12" t="s">
        <v>33</v>
      </c>
      <c r="E212" s="12" t="s">
        <v>538</v>
      </c>
      <c r="F212" s="12" t="s">
        <v>34</v>
      </c>
      <c r="G212" s="12" t="s">
        <v>686</v>
      </c>
      <c r="H212" s="6">
        <v>42923.695833333331</v>
      </c>
      <c r="I212" s="6">
        <v>42923.697337962964</v>
      </c>
      <c r="J212" s="6">
        <v>43082.647905092592</v>
      </c>
      <c r="K212" s="69" t="s">
        <v>225</v>
      </c>
      <c r="L212" s="13" t="s">
        <v>225</v>
      </c>
      <c r="M212" s="13">
        <v>3</v>
      </c>
      <c r="N212" s="13">
        <v>39</v>
      </c>
      <c r="O212" s="12">
        <v>67</v>
      </c>
      <c r="P212" s="13">
        <v>7</v>
      </c>
      <c r="Q212" s="13">
        <v>42</v>
      </c>
      <c r="R212" s="33">
        <v>16</v>
      </c>
      <c r="S212" s="33">
        <v>24</v>
      </c>
      <c r="T212" s="33" t="s">
        <v>225</v>
      </c>
      <c r="U212" s="33">
        <v>43008.462500000001</v>
      </c>
      <c r="V212" s="33">
        <v>43081.638888888891</v>
      </c>
      <c r="W212" s="33" t="s">
        <v>692</v>
      </c>
      <c r="X212" s="33" t="s">
        <v>225</v>
      </c>
      <c r="Y212" s="33">
        <v>43046</v>
      </c>
      <c r="Z212" s="33">
        <v>43056</v>
      </c>
      <c r="AA212" s="13">
        <v>6088</v>
      </c>
      <c r="AB212" s="13">
        <v>8.1</v>
      </c>
      <c r="AC212" s="13">
        <f>SUMIF(Tableau_Liste_UO[[Code UO]:[Code UO]],Tableau_Liste_KPI[[#This Row],[Code UO]], Tableau_Liste_UO[RAF])</f>
        <v>0.5</v>
      </c>
      <c r="AD212" s="13" t="e">
        <f>SUMIF(Tableau_Liste_UO[[Code UO]:[Code UO]],Tableau_Liste_KPI[[#This Row],[Code UO]], #REF!)</f>
        <v>#REF!</v>
      </c>
      <c r="AE212" s="34" t="s">
        <v>721</v>
      </c>
      <c r="AF212" s="34" t="s">
        <v>721</v>
      </c>
      <c r="AG212" s="34" t="s">
        <v>225</v>
      </c>
      <c r="AH212" s="34"/>
      <c r="AI212" s="35" t="e">
        <f>IF(Tableau_Liste_KPI[[#This Row],[Charge commandée]]="","",IF(Tableau_Liste_KPI[[#This Row],[Total]]&gt;Tableau_Liste_KPI[[#This Row],[Charge commandée]],"KO",""))</f>
        <v>#REF!</v>
      </c>
      <c r="AJ212" s="35" t="e">
        <f>IF(Tableau_Liste_KPI[[#This Row],[KPI Charges]]="KO",Tableau_Liste_KPI[[#This Row],[Charge commandée]]-Tableau_Liste_KPI[[#This Row],[Total]],"")</f>
        <v>#REF!</v>
      </c>
    </row>
    <row r="213" spans="1:36" ht="12" x14ac:dyDescent="0.2">
      <c r="A213" s="12" t="s">
        <v>73</v>
      </c>
      <c r="B213" s="12" t="s">
        <v>340</v>
      </c>
      <c r="C213" s="12" t="s">
        <v>173</v>
      </c>
      <c r="D213" s="12" t="s">
        <v>37</v>
      </c>
      <c r="E213" s="12" t="s">
        <v>63</v>
      </c>
      <c r="F213" s="12" t="s">
        <v>43</v>
      </c>
      <c r="G213" s="12" t="s">
        <v>700</v>
      </c>
      <c r="H213" s="6">
        <v>42923.677777777775</v>
      </c>
      <c r="I213" s="6">
        <v>42933.570057870369</v>
      </c>
      <c r="J213" s="6" t="s">
        <v>225</v>
      </c>
      <c r="K213" s="69" t="s">
        <v>225</v>
      </c>
      <c r="L213" s="13" t="s">
        <v>225</v>
      </c>
      <c r="M213" s="13">
        <v>0</v>
      </c>
      <c r="N213" s="13">
        <v>0</v>
      </c>
      <c r="O213" s="12">
        <v>0</v>
      </c>
      <c r="P213" s="13" t="s">
        <v>225</v>
      </c>
      <c r="Q213" s="13" t="s">
        <v>225</v>
      </c>
      <c r="R213" s="33">
        <v>2</v>
      </c>
      <c r="S213" s="33">
        <v>5</v>
      </c>
      <c r="T213" s="33">
        <v>42993.677777777775</v>
      </c>
      <c r="U213" s="33" t="s">
        <v>225</v>
      </c>
      <c r="V213" s="33" t="s">
        <v>225</v>
      </c>
      <c r="W213" s="33" t="s">
        <v>692</v>
      </c>
      <c r="X213" s="33" t="s">
        <v>225</v>
      </c>
      <c r="Y213" s="33">
        <v>42935</v>
      </c>
      <c r="Z213" s="33">
        <v>42940</v>
      </c>
      <c r="AA213" s="13">
        <v>825</v>
      </c>
      <c r="AB213" s="13">
        <v>1</v>
      </c>
      <c r="AC213" s="13">
        <f>SUMIF(Tableau_Liste_UO[[Code UO]:[Code UO]],Tableau_Liste_KPI[[#This Row],[Code UO]], Tableau_Liste_UO[RAF])</f>
        <v>0</v>
      </c>
      <c r="AD213" s="13" t="e">
        <f>SUMIF(Tableau_Liste_UO[[Code UO]:[Code UO]],Tableau_Liste_KPI[[#This Row],[Code UO]], #REF!)</f>
        <v>#REF!</v>
      </c>
      <c r="AE213" s="34" t="s">
        <v>225</v>
      </c>
      <c r="AF213" s="34" t="s">
        <v>225</v>
      </c>
      <c r="AG213" s="34" t="s">
        <v>225</v>
      </c>
      <c r="AH213" s="34"/>
      <c r="AI213" s="35" t="e">
        <f>IF(Tableau_Liste_KPI[[#This Row],[Charge commandée]]="","",IF(Tableau_Liste_KPI[[#This Row],[Total]]&gt;Tableau_Liste_KPI[[#This Row],[Charge commandée]],"KO",""))</f>
        <v>#REF!</v>
      </c>
      <c r="AJ213" s="35" t="e">
        <f>IF(Tableau_Liste_KPI[[#This Row],[KPI Charges]]="KO",Tableau_Liste_KPI[[#This Row],[Charge commandée]]-Tableau_Liste_KPI[[#This Row],[Total]],"")</f>
        <v>#REF!</v>
      </c>
    </row>
    <row r="214" spans="1:36" ht="12" x14ac:dyDescent="0.2">
      <c r="A214" s="12" t="s">
        <v>74</v>
      </c>
      <c r="B214" s="12" t="s">
        <v>339</v>
      </c>
      <c r="C214" s="12" t="s">
        <v>173</v>
      </c>
      <c r="D214" s="12" t="s">
        <v>37</v>
      </c>
      <c r="E214" s="12" t="s">
        <v>63</v>
      </c>
      <c r="F214" s="12" t="s">
        <v>43</v>
      </c>
      <c r="G214" s="12" t="s">
        <v>700</v>
      </c>
      <c r="H214" s="6">
        <v>42923.675694444442</v>
      </c>
      <c r="I214" s="6">
        <v>42933.567291666666</v>
      </c>
      <c r="J214" s="6" t="s">
        <v>225</v>
      </c>
      <c r="K214" s="69" t="s">
        <v>225</v>
      </c>
      <c r="L214" s="13" t="s">
        <v>225</v>
      </c>
      <c r="M214" s="13">
        <v>0</v>
      </c>
      <c r="N214" s="13">
        <v>0</v>
      </c>
      <c r="O214" s="12">
        <v>0</v>
      </c>
      <c r="P214" s="13" t="s">
        <v>225</v>
      </c>
      <c r="Q214" s="13" t="s">
        <v>225</v>
      </c>
      <c r="R214" s="33">
        <v>2</v>
      </c>
      <c r="S214" s="33">
        <v>5</v>
      </c>
      <c r="T214" s="33">
        <v>42985.675000000003</v>
      </c>
      <c r="U214" s="33" t="s">
        <v>225</v>
      </c>
      <c r="V214" s="33" t="s">
        <v>225</v>
      </c>
      <c r="W214" s="33" t="s">
        <v>692</v>
      </c>
      <c r="X214" s="33" t="s">
        <v>225</v>
      </c>
      <c r="Y214" s="33">
        <v>42935</v>
      </c>
      <c r="Z214" s="33">
        <v>42940</v>
      </c>
      <c r="AA214" s="13">
        <v>825</v>
      </c>
      <c r="AB214" s="13">
        <v>1</v>
      </c>
      <c r="AC214" s="13">
        <f>SUMIF(Tableau_Liste_UO[[Code UO]:[Code UO]],Tableau_Liste_KPI[[#This Row],[Code UO]], Tableau_Liste_UO[RAF])</f>
        <v>0</v>
      </c>
      <c r="AD214" s="13" t="e">
        <f>SUMIF(Tableau_Liste_UO[[Code UO]:[Code UO]],Tableau_Liste_KPI[[#This Row],[Code UO]], #REF!)</f>
        <v>#REF!</v>
      </c>
      <c r="AE214" s="34" t="s">
        <v>225</v>
      </c>
      <c r="AF214" s="34" t="s">
        <v>225</v>
      </c>
      <c r="AG214" s="34" t="s">
        <v>225</v>
      </c>
      <c r="AH214" s="34"/>
      <c r="AI214" s="35" t="e">
        <f>IF(Tableau_Liste_KPI[[#This Row],[Charge commandée]]="","",IF(Tableau_Liste_KPI[[#This Row],[Total]]&gt;Tableau_Liste_KPI[[#This Row],[Charge commandée]],"KO",""))</f>
        <v>#REF!</v>
      </c>
      <c r="AJ214" s="35" t="e">
        <f>IF(Tableau_Liste_KPI[[#This Row],[KPI Charges]]="KO",Tableau_Liste_KPI[[#This Row],[Charge commandée]]-Tableau_Liste_KPI[[#This Row],[Total]],"")</f>
        <v>#REF!</v>
      </c>
    </row>
    <row r="215" spans="1:36" ht="12" x14ac:dyDescent="0.2">
      <c r="A215" s="12" t="s">
        <v>337</v>
      </c>
      <c r="B215" s="12" t="s">
        <v>338</v>
      </c>
      <c r="C215" s="12" t="s">
        <v>309</v>
      </c>
      <c r="D215" s="12" t="s">
        <v>33</v>
      </c>
      <c r="E215" s="12" t="s">
        <v>44</v>
      </c>
      <c r="F215" s="12" t="s">
        <v>225</v>
      </c>
      <c r="G215" s="12" t="s">
        <v>689</v>
      </c>
      <c r="H215" s="6">
        <v>42922.446527777778</v>
      </c>
      <c r="I215" s="6" t="s">
        <v>225</v>
      </c>
      <c r="J215" s="6" t="s">
        <v>225</v>
      </c>
      <c r="K215" s="69" t="s">
        <v>225</v>
      </c>
      <c r="L215" s="13">
        <v>168.5534722222219</v>
      </c>
      <c r="M215" s="13">
        <v>0</v>
      </c>
      <c r="N215" s="13">
        <v>0</v>
      </c>
      <c r="O215" s="12">
        <v>0</v>
      </c>
      <c r="P215" s="13" t="s">
        <v>225</v>
      </c>
      <c r="Q215" s="13" t="s">
        <v>225</v>
      </c>
      <c r="R215" s="33">
        <v>10</v>
      </c>
      <c r="S215" s="33">
        <v>15</v>
      </c>
      <c r="T215" s="33" t="s">
        <v>225</v>
      </c>
      <c r="U215" s="33" t="s">
        <v>225</v>
      </c>
      <c r="V215" s="33" t="s">
        <v>225</v>
      </c>
      <c r="W215" s="33" t="s">
        <v>225</v>
      </c>
      <c r="X215" s="33" t="s">
        <v>225</v>
      </c>
      <c r="Y215" s="33" t="s">
        <v>225</v>
      </c>
      <c r="Z215" s="33" t="s">
        <v>225</v>
      </c>
      <c r="AA215" s="13">
        <v>912</v>
      </c>
      <c r="AB215" s="13">
        <v>1</v>
      </c>
      <c r="AC215" s="13">
        <f>SUMIF(Tableau_Liste_UO[[Code UO]:[Code UO]],Tableau_Liste_KPI[[#This Row],[Code UO]], Tableau_Liste_UO[RAF])</f>
        <v>0</v>
      </c>
      <c r="AD215" s="13" t="e">
        <f>SUMIF(Tableau_Liste_UO[[Code UO]:[Code UO]],Tableau_Liste_KPI[[#This Row],[Code UO]], #REF!)</f>
        <v>#REF!</v>
      </c>
      <c r="AE215" s="34" t="s">
        <v>225</v>
      </c>
      <c r="AF215" s="34" t="s">
        <v>225</v>
      </c>
      <c r="AG215" s="34" t="s">
        <v>225</v>
      </c>
      <c r="AH215" s="34"/>
      <c r="AI215" s="35" t="e">
        <f>IF(Tableau_Liste_KPI[[#This Row],[Charge commandée]]="","",IF(Tableau_Liste_KPI[[#This Row],[Total]]&gt;Tableau_Liste_KPI[[#This Row],[Charge commandée]],"KO",""))</f>
        <v>#REF!</v>
      </c>
      <c r="AJ215" s="35" t="e">
        <f>IF(Tableau_Liste_KPI[[#This Row],[KPI Charges]]="KO",Tableau_Liste_KPI[[#This Row],[Charge commandée]]-Tableau_Liste_KPI[[#This Row],[Total]],"")</f>
        <v>#REF!</v>
      </c>
    </row>
    <row r="216" spans="1:36" ht="12" x14ac:dyDescent="0.2">
      <c r="A216" s="12" t="s">
        <v>336</v>
      </c>
      <c r="B216" s="12" t="s">
        <v>610</v>
      </c>
      <c r="C216" s="12" t="s">
        <v>309</v>
      </c>
      <c r="D216" s="12" t="s">
        <v>33</v>
      </c>
      <c r="E216" s="12" t="s">
        <v>539</v>
      </c>
      <c r="F216" s="12" t="s">
        <v>34</v>
      </c>
      <c r="G216" s="12" t="s">
        <v>699</v>
      </c>
      <c r="H216" s="6">
        <v>42922.445833333331</v>
      </c>
      <c r="I216" s="6" t="s">
        <v>225</v>
      </c>
      <c r="J216" s="6" t="s">
        <v>225</v>
      </c>
      <c r="K216" s="69" t="s">
        <v>225</v>
      </c>
      <c r="L216" s="13">
        <v>168.55416666666861</v>
      </c>
      <c r="M216" s="13">
        <v>0</v>
      </c>
      <c r="N216" s="13">
        <v>0</v>
      </c>
      <c r="O216" s="12">
        <v>0</v>
      </c>
      <c r="P216" s="13" t="s">
        <v>225</v>
      </c>
      <c r="Q216" s="13" t="s">
        <v>225</v>
      </c>
      <c r="R216" s="33">
        <v>8</v>
      </c>
      <c r="S216" s="33">
        <v>11</v>
      </c>
      <c r="T216" s="33" t="s">
        <v>225</v>
      </c>
      <c r="U216" s="33" t="s">
        <v>225</v>
      </c>
      <c r="V216" s="33" t="s">
        <v>225</v>
      </c>
      <c r="W216" s="33" t="s">
        <v>225</v>
      </c>
      <c r="X216" s="33" t="s">
        <v>225</v>
      </c>
      <c r="Y216" s="33" t="s">
        <v>225</v>
      </c>
      <c r="Z216" s="33" t="s">
        <v>225</v>
      </c>
      <c r="AA216" s="13">
        <v>3044</v>
      </c>
      <c r="AB216" s="13">
        <v>4</v>
      </c>
      <c r="AC216" s="13">
        <f>SUMIF(Tableau_Liste_UO[[Code UO]:[Code UO]],Tableau_Liste_KPI[[#This Row],[Code UO]], Tableau_Liste_UO[RAF])</f>
        <v>0</v>
      </c>
      <c r="AD216" s="13" t="e">
        <f>SUMIF(Tableau_Liste_UO[[Code UO]:[Code UO]],Tableau_Liste_KPI[[#This Row],[Code UO]], #REF!)</f>
        <v>#REF!</v>
      </c>
      <c r="AE216" s="34" t="s">
        <v>225</v>
      </c>
      <c r="AF216" s="34" t="s">
        <v>225</v>
      </c>
      <c r="AG216" s="34" t="s">
        <v>225</v>
      </c>
      <c r="AH216" s="34"/>
      <c r="AI216" s="35" t="e">
        <f>IF(Tableau_Liste_KPI[[#This Row],[Charge commandée]]="","",IF(Tableau_Liste_KPI[[#This Row],[Total]]&gt;Tableau_Liste_KPI[[#This Row],[Charge commandée]],"KO",""))</f>
        <v>#REF!</v>
      </c>
      <c r="AJ216" s="35" t="e">
        <f>IF(Tableau_Liste_KPI[[#This Row],[KPI Charges]]="KO",Tableau_Liste_KPI[[#This Row],[Charge commandée]]-Tableau_Liste_KPI[[#This Row],[Total]],"")</f>
        <v>#REF!</v>
      </c>
    </row>
    <row r="217" spans="1:36" ht="12" x14ac:dyDescent="0.2">
      <c r="A217" s="12" t="s">
        <v>14</v>
      </c>
      <c r="B217" s="12" t="s">
        <v>611</v>
      </c>
      <c r="C217" s="12" t="s">
        <v>259</v>
      </c>
      <c r="D217" s="12" t="s">
        <v>33</v>
      </c>
      <c r="E217" s="12" t="s">
        <v>538</v>
      </c>
      <c r="F217" s="12" t="s">
        <v>34</v>
      </c>
      <c r="G217" s="12" t="s">
        <v>686</v>
      </c>
      <c r="H217" s="6">
        <v>42922.445138888892</v>
      </c>
      <c r="I217" s="6">
        <v>42922.447638888887</v>
      </c>
      <c r="J217" s="6">
        <v>43045.428946759261</v>
      </c>
      <c r="K217" s="69">
        <v>43048.716307870367</v>
      </c>
      <c r="L217" s="13" t="s">
        <v>225</v>
      </c>
      <c r="M217" s="13">
        <v>0</v>
      </c>
      <c r="N217" s="13">
        <v>26</v>
      </c>
      <c r="O217" s="12">
        <v>56</v>
      </c>
      <c r="P217" s="13">
        <v>3</v>
      </c>
      <c r="Q217" s="13">
        <v>26</v>
      </c>
      <c r="R217" s="33">
        <v>16</v>
      </c>
      <c r="S217" s="33">
        <v>24</v>
      </c>
      <c r="T217" s="33" t="s">
        <v>225</v>
      </c>
      <c r="U217" s="33">
        <v>42935.677083333336</v>
      </c>
      <c r="V217" s="33">
        <v>43039.648611111108</v>
      </c>
      <c r="W217" s="33" t="s">
        <v>692</v>
      </c>
      <c r="X217" s="33" t="s">
        <v>694</v>
      </c>
      <c r="Y217" s="33">
        <v>43027</v>
      </c>
      <c r="Z217" s="33">
        <v>43039</v>
      </c>
      <c r="AA217" s="13">
        <v>6088</v>
      </c>
      <c r="AB217" s="13">
        <v>8.1</v>
      </c>
      <c r="AC217" s="13">
        <f>SUMIF(Tableau_Liste_UO[[Code UO]:[Code UO]],Tableau_Liste_KPI[[#This Row],[Code UO]], Tableau_Liste_UO[RAF])</f>
        <v>0</v>
      </c>
      <c r="AD217" s="13" t="e">
        <f>SUMIF(Tableau_Liste_UO[[Code UO]:[Code UO]],Tableau_Liste_KPI[[#This Row],[Code UO]], #REF!)</f>
        <v>#REF!</v>
      </c>
      <c r="AE217" s="34" t="s">
        <v>721</v>
      </c>
      <c r="AF217" s="34" t="s">
        <v>721</v>
      </c>
      <c r="AG217" s="34" t="s">
        <v>225</v>
      </c>
      <c r="AH217" s="34"/>
      <c r="AI217" s="35" t="e">
        <f>IF(Tableau_Liste_KPI[[#This Row],[Charge commandée]]="","",IF(Tableau_Liste_KPI[[#This Row],[Total]]&gt;Tableau_Liste_KPI[[#This Row],[Charge commandée]],"KO",""))</f>
        <v>#REF!</v>
      </c>
      <c r="AJ217" s="35" t="e">
        <f>IF(Tableau_Liste_KPI[[#This Row],[KPI Charges]]="KO",Tableau_Liste_KPI[[#This Row],[Charge commandée]]-Tableau_Liste_KPI[[#This Row],[Total]],"")</f>
        <v>#REF!</v>
      </c>
    </row>
    <row r="218" spans="1:36" ht="12" x14ac:dyDescent="0.2">
      <c r="A218" s="12" t="s">
        <v>216</v>
      </c>
      <c r="B218" s="12" t="s">
        <v>335</v>
      </c>
      <c r="C218" s="12" t="s">
        <v>259</v>
      </c>
      <c r="D218" s="12" t="s">
        <v>33</v>
      </c>
      <c r="E218" s="12" t="s">
        <v>44</v>
      </c>
      <c r="F218" s="12" t="s">
        <v>43</v>
      </c>
      <c r="G218" s="12" t="s">
        <v>689</v>
      </c>
      <c r="H218" s="6">
        <v>42921.792361111111</v>
      </c>
      <c r="I218" s="6">
        <v>42985.625787037039</v>
      </c>
      <c r="J218" s="6">
        <v>43062.352488425924</v>
      </c>
      <c r="K218" s="69">
        <v>43069.438888888886</v>
      </c>
      <c r="L218" s="13" t="s">
        <v>225</v>
      </c>
      <c r="M218" s="13">
        <v>0</v>
      </c>
      <c r="N218" s="13">
        <v>2</v>
      </c>
      <c r="O218" s="12">
        <v>51</v>
      </c>
      <c r="P218" s="13">
        <v>5</v>
      </c>
      <c r="Q218" s="13">
        <v>2</v>
      </c>
      <c r="R218" s="33">
        <v>10</v>
      </c>
      <c r="S218" s="33">
        <v>15</v>
      </c>
      <c r="T218" s="33" t="s">
        <v>225</v>
      </c>
      <c r="U218" s="33">
        <v>42991.640972222223</v>
      </c>
      <c r="V218" s="33">
        <v>43069.63958333333</v>
      </c>
      <c r="W218" s="33" t="s">
        <v>690</v>
      </c>
      <c r="X218" s="33" t="s">
        <v>694</v>
      </c>
      <c r="Y218" s="33">
        <v>43073</v>
      </c>
      <c r="Z218" s="33">
        <v>43080</v>
      </c>
      <c r="AA218" s="13">
        <v>912</v>
      </c>
      <c r="AB218" s="13">
        <v>1</v>
      </c>
      <c r="AC218" s="13">
        <f>SUMIF(Tableau_Liste_UO[[Code UO]:[Code UO]],Tableau_Liste_KPI[[#This Row],[Code UO]], Tableau_Liste_UO[RAF])</f>
        <v>0</v>
      </c>
      <c r="AD218" s="13" t="e">
        <f>SUMIF(Tableau_Liste_UO[[Code UO]:[Code UO]],Tableau_Liste_KPI[[#This Row],[Code UO]], #REF!)</f>
        <v>#REF!</v>
      </c>
      <c r="AE218" s="34" t="s">
        <v>225</v>
      </c>
      <c r="AF218" s="34" t="s">
        <v>225</v>
      </c>
      <c r="AG218" s="34" t="s">
        <v>225</v>
      </c>
      <c r="AH218" s="34"/>
      <c r="AI218" s="35" t="e">
        <f>IF(Tableau_Liste_KPI[[#This Row],[Charge commandée]]="","",IF(Tableau_Liste_KPI[[#This Row],[Total]]&gt;Tableau_Liste_KPI[[#This Row],[Charge commandée]],"KO",""))</f>
        <v>#REF!</v>
      </c>
      <c r="AJ218" s="35" t="e">
        <f>IF(Tableau_Liste_KPI[[#This Row],[KPI Charges]]="KO",Tableau_Liste_KPI[[#This Row],[Charge commandée]]-Tableau_Liste_KPI[[#This Row],[Total]],"")</f>
        <v>#REF!</v>
      </c>
    </row>
    <row r="219" spans="1:36" ht="12" x14ac:dyDescent="0.2">
      <c r="A219" s="12" t="s">
        <v>75</v>
      </c>
      <c r="B219" s="12" t="s">
        <v>612</v>
      </c>
      <c r="C219" s="12" t="s">
        <v>259</v>
      </c>
      <c r="D219" s="12" t="s">
        <v>33</v>
      </c>
      <c r="E219" s="12" t="s">
        <v>539</v>
      </c>
      <c r="F219" s="12" t="s">
        <v>43</v>
      </c>
      <c r="G219" s="12" t="s">
        <v>698</v>
      </c>
      <c r="H219" s="6">
        <v>42921.791666666664</v>
      </c>
      <c r="I219" s="6">
        <v>42969.677499999998</v>
      </c>
      <c r="J219" s="6">
        <v>42989.538784722223</v>
      </c>
      <c r="K219" s="69">
        <v>42997.684687499997</v>
      </c>
      <c r="L219" s="13" t="s">
        <v>225</v>
      </c>
      <c r="M219" s="13">
        <v>3</v>
      </c>
      <c r="N219" s="13">
        <v>5</v>
      </c>
      <c r="O219" s="12">
        <v>6</v>
      </c>
      <c r="P219" s="13">
        <v>6</v>
      </c>
      <c r="Q219" s="13">
        <v>8</v>
      </c>
      <c r="R219" s="33">
        <v>5</v>
      </c>
      <c r="S219" s="33">
        <v>8</v>
      </c>
      <c r="T219" s="33" t="s">
        <v>225</v>
      </c>
      <c r="U219" s="33">
        <v>42977.424305555556</v>
      </c>
      <c r="V219" s="33" t="s">
        <v>225</v>
      </c>
      <c r="W219" s="33" t="s">
        <v>697</v>
      </c>
      <c r="X219" s="33" t="s">
        <v>690</v>
      </c>
      <c r="Y219" s="33">
        <v>42984</v>
      </c>
      <c r="Z219" s="33">
        <v>42989</v>
      </c>
      <c r="AA219" s="13">
        <v>1522</v>
      </c>
      <c r="AB219" s="13">
        <v>2</v>
      </c>
      <c r="AC219" s="13">
        <f>SUMIF(Tableau_Liste_UO[[Code UO]:[Code UO]],Tableau_Liste_KPI[[#This Row],[Code UO]], Tableau_Liste_UO[RAF])</f>
        <v>0</v>
      </c>
      <c r="AD219" s="13" t="e">
        <f>SUMIF(Tableau_Liste_UO[[Code UO]:[Code UO]],Tableau_Liste_KPI[[#This Row],[Code UO]], #REF!)</f>
        <v>#REF!</v>
      </c>
      <c r="AE219" s="34" t="s">
        <v>721</v>
      </c>
      <c r="AF219" s="34" t="s">
        <v>225</v>
      </c>
      <c r="AG219" s="34" t="s">
        <v>225</v>
      </c>
      <c r="AH219" s="34"/>
      <c r="AI219" s="35" t="e">
        <f>IF(Tableau_Liste_KPI[[#This Row],[Charge commandée]]="","",IF(Tableau_Liste_KPI[[#This Row],[Total]]&gt;Tableau_Liste_KPI[[#This Row],[Charge commandée]],"KO",""))</f>
        <v>#REF!</v>
      </c>
      <c r="AJ219" s="35" t="e">
        <f>IF(Tableau_Liste_KPI[[#This Row],[KPI Charges]]="KO",Tableau_Liste_KPI[[#This Row],[Charge commandée]]-Tableau_Liste_KPI[[#This Row],[Total]],"")</f>
        <v>#REF!</v>
      </c>
    </row>
    <row r="220" spans="1:36" ht="12" x14ac:dyDescent="0.2">
      <c r="A220" s="12" t="s">
        <v>13</v>
      </c>
      <c r="B220" s="12" t="s">
        <v>613</v>
      </c>
      <c r="C220" s="12" t="s">
        <v>259</v>
      </c>
      <c r="D220" s="12" t="s">
        <v>33</v>
      </c>
      <c r="E220" s="12" t="s">
        <v>538</v>
      </c>
      <c r="F220" s="12" t="s">
        <v>43</v>
      </c>
      <c r="G220" s="12" t="s">
        <v>696</v>
      </c>
      <c r="H220" s="6">
        <v>42921.789583333331</v>
      </c>
      <c r="I220" s="6">
        <v>42921.79115740741</v>
      </c>
      <c r="J220" s="6">
        <v>42969.677037037036</v>
      </c>
      <c r="K220" s="69">
        <v>42969.677141203705</v>
      </c>
      <c r="L220" s="13" t="s">
        <v>225</v>
      </c>
      <c r="M220" s="13">
        <v>3</v>
      </c>
      <c r="N220" s="13">
        <v>10</v>
      </c>
      <c r="O220" s="12">
        <v>19</v>
      </c>
      <c r="P220" s="13">
        <v>-1</v>
      </c>
      <c r="Q220" s="13">
        <v>13</v>
      </c>
      <c r="R220" s="33">
        <v>10</v>
      </c>
      <c r="S220" s="33">
        <v>15</v>
      </c>
      <c r="T220" s="33" t="s">
        <v>225</v>
      </c>
      <c r="U220" s="33">
        <v>42936.72152777778</v>
      </c>
      <c r="V220" s="33" t="s">
        <v>225</v>
      </c>
      <c r="W220" s="33" t="s">
        <v>692</v>
      </c>
      <c r="X220" s="33" t="s">
        <v>697</v>
      </c>
      <c r="Y220" s="33">
        <v>42965</v>
      </c>
      <c r="Z220" s="33">
        <v>42972</v>
      </c>
      <c r="AA220" s="13">
        <v>3424</v>
      </c>
      <c r="AB220" s="13">
        <v>5</v>
      </c>
      <c r="AC220" s="13">
        <f>SUMIF(Tableau_Liste_UO[[Code UO]:[Code UO]],Tableau_Liste_KPI[[#This Row],[Code UO]], Tableau_Liste_UO[RAF])</f>
        <v>0</v>
      </c>
      <c r="AD220" s="13" t="e">
        <f>SUMIF(Tableau_Liste_UO[[Code UO]:[Code UO]],Tableau_Liste_KPI[[#This Row],[Code UO]], #REF!)</f>
        <v>#REF!</v>
      </c>
      <c r="AE220" s="34" t="s">
        <v>721</v>
      </c>
      <c r="AF220" s="34" t="s">
        <v>225</v>
      </c>
      <c r="AG220" s="34" t="s">
        <v>225</v>
      </c>
      <c r="AH220" s="34"/>
      <c r="AI220" s="35" t="e">
        <f>IF(Tableau_Liste_KPI[[#This Row],[Charge commandée]]="","",IF(Tableau_Liste_KPI[[#This Row],[Total]]&gt;Tableau_Liste_KPI[[#This Row],[Charge commandée]],"KO",""))</f>
        <v>#REF!</v>
      </c>
      <c r="AJ220" s="35" t="e">
        <f>IF(Tableau_Liste_KPI[[#This Row],[KPI Charges]]="KO",Tableau_Liste_KPI[[#This Row],[Charge commandée]]-Tableau_Liste_KPI[[#This Row],[Total]],"")</f>
        <v>#REF!</v>
      </c>
    </row>
    <row r="221" spans="1:36" ht="12" x14ac:dyDescent="0.2">
      <c r="A221" s="12" t="s">
        <v>12</v>
      </c>
      <c r="B221" s="12" t="s">
        <v>334</v>
      </c>
      <c r="C221" s="12" t="s">
        <v>656</v>
      </c>
      <c r="D221" s="12" t="s">
        <v>37</v>
      </c>
      <c r="E221" s="12" t="s">
        <v>540</v>
      </c>
      <c r="F221" s="12" t="s">
        <v>192</v>
      </c>
      <c r="G221" s="12" t="s">
        <v>695</v>
      </c>
      <c r="H221" s="6">
        <v>42921.783333333333</v>
      </c>
      <c r="I221" s="6">
        <v>42921.78502314815</v>
      </c>
      <c r="J221" s="6" t="s">
        <v>225</v>
      </c>
      <c r="K221" s="69" t="s">
        <v>225</v>
      </c>
      <c r="L221" s="13" t="s">
        <v>225</v>
      </c>
      <c r="M221" s="13">
        <v>13</v>
      </c>
      <c r="N221" s="13">
        <v>74</v>
      </c>
      <c r="O221" s="12">
        <v>30</v>
      </c>
      <c r="P221" s="13" t="s">
        <v>225</v>
      </c>
      <c r="Q221" s="13">
        <v>87</v>
      </c>
      <c r="R221" s="33">
        <v>15</v>
      </c>
      <c r="S221" s="33">
        <v>25</v>
      </c>
      <c r="T221" s="33">
        <v>42944.773611111108</v>
      </c>
      <c r="U221" s="33">
        <v>42978.731249999997</v>
      </c>
      <c r="V221" s="33">
        <v>43131.661805555559</v>
      </c>
      <c r="W221" s="33" t="s">
        <v>692</v>
      </c>
      <c r="X221" s="33" t="s">
        <v>225</v>
      </c>
      <c r="Y221" s="33">
        <v>42989</v>
      </c>
      <c r="Z221" s="33">
        <v>43003</v>
      </c>
      <c r="AA221" s="13">
        <v>7874</v>
      </c>
      <c r="AB221" s="13">
        <v>9.6</v>
      </c>
      <c r="AC221" s="13">
        <f>SUMIF(Tableau_Liste_UO[[Code UO]:[Code UO]],Tableau_Liste_KPI[[#This Row],[Code UO]], Tableau_Liste_UO[RAF])</f>
        <v>0</v>
      </c>
      <c r="AD221" s="13" t="e">
        <f>SUMIF(Tableau_Liste_UO[[Code UO]:[Code UO]],Tableau_Liste_KPI[[#This Row],[Code UO]], #REF!)</f>
        <v>#REF!</v>
      </c>
      <c r="AE221" s="34" t="s">
        <v>721</v>
      </c>
      <c r="AF221" s="34" t="s">
        <v>721</v>
      </c>
      <c r="AG221" s="34" t="s">
        <v>225</v>
      </c>
      <c r="AH221" s="34"/>
      <c r="AI221" s="35" t="e">
        <f>IF(Tableau_Liste_KPI[[#This Row],[Charge commandée]]="","",IF(Tableau_Liste_KPI[[#This Row],[Total]]&gt;Tableau_Liste_KPI[[#This Row],[Charge commandée]],"KO",""))</f>
        <v>#REF!</v>
      </c>
      <c r="AJ221" s="35" t="e">
        <f>IF(Tableau_Liste_KPI[[#This Row],[KPI Charges]]="KO",Tableau_Liste_KPI[[#This Row],[Charge commandée]]-Tableau_Liste_KPI[[#This Row],[Total]],"")</f>
        <v>#REF!</v>
      </c>
    </row>
    <row r="222" spans="1:36" ht="12" x14ac:dyDescent="0.2">
      <c r="A222" s="12" t="s">
        <v>9</v>
      </c>
      <c r="B222" s="12" t="s">
        <v>333</v>
      </c>
      <c r="C222" s="12" t="s">
        <v>656</v>
      </c>
      <c r="D222" s="12" t="s">
        <v>37</v>
      </c>
      <c r="E222" s="12" t="s">
        <v>540</v>
      </c>
      <c r="F222" s="12" t="s">
        <v>192</v>
      </c>
      <c r="G222" s="12" t="s">
        <v>695</v>
      </c>
      <c r="H222" s="6">
        <v>42921.773611111108</v>
      </c>
      <c r="I222" s="6">
        <v>42921.777650462966</v>
      </c>
      <c r="J222" s="6" t="s">
        <v>225</v>
      </c>
      <c r="K222" s="69" t="s">
        <v>225</v>
      </c>
      <c r="L222" s="13" t="s">
        <v>225</v>
      </c>
      <c r="M222" s="13">
        <v>13</v>
      </c>
      <c r="N222" s="13">
        <v>74</v>
      </c>
      <c r="O222" s="12">
        <v>30</v>
      </c>
      <c r="P222" s="13" t="s">
        <v>225</v>
      </c>
      <c r="Q222" s="13">
        <v>87</v>
      </c>
      <c r="R222" s="33">
        <v>15</v>
      </c>
      <c r="S222" s="33">
        <v>25</v>
      </c>
      <c r="T222" s="33">
        <v>42944.773611111108</v>
      </c>
      <c r="U222" s="33">
        <v>42978.730555555558</v>
      </c>
      <c r="V222" s="33">
        <v>43131.663194444445</v>
      </c>
      <c r="W222" s="33" t="s">
        <v>692</v>
      </c>
      <c r="X222" s="33" t="s">
        <v>225</v>
      </c>
      <c r="Y222" s="33">
        <v>42989</v>
      </c>
      <c r="Z222" s="33">
        <v>43003</v>
      </c>
      <c r="AA222" s="13">
        <v>7874</v>
      </c>
      <c r="AB222" s="13">
        <v>9.6</v>
      </c>
      <c r="AC222" s="13">
        <f>SUMIF(Tableau_Liste_UO[[Code UO]:[Code UO]],Tableau_Liste_KPI[[#This Row],[Code UO]], Tableau_Liste_UO[RAF])</f>
        <v>0</v>
      </c>
      <c r="AD222" s="13" t="e">
        <f>SUMIF(Tableau_Liste_UO[[Code UO]:[Code UO]],Tableau_Liste_KPI[[#This Row],[Code UO]], #REF!)</f>
        <v>#REF!</v>
      </c>
      <c r="AE222" s="34" t="s">
        <v>721</v>
      </c>
      <c r="AF222" s="34" t="s">
        <v>721</v>
      </c>
      <c r="AG222" s="34" t="s">
        <v>225</v>
      </c>
      <c r="AH222" s="34"/>
      <c r="AI222" s="35" t="e">
        <f>IF(Tableau_Liste_KPI[[#This Row],[Charge commandée]]="","",IF(Tableau_Liste_KPI[[#This Row],[Total]]&gt;Tableau_Liste_KPI[[#This Row],[Charge commandée]],"KO",""))</f>
        <v>#REF!</v>
      </c>
      <c r="AJ222" s="35" t="e">
        <f>IF(Tableau_Liste_KPI[[#This Row],[KPI Charges]]="KO",Tableau_Liste_KPI[[#This Row],[Charge commandée]]-Tableau_Liste_KPI[[#This Row],[Total]],"")</f>
        <v>#REF!</v>
      </c>
    </row>
    <row r="223" spans="1:36" ht="12" x14ac:dyDescent="0.2">
      <c r="A223" s="12" t="s">
        <v>8</v>
      </c>
      <c r="B223" s="12" t="s">
        <v>332</v>
      </c>
      <c r="C223" s="12" t="s">
        <v>259</v>
      </c>
      <c r="D223" s="12" t="s">
        <v>37</v>
      </c>
      <c r="E223" s="12" t="s">
        <v>540</v>
      </c>
      <c r="F223" s="12" t="s">
        <v>43</v>
      </c>
      <c r="G223" s="12" t="s">
        <v>693</v>
      </c>
      <c r="H223" s="6">
        <v>42921.76666666667</v>
      </c>
      <c r="I223" s="6">
        <v>42921.767777777779</v>
      </c>
      <c r="J223" s="6">
        <v>43014.68136574074</v>
      </c>
      <c r="K223" s="69">
        <v>43060.578680555554</v>
      </c>
      <c r="L223" s="13" t="s">
        <v>225</v>
      </c>
      <c r="M223" s="13">
        <v>8</v>
      </c>
      <c r="N223" s="13">
        <v>31</v>
      </c>
      <c r="O223" s="12">
        <v>18</v>
      </c>
      <c r="P223" s="13">
        <v>39</v>
      </c>
      <c r="Q223" s="13">
        <v>39</v>
      </c>
      <c r="R223" s="33">
        <v>7</v>
      </c>
      <c r="S223" s="33">
        <v>10</v>
      </c>
      <c r="T223" s="33">
        <v>42944.765277777777</v>
      </c>
      <c r="U223" s="33">
        <v>42944.588888888888</v>
      </c>
      <c r="V223" s="33">
        <v>43017.645138888889</v>
      </c>
      <c r="W223" s="33" t="s">
        <v>692</v>
      </c>
      <c r="X223" s="33" t="s">
        <v>694</v>
      </c>
      <c r="Y223" s="33">
        <v>42958</v>
      </c>
      <c r="Z223" s="33">
        <v>42964</v>
      </c>
      <c r="AA223" s="13">
        <v>4127</v>
      </c>
      <c r="AB223" s="13">
        <v>5.0999999999999996</v>
      </c>
      <c r="AC223" s="13">
        <f>SUMIF(Tableau_Liste_UO[[Code UO]:[Code UO]],Tableau_Liste_KPI[[#This Row],[Code UO]], Tableau_Liste_UO[RAF])</f>
        <v>0</v>
      </c>
      <c r="AD223" s="13" t="e">
        <f>SUMIF(Tableau_Liste_UO[[Code UO]:[Code UO]],Tableau_Liste_KPI[[#This Row],[Code UO]], #REF!)</f>
        <v>#REF!</v>
      </c>
      <c r="AE223" s="34" t="s">
        <v>721</v>
      </c>
      <c r="AF223" s="34" t="s">
        <v>721</v>
      </c>
      <c r="AG223" s="34" t="s">
        <v>225</v>
      </c>
      <c r="AH223" s="34"/>
      <c r="AI223" s="35" t="e">
        <f>IF(Tableau_Liste_KPI[[#This Row],[Charge commandée]]="","",IF(Tableau_Liste_KPI[[#This Row],[Total]]&gt;Tableau_Liste_KPI[[#This Row],[Charge commandée]],"KO",""))</f>
        <v>#REF!</v>
      </c>
      <c r="AJ223" s="35" t="e">
        <f>IF(Tableau_Liste_KPI[[#This Row],[KPI Charges]]="KO",Tableau_Liste_KPI[[#This Row],[Charge commandée]]-Tableau_Liste_KPI[[#This Row],[Total]],"")</f>
        <v>#REF!</v>
      </c>
    </row>
    <row r="224" spans="1:36" ht="12" x14ac:dyDescent="0.2">
      <c r="A224" s="12" t="s">
        <v>7</v>
      </c>
      <c r="B224" s="12" t="s">
        <v>331</v>
      </c>
      <c r="C224" s="12" t="s">
        <v>259</v>
      </c>
      <c r="D224" s="12" t="s">
        <v>37</v>
      </c>
      <c r="E224" s="12" t="s">
        <v>540</v>
      </c>
      <c r="F224" s="12" t="s">
        <v>43</v>
      </c>
      <c r="G224" s="12" t="s">
        <v>693</v>
      </c>
      <c r="H224" s="6">
        <v>42921.765972222223</v>
      </c>
      <c r="I224" s="6">
        <v>42921.766435185185</v>
      </c>
      <c r="J224" s="6">
        <v>43014.680324074077</v>
      </c>
      <c r="K224" s="69">
        <v>43069.377847222226</v>
      </c>
      <c r="L224" s="13" t="s">
        <v>225</v>
      </c>
      <c r="M224" s="13">
        <v>4</v>
      </c>
      <c r="N224" s="13">
        <v>34</v>
      </c>
      <c r="O224" s="12">
        <v>17</v>
      </c>
      <c r="P224" s="13">
        <v>47</v>
      </c>
      <c r="Q224" s="13">
        <v>38</v>
      </c>
      <c r="R224" s="33">
        <v>7</v>
      </c>
      <c r="S224" s="33">
        <v>10</v>
      </c>
      <c r="T224" s="33">
        <v>42944.765277777777</v>
      </c>
      <c r="U224" s="33">
        <v>42947.775694444441</v>
      </c>
      <c r="V224" s="33">
        <v>43017.644444444442</v>
      </c>
      <c r="W224" s="33" t="s">
        <v>692</v>
      </c>
      <c r="X224" s="33" t="s">
        <v>694</v>
      </c>
      <c r="Y224" s="33">
        <v>42957</v>
      </c>
      <c r="Z224" s="33">
        <v>42963</v>
      </c>
      <c r="AA224" s="13">
        <v>4127</v>
      </c>
      <c r="AB224" s="13">
        <v>5.0999999999999996</v>
      </c>
      <c r="AC224" s="13">
        <f>SUMIF(Tableau_Liste_UO[[Code UO]:[Code UO]],Tableau_Liste_KPI[[#This Row],[Code UO]], Tableau_Liste_UO[RAF])</f>
        <v>0</v>
      </c>
      <c r="AD224" s="13" t="e">
        <f>SUMIF(Tableau_Liste_UO[[Code UO]:[Code UO]],Tableau_Liste_KPI[[#This Row],[Code UO]], #REF!)</f>
        <v>#REF!</v>
      </c>
      <c r="AE224" s="34" t="s">
        <v>721</v>
      </c>
      <c r="AF224" s="34" t="s">
        <v>721</v>
      </c>
      <c r="AG224" s="34" t="s">
        <v>225</v>
      </c>
      <c r="AH224" s="34"/>
      <c r="AI224" s="35" t="e">
        <f>IF(Tableau_Liste_KPI[[#This Row],[Charge commandée]]="","",IF(Tableau_Liste_KPI[[#This Row],[Total]]&gt;Tableau_Liste_KPI[[#This Row],[Charge commandée]],"KO",""))</f>
        <v>#REF!</v>
      </c>
      <c r="AJ224" s="35" t="e">
        <f>IF(Tableau_Liste_KPI[[#This Row],[KPI Charges]]="KO",Tableau_Liste_KPI[[#This Row],[Charge commandée]]-Tableau_Liste_KPI[[#This Row],[Total]],"")</f>
        <v>#REF!</v>
      </c>
    </row>
    <row r="225" spans="1:36" ht="12" x14ac:dyDescent="0.2">
      <c r="A225" s="12" t="s">
        <v>10</v>
      </c>
      <c r="B225" s="12" t="s">
        <v>330</v>
      </c>
      <c r="C225" s="12" t="s">
        <v>259</v>
      </c>
      <c r="D225" s="12" t="s">
        <v>37</v>
      </c>
      <c r="E225" s="12" t="s">
        <v>540</v>
      </c>
      <c r="F225" s="12" t="s">
        <v>43</v>
      </c>
      <c r="G225" s="12" t="s">
        <v>693</v>
      </c>
      <c r="H225" s="6">
        <v>42921.763194444444</v>
      </c>
      <c r="I225" s="6">
        <v>42921.763738425929</v>
      </c>
      <c r="J225" s="6">
        <v>43056.80605324074</v>
      </c>
      <c r="K225" s="69">
        <v>43069.378287037034</v>
      </c>
      <c r="L225" s="13" t="s">
        <v>225</v>
      </c>
      <c r="M225" s="13">
        <v>17</v>
      </c>
      <c r="N225" s="13">
        <v>36</v>
      </c>
      <c r="O225" s="12">
        <v>41</v>
      </c>
      <c r="P225" s="13">
        <v>9</v>
      </c>
      <c r="Q225" s="13">
        <v>53</v>
      </c>
      <c r="R225" s="33">
        <v>7</v>
      </c>
      <c r="S225" s="33">
        <v>10</v>
      </c>
      <c r="T225" s="33">
        <v>42978.763194444444</v>
      </c>
      <c r="U225" s="33">
        <v>42978.754861111112</v>
      </c>
      <c r="V225" s="33">
        <v>43046.71597222222</v>
      </c>
      <c r="W225" s="33" t="s">
        <v>692</v>
      </c>
      <c r="X225" s="33" t="s">
        <v>694</v>
      </c>
      <c r="Y225" s="33">
        <v>42992</v>
      </c>
      <c r="Z225" s="33">
        <v>42997</v>
      </c>
      <c r="AA225" s="13">
        <v>4127</v>
      </c>
      <c r="AB225" s="13">
        <v>5.0999999999999996</v>
      </c>
      <c r="AC225" s="13">
        <f>SUMIF(Tableau_Liste_UO[[Code UO]:[Code UO]],Tableau_Liste_KPI[[#This Row],[Code UO]], Tableau_Liste_UO[RAF])</f>
        <v>0</v>
      </c>
      <c r="AD225" s="13" t="e">
        <f>SUMIF(Tableau_Liste_UO[[Code UO]:[Code UO]],Tableau_Liste_KPI[[#This Row],[Code UO]], #REF!)</f>
        <v>#REF!</v>
      </c>
      <c r="AE225" s="34" t="s">
        <v>721</v>
      </c>
      <c r="AF225" s="34" t="s">
        <v>721</v>
      </c>
      <c r="AG225" s="34" t="s">
        <v>225</v>
      </c>
      <c r="AH225" s="34"/>
      <c r="AI225" s="35" t="e">
        <f>IF(Tableau_Liste_KPI[[#This Row],[Charge commandée]]="","",IF(Tableau_Liste_KPI[[#This Row],[Total]]&gt;Tableau_Liste_KPI[[#This Row],[Charge commandée]],"KO",""))</f>
        <v>#REF!</v>
      </c>
      <c r="AJ225" s="35" t="e">
        <f>IF(Tableau_Liste_KPI[[#This Row],[KPI Charges]]="KO",Tableau_Liste_KPI[[#This Row],[Charge commandée]]-Tableau_Liste_KPI[[#This Row],[Total]],"")</f>
        <v>#REF!</v>
      </c>
    </row>
    <row r="226" spans="1:36" ht="12" x14ac:dyDescent="0.2">
      <c r="A226" s="12" t="s">
        <v>11</v>
      </c>
      <c r="B226" s="12" t="s">
        <v>329</v>
      </c>
      <c r="C226" s="12" t="s">
        <v>259</v>
      </c>
      <c r="D226" s="12" t="s">
        <v>37</v>
      </c>
      <c r="E226" s="12" t="s">
        <v>540</v>
      </c>
      <c r="F226" s="12" t="s">
        <v>43</v>
      </c>
      <c r="G226" s="12" t="s">
        <v>693</v>
      </c>
      <c r="H226" s="6">
        <v>42921.761111111111</v>
      </c>
      <c r="I226" s="6">
        <v>42921.761921296296</v>
      </c>
      <c r="J226" s="6">
        <v>43056.804606481484</v>
      </c>
      <c r="K226" s="69">
        <v>43069.378541666665</v>
      </c>
      <c r="L226" s="13" t="s">
        <v>225</v>
      </c>
      <c r="M226" s="13">
        <v>17</v>
      </c>
      <c r="N226" s="13">
        <v>36</v>
      </c>
      <c r="O226" s="12">
        <v>41</v>
      </c>
      <c r="P226" s="13">
        <v>9</v>
      </c>
      <c r="Q226" s="13">
        <v>53</v>
      </c>
      <c r="R226" s="33">
        <v>7</v>
      </c>
      <c r="S226" s="33">
        <v>10</v>
      </c>
      <c r="T226" s="33">
        <v>42978.761111111111</v>
      </c>
      <c r="U226" s="33">
        <v>42978.756249999999</v>
      </c>
      <c r="V226" s="33">
        <v>43046.716666666667</v>
      </c>
      <c r="W226" s="33" t="s">
        <v>692</v>
      </c>
      <c r="X226" s="33" t="s">
        <v>694</v>
      </c>
      <c r="Y226" s="33">
        <v>42992</v>
      </c>
      <c r="Z226" s="33">
        <v>42997</v>
      </c>
      <c r="AA226" s="13">
        <v>4127</v>
      </c>
      <c r="AB226" s="13">
        <v>5.0999999999999996</v>
      </c>
      <c r="AC226" s="13">
        <f>SUMIF(Tableau_Liste_UO[[Code UO]:[Code UO]],Tableau_Liste_KPI[[#This Row],[Code UO]], Tableau_Liste_UO[RAF])</f>
        <v>0</v>
      </c>
      <c r="AD226" s="13" t="e">
        <f>SUMIF(Tableau_Liste_UO[[Code UO]:[Code UO]],Tableau_Liste_KPI[[#This Row],[Code UO]], #REF!)</f>
        <v>#REF!</v>
      </c>
      <c r="AE226" s="34" t="s">
        <v>721</v>
      </c>
      <c r="AF226" s="34" t="s">
        <v>721</v>
      </c>
      <c r="AG226" s="34" t="s">
        <v>225</v>
      </c>
      <c r="AH226" s="34"/>
      <c r="AI226" s="35" t="e">
        <f>IF(Tableau_Liste_KPI[[#This Row],[Charge commandée]]="","",IF(Tableau_Liste_KPI[[#This Row],[Total]]&gt;Tableau_Liste_KPI[[#This Row],[Charge commandée]],"KO",""))</f>
        <v>#REF!</v>
      </c>
      <c r="AJ226" s="35" t="e">
        <f>IF(Tableau_Liste_KPI[[#This Row],[KPI Charges]]="KO",Tableau_Liste_KPI[[#This Row],[Charge commandée]]-Tableau_Liste_KPI[[#This Row],[Total]],"")</f>
        <v>#REF!</v>
      </c>
    </row>
    <row r="227" spans="1:36" ht="12" x14ac:dyDescent="0.2">
      <c r="A227" s="12" t="s">
        <v>6</v>
      </c>
      <c r="B227" s="12" t="s">
        <v>328</v>
      </c>
      <c r="C227" s="12" t="s">
        <v>259</v>
      </c>
      <c r="D227" s="12" t="s">
        <v>37</v>
      </c>
      <c r="E227" s="12" t="s">
        <v>540</v>
      </c>
      <c r="F227" s="12" t="s">
        <v>43</v>
      </c>
      <c r="G227" s="12" t="s">
        <v>693</v>
      </c>
      <c r="H227" s="6">
        <v>42921.758333333331</v>
      </c>
      <c r="I227" s="6">
        <v>42921.75922453704</v>
      </c>
      <c r="J227" s="6">
        <v>42943.668796296297</v>
      </c>
      <c r="K227" s="69">
        <v>42996.6565162037</v>
      </c>
      <c r="L227" s="13" t="s">
        <v>225</v>
      </c>
      <c r="M227" s="13">
        <v>4</v>
      </c>
      <c r="N227" s="13">
        <v>11</v>
      </c>
      <c r="O227" s="12">
        <v>0</v>
      </c>
      <c r="P227" s="13">
        <v>36</v>
      </c>
      <c r="Q227" s="13">
        <v>15</v>
      </c>
      <c r="R227" s="33">
        <v>7</v>
      </c>
      <c r="S227" s="33">
        <v>10</v>
      </c>
      <c r="T227" s="33">
        <v>42944.758333333331</v>
      </c>
      <c r="U227" s="33">
        <v>42947.775000000001</v>
      </c>
      <c r="V227" s="33" t="s">
        <v>225</v>
      </c>
      <c r="W227" s="33" t="s">
        <v>692</v>
      </c>
      <c r="X227" s="33" t="s">
        <v>690</v>
      </c>
      <c r="Y227" s="33">
        <v>42934</v>
      </c>
      <c r="Z227" s="33">
        <v>42937</v>
      </c>
      <c r="AA227" s="13">
        <v>4127</v>
      </c>
      <c r="AB227" s="13">
        <v>5.0999999999999996</v>
      </c>
      <c r="AC227" s="13">
        <f>SUMIF(Tableau_Liste_UO[[Code UO]:[Code UO]],Tableau_Liste_KPI[[#This Row],[Code UO]], Tableau_Liste_UO[RAF])</f>
        <v>0</v>
      </c>
      <c r="AD227" s="13" t="e">
        <f>SUMIF(Tableau_Liste_UO[[Code UO]:[Code UO]],Tableau_Liste_KPI[[#This Row],[Code UO]], #REF!)</f>
        <v>#REF!</v>
      </c>
      <c r="AE227" s="34" t="s">
        <v>721</v>
      </c>
      <c r="AF227" s="34" t="s">
        <v>721</v>
      </c>
      <c r="AG227" s="34" t="s">
        <v>225</v>
      </c>
      <c r="AH227" s="34"/>
      <c r="AI227" s="35" t="e">
        <f>IF(Tableau_Liste_KPI[[#This Row],[Charge commandée]]="","",IF(Tableau_Liste_KPI[[#This Row],[Total]]&gt;Tableau_Liste_KPI[[#This Row],[Charge commandée]],"KO",""))</f>
        <v>#REF!</v>
      </c>
      <c r="AJ227" s="35" t="e">
        <f>IF(Tableau_Liste_KPI[[#This Row],[KPI Charges]]="KO",Tableau_Liste_KPI[[#This Row],[Charge commandée]]-Tableau_Liste_KPI[[#This Row],[Total]],"")</f>
        <v>#REF!</v>
      </c>
    </row>
    <row r="228" spans="1:36" ht="12" x14ac:dyDescent="0.2">
      <c r="A228" s="12" t="s">
        <v>4</v>
      </c>
      <c r="B228" s="12" t="s">
        <v>327</v>
      </c>
      <c r="C228" s="12" t="s">
        <v>656</v>
      </c>
      <c r="D228" s="12" t="s">
        <v>37</v>
      </c>
      <c r="E228" s="12" t="s">
        <v>540</v>
      </c>
      <c r="F228" s="12" t="s">
        <v>34</v>
      </c>
      <c r="G228" s="12" t="s">
        <v>691</v>
      </c>
      <c r="H228" s="6">
        <v>42921.737500000003</v>
      </c>
      <c r="I228" s="6">
        <v>42921.738900462966</v>
      </c>
      <c r="J228" s="6" t="s">
        <v>225</v>
      </c>
      <c r="K228" s="69" t="s">
        <v>225</v>
      </c>
      <c r="L228" s="13" t="s">
        <v>225</v>
      </c>
      <c r="M228" s="13">
        <v>2</v>
      </c>
      <c r="N228" s="13">
        <v>77</v>
      </c>
      <c r="O228" s="12">
        <v>40</v>
      </c>
      <c r="P228" s="13" t="s">
        <v>225</v>
      </c>
      <c r="Q228" s="13">
        <v>79</v>
      </c>
      <c r="R228" s="33">
        <v>30</v>
      </c>
      <c r="S228" s="33">
        <v>40</v>
      </c>
      <c r="T228" s="33">
        <v>42944.724999999999</v>
      </c>
      <c r="U228" s="33">
        <v>42965.500694444447</v>
      </c>
      <c r="V228" s="33">
        <v>43091.651388888888</v>
      </c>
      <c r="W228" s="33" t="s">
        <v>692</v>
      </c>
      <c r="X228" s="33" t="s">
        <v>225</v>
      </c>
      <c r="Y228" s="33">
        <v>43024</v>
      </c>
      <c r="Z228" s="33">
        <v>43038</v>
      </c>
      <c r="AA228" s="13">
        <v>11544</v>
      </c>
      <c r="AB228" s="13">
        <v>14.2</v>
      </c>
      <c r="AC228" s="13">
        <f>SUMIF(Tableau_Liste_UO[[Code UO]:[Code UO]],Tableau_Liste_KPI[[#This Row],[Code UO]], Tableau_Liste_UO[RAF])</f>
        <v>0</v>
      </c>
      <c r="AD228" s="13" t="e">
        <f>SUMIF(Tableau_Liste_UO[[Code UO]:[Code UO]],Tableau_Liste_KPI[[#This Row],[Code UO]], #REF!)</f>
        <v>#REF!</v>
      </c>
      <c r="AE228" s="34" t="s">
        <v>721</v>
      </c>
      <c r="AF228" s="34" t="s">
        <v>721</v>
      </c>
      <c r="AG228" s="34" t="s">
        <v>225</v>
      </c>
      <c r="AH228" s="34"/>
      <c r="AI228" s="35" t="e">
        <f>IF(Tableau_Liste_KPI[[#This Row],[Charge commandée]]="","",IF(Tableau_Liste_KPI[[#This Row],[Total]]&gt;Tableau_Liste_KPI[[#This Row],[Charge commandée]],"KO",""))</f>
        <v>#REF!</v>
      </c>
      <c r="AJ228" s="35" t="e">
        <f>IF(Tableau_Liste_KPI[[#This Row],[KPI Charges]]="KO",Tableau_Liste_KPI[[#This Row],[Charge commandée]]-Tableau_Liste_KPI[[#This Row],[Total]],"")</f>
        <v>#REF!</v>
      </c>
    </row>
    <row r="229" spans="1:36" ht="12" x14ac:dyDescent="0.2">
      <c r="A229" s="12" t="s">
        <v>5</v>
      </c>
      <c r="B229" s="12" t="s">
        <v>614</v>
      </c>
      <c r="C229" s="12" t="s">
        <v>174</v>
      </c>
      <c r="D229" s="12" t="s">
        <v>37</v>
      </c>
      <c r="E229" s="12" t="s">
        <v>540</v>
      </c>
      <c r="F229" s="12" t="s">
        <v>34</v>
      </c>
      <c r="G229" s="12" t="s">
        <v>691</v>
      </c>
      <c r="H229" s="6">
        <v>42921.670138888891</v>
      </c>
      <c r="I229" s="6">
        <v>42921.674004629633</v>
      </c>
      <c r="J229" s="6">
        <v>43035.788344907407</v>
      </c>
      <c r="K229" s="69" t="s">
        <v>225</v>
      </c>
      <c r="L229" s="13" t="s">
        <v>225</v>
      </c>
      <c r="M229" s="13">
        <v>2</v>
      </c>
      <c r="N229" s="13">
        <v>63</v>
      </c>
      <c r="O229" s="12">
        <v>15</v>
      </c>
      <c r="P229" s="13">
        <v>39</v>
      </c>
      <c r="Q229" s="13">
        <v>65</v>
      </c>
      <c r="R229" s="33">
        <v>30</v>
      </c>
      <c r="S229" s="33">
        <v>40</v>
      </c>
      <c r="T229" s="33">
        <v>42915.5</v>
      </c>
      <c r="U229" s="33">
        <v>42965.646527777775</v>
      </c>
      <c r="V229" s="33">
        <v>43038.647916666669</v>
      </c>
      <c r="W229" s="33" t="s">
        <v>692</v>
      </c>
      <c r="X229" s="33" t="s">
        <v>225</v>
      </c>
      <c r="Y229" s="33">
        <v>42989</v>
      </c>
      <c r="Z229" s="33">
        <v>43003</v>
      </c>
      <c r="AA229" s="13">
        <v>11544</v>
      </c>
      <c r="AB229" s="13">
        <v>14.2</v>
      </c>
      <c r="AC229" s="13">
        <f>SUMIF(Tableau_Liste_UO[[Code UO]:[Code UO]],Tableau_Liste_KPI[[#This Row],[Code UO]], Tableau_Liste_UO[RAF])</f>
        <v>0</v>
      </c>
      <c r="AD229" s="13" t="e">
        <f>SUMIF(Tableau_Liste_UO[[Code UO]:[Code UO]],Tableau_Liste_KPI[[#This Row],[Code UO]], #REF!)</f>
        <v>#REF!</v>
      </c>
      <c r="AE229" s="34" t="s">
        <v>721</v>
      </c>
      <c r="AF229" s="34" t="s">
        <v>721</v>
      </c>
      <c r="AG229" s="34" t="s">
        <v>225</v>
      </c>
      <c r="AH229" s="34"/>
      <c r="AI229" s="35" t="e">
        <f>IF(Tableau_Liste_KPI[[#This Row],[Charge commandée]]="","",IF(Tableau_Liste_KPI[[#This Row],[Total]]&gt;Tableau_Liste_KPI[[#This Row],[Charge commandée]],"KO",""))</f>
        <v>#REF!</v>
      </c>
      <c r="AJ229" s="35" t="e">
        <f>IF(Tableau_Liste_KPI[[#This Row],[KPI Charges]]="KO",Tableau_Liste_KPI[[#This Row],[Charge commandée]]-Tableau_Liste_KPI[[#This Row],[Total]],"")</f>
        <v>#REF!</v>
      </c>
    </row>
    <row r="230" spans="1:36" ht="12" x14ac:dyDescent="0.2">
      <c r="A230" s="12" t="s">
        <v>76</v>
      </c>
      <c r="B230" s="12" t="s">
        <v>615</v>
      </c>
      <c r="C230" s="12" t="s">
        <v>259</v>
      </c>
      <c r="D230" s="12" t="s">
        <v>33</v>
      </c>
      <c r="E230" s="12" t="s">
        <v>539</v>
      </c>
      <c r="F230" s="12" t="s">
        <v>43</v>
      </c>
      <c r="G230" s="12" t="s">
        <v>698</v>
      </c>
      <c r="H230" s="6">
        <v>42920.63958333333</v>
      </c>
      <c r="I230" s="6">
        <v>42920.6403125</v>
      </c>
      <c r="J230" s="6">
        <v>42923.376828703702</v>
      </c>
      <c r="K230" s="69">
        <v>42928.646539351852</v>
      </c>
      <c r="L230" s="13" t="s">
        <v>225</v>
      </c>
      <c r="M230" s="13">
        <v>2</v>
      </c>
      <c r="N230" s="13">
        <v>2</v>
      </c>
      <c r="O230" s="12">
        <v>0</v>
      </c>
      <c r="P230" s="13">
        <v>3</v>
      </c>
      <c r="Q230" s="13">
        <v>4</v>
      </c>
      <c r="R230" s="33">
        <v>5</v>
      </c>
      <c r="S230" s="33">
        <v>8</v>
      </c>
      <c r="T230" s="33" t="s">
        <v>225</v>
      </c>
      <c r="U230" s="33">
        <v>42928.723611111112</v>
      </c>
      <c r="V230" s="33" t="s">
        <v>225</v>
      </c>
      <c r="W230" s="33" t="s">
        <v>692</v>
      </c>
      <c r="X230" s="33" t="s">
        <v>692</v>
      </c>
      <c r="Y230" s="33">
        <v>42927</v>
      </c>
      <c r="Z230" s="33">
        <v>42934</v>
      </c>
      <c r="AA230" s="13">
        <v>1522</v>
      </c>
      <c r="AB230" s="13">
        <v>2</v>
      </c>
      <c r="AC230" s="13">
        <f>SUMIF(Tableau_Liste_UO[[Code UO]:[Code UO]],Tableau_Liste_KPI[[#This Row],[Code UO]], Tableau_Liste_UO[RAF])</f>
        <v>0</v>
      </c>
      <c r="AD230" s="13" t="e">
        <f>SUMIF(Tableau_Liste_UO[[Code UO]:[Code UO]],Tableau_Liste_KPI[[#This Row],[Code UO]], #REF!)</f>
        <v>#REF!</v>
      </c>
      <c r="AE230" s="34" t="s">
        <v>225</v>
      </c>
      <c r="AF230" s="34" t="s">
        <v>225</v>
      </c>
      <c r="AG230" s="34" t="s">
        <v>225</v>
      </c>
      <c r="AH230" s="34"/>
      <c r="AI230" s="35" t="e">
        <f>IF(Tableau_Liste_KPI[[#This Row],[Charge commandée]]="","",IF(Tableau_Liste_KPI[[#This Row],[Total]]&gt;Tableau_Liste_KPI[[#This Row],[Charge commandée]],"KO",""))</f>
        <v>#REF!</v>
      </c>
      <c r="AJ230" s="35" t="e">
        <f>IF(Tableau_Liste_KPI[[#This Row],[KPI Charges]]="KO",Tableau_Liste_KPI[[#This Row],[Charge commandée]]-Tableau_Liste_KPI[[#This Row],[Total]],"")</f>
        <v>#REF!</v>
      </c>
    </row>
    <row r="231" spans="1:36" ht="12" x14ac:dyDescent="0.2">
      <c r="A231" s="12" t="s">
        <v>77</v>
      </c>
      <c r="B231" s="12" t="s">
        <v>326</v>
      </c>
      <c r="C231" s="12" t="s">
        <v>259</v>
      </c>
      <c r="D231" s="12" t="s">
        <v>37</v>
      </c>
      <c r="E231" s="12" t="s">
        <v>544</v>
      </c>
      <c r="F231" s="12" t="s">
        <v>34</v>
      </c>
      <c r="G231" s="12" t="s">
        <v>702</v>
      </c>
      <c r="H231" s="6">
        <v>42920.372916666667</v>
      </c>
      <c r="I231" s="6">
        <v>42920.427511574075</v>
      </c>
      <c r="J231" s="6" t="s">
        <v>225</v>
      </c>
      <c r="K231" s="69">
        <v>42978.613854166666</v>
      </c>
      <c r="L231" s="13" t="s">
        <v>225</v>
      </c>
      <c r="M231" s="13">
        <v>0</v>
      </c>
      <c r="N231" s="13">
        <v>22</v>
      </c>
      <c r="O231" s="12">
        <v>0</v>
      </c>
      <c r="P231" s="13" t="s">
        <v>225</v>
      </c>
      <c r="Q231" s="13">
        <v>22</v>
      </c>
      <c r="R231" s="33" t="s">
        <v>225</v>
      </c>
      <c r="S231" s="33" t="s">
        <v>225</v>
      </c>
      <c r="T231" s="33" t="s">
        <v>225</v>
      </c>
      <c r="U231" s="33" t="s">
        <v>225</v>
      </c>
      <c r="V231" s="33" t="s">
        <v>225</v>
      </c>
      <c r="W231" s="33" t="s">
        <v>692</v>
      </c>
      <c r="X231" s="33" t="s">
        <v>697</v>
      </c>
      <c r="Y231" s="33">
        <v>42947.37222222222</v>
      </c>
      <c r="Z231" s="33">
        <v>42947.37222222222</v>
      </c>
      <c r="AA231" s="13">
        <v>7500</v>
      </c>
      <c r="AB231" s="13">
        <v>10</v>
      </c>
      <c r="AC231" s="13">
        <f>SUMIF(Tableau_Liste_UO[[Code UO]:[Code UO]],Tableau_Liste_KPI[[#This Row],[Code UO]], Tableau_Liste_UO[RAF])</f>
        <v>0</v>
      </c>
      <c r="AD231" s="13" t="e">
        <f>SUMIF(Tableau_Liste_UO[[Code UO]:[Code UO]],Tableau_Liste_KPI[[#This Row],[Code UO]], #REF!)</f>
        <v>#REF!</v>
      </c>
      <c r="AE231" s="34" t="s">
        <v>225</v>
      </c>
      <c r="AF231" s="34" t="s">
        <v>225</v>
      </c>
      <c r="AG231" s="34" t="s">
        <v>225</v>
      </c>
      <c r="AH231" s="34"/>
      <c r="AI231" s="35" t="e">
        <f>IF(Tableau_Liste_KPI[[#This Row],[Charge commandée]]="","",IF(Tableau_Liste_KPI[[#This Row],[Total]]&gt;Tableau_Liste_KPI[[#This Row],[Charge commandée]],"KO",""))</f>
        <v>#REF!</v>
      </c>
      <c r="AJ231" s="35" t="e">
        <f>IF(Tableau_Liste_KPI[[#This Row],[KPI Charges]]="KO",Tableau_Liste_KPI[[#This Row],[Charge commandée]]-Tableau_Liste_KPI[[#This Row],[Total]],"")</f>
        <v>#REF!</v>
      </c>
    </row>
    <row r="232" spans="1:36" ht="12" x14ac:dyDescent="0.2">
      <c r="A232" s="12" t="s">
        <v>78</v>
      </c>
      <c r="B232" s="12" t="s">
        <v>325</v>
      </c>
      <c r="C232" s="12" t="s">
        <v>259</v>
      </c>
      <c r="D232" s="12" t="s">
        <v>37</v>
      </c>
      <c r="E232" s="12" t="s">
        <v>544</v>
      </c>
      <c r="F232" s="12" t="s">
        <v>34</v>
      </c>
      <c r="G232" s="12" t="s">
        <v>702</v>
      </c>
      <c r="H232" s="6">
        <v>42919.789583333331</v>
      </c>
      <c r="I232" s="6">
        <v>42919.790081018517</v>
      </c>
      <c r="J232" s="6" t="s">
        <v>225</v>
      </c>
      <c r="K232" s="69">
        <v>43038.565439814818</v>
      </c>
      <c r="L232" s="13" t="s">
        <v>225</v>
      </c>
      <c r="M232" s="13">
        <v>0</v>
      </c>
      <c r="N232" s="13">
        <v>64</v>
      </c>
      <c r="O232" s="12">
        <v>0</v>
      </c>
      <c r="P232" s="13" t="s">
        <v>225</v>
      </c>
      <c r="Q232" s="13">
        <v>64</v>
      </c>
      <c r="R232" s="33" t="s">
        <v>225</v>
      </c>
      <c r="S232" s="33" t="s">
        <v>225</v>
      </c>
      <c r="T232" s="33" t="s">
        <v>225</v>
      </c>
      <c r="U232" s="33" t="s">
        <v>225</v>
      </c>
      <c r="V232" s="33" t="s">
        <v>225</v>
      </c>
      <c r="W232" s="33" t="s">
        <v>692</v>
      </c>
      <c r="X232" s="33" t="s">
        <v>703</v>
      </c>
      <c r="Y232" s="33">
        <v>43014.75</v>
      </c>
      <c r="Z232" s="33">
        <v>43014.75</v>
      </c>
      <c r="AA232" s="13">
        <v>1500</v>
      </c>
      <c r="AB232" s="13">
        <v>2</v>
      </c>
      <c r="AC232" s="13">
        <f>SUMIF(Tableau_Liste_UO[[Code UO]:[Code UO]],Tableau_Liste_KPI[[#This Row],[Code UO]], Tableau_Liste_UO[RAF])</f>
        <v>0</v>
      </c>
      <c r="AD232" s="13" t="e">
        <f>SUMIF(Tableau_Liste_UO[[Code UO]:[Code UO]],Tableau_Liste_KPI[[#This Row],[Code UO]], #REF!)</f>
        <v>#REF!</v>
      </c>
      <c r="AE232" s="34" t="s">
        <v>225</v>
      </c>
      <c r="AF232" s="34" t="s">
        <v>225</v>
      </c>
      <c r="AG232" s="34" t="s">
        <v>225</v>
      </c>
      <c r="AH232" s="34"/>
      <c r="AI232" s="35" t="e">
        <f>IF(Tableau_Liste_KPI[[#This Row],[Charge commandée]]="","",IF(Tableau_Liste_KPI[[#This Row],[Total]]&gt;Tableau_Liste_KPI[[#This Row],[Charge commandée]],"KO",""))</f>
        <v>#REF!</v>
      </c>
      <c r="AJ232" s="35" t="e">
        <f>IF(Tableau_Liste_KPI[[#This Row],[KPI Charges]]="KO",Tableau_Liste_KPI[[#This Row],[Charge commandée]]-Tableau_Liste_KPI[[#This Row],[Total]],"")</f>
        <v>#REF!</v>
      </c>
    </row>
    <row r="233" spans="1:36" ht="12" x14ac:dyDescent="0.2">
      <c r="A233" s="12" t="s">
        <v>79</v>
      </c>
      <c r="B233" s="12" t="s">
        <v>324</v>
      </c>
      <c r="C233" s="12" t="s">
        <v>259</v>
      </c>
      <c r="D233" s="12" t="s">
        <v>37</v>
      </c>
      <c r="E233" s="12" t="s">
        <v>544</v>
      </c>
      <c r="F233" s="12" t="s">
        <v>34</v>
      </c>
      <c r="G233" s="12" t="s">
        <v>702</v>
      </c>
      <c r="H233" s="6">
        <v>42919.771527777775</v>
      </c>
      <c r="I233" s="6">
        <v>42919.785439814812</v>
      </c>
      <c r="J233" s="6" t="s">
        <v>225</v>
      </c>
      <c r="K233" s="69">
        <v>42999.520891203705</v>
      </c>
      <c r="L233" s="13" t="s">
        <v>225</v>
      </c>
      <c r="M233" s="13">
        <v>0</v>
      </c>
      <c r="N233" s="13">
        <v>37</v>
      </c>
      <c r="O233" s="12">
        <v>0</v>
      </c>
      <c r="P233" s="13" t="s">
        <v>225</v>
      </c>
      <c r="Q233" s="13">
        <v>37</v>
      </c>
      <c r="R233" s="33" t="s">
        <v>225</v>
      </c>
      <c r="S233" s="33" t="s">
        <v>225</v>
      </c>
      <c r="T233" s="33" t="s">
        <v>225</v>
      </c>
      <c r="U233" s="33" t="s">
        <v>225</v>
      </c>
      <c r="V233" s="33" t="s">
        <v>225</v>
      </c>
      <c r="W233" s="33" t="s">
        <v>692</v>
      </c>
      <c r="X233" s="33" t="s">
        <v>690</v>
      </c>
      <c r="Y233" s="33">
        <v>42986.75</v>
      </c>
      <c r="Z233" s="33">
        <v>42986.75</v>
      </c>
      <c r="AA233" s="13">
        <v>3000</v>
      </c>
      <c r="AB233" s="13">
        <v>4</v>
      </c>
      <c r="AC233" s="13">
        <f>SUMIF(Tableau_Liste_UO[[Code UO]:[Code UO]],Tableau_Liste_KPI[[#This Row],[Code UO]], Tableau_Liste_UO[RAF])</f>
        <v>0</v>
      </c>
      <c r="AD233" s="13" t="e">
        <f>SUMIF(Tableau_Liste_UO[[Code UO]:[Code UO]],Tableau_Liste_KPI[[#This Row],[Code UO]], #REF!)</f>
        <v>#REF!</v>
      </c>
      <c r="AE233" s="34" t="s">
        <v>225</v>
      </c>
      <c r="AF233" s="34" t="s">
        <v>225</v>
      </c>
      <c r="AG233" s="34" t="s">
        <v>225</v>
      </c>
      <c r="AH233" s="34"/>
      <c r="AI233" s="35" t="e">
        <f>IF(Tableau_Liste_KPI[[#This Row],[Charge commandée]]="","",IF(Tableau_Liste_KPI[[#This Row],[Total]]&gt;Tableau_Liste_KPI[[#This Row],[Charge commandée]],"KO",""))</f>
        <v>#REF!</v>
      </c>
      <c r="AJ233" s="35" t="e">
        <f>IF(Tableau_Liste_KPI[[#This Row],[KPI Charges]]="KO",Tableau_Liste_KPI[[#This Row],[Charge commandée]]-Tableau_Liste_KPI[[#This Row],[Total]],"")</f>
        <v>#REF!</v>
      </c>
    </row>
    <row r="234" spans="1:36" ht="12" x14ac:dyDescent="0.2">
      <c r="A234" s="12" t="s">
        <v>80</v>
      </c>
      <c r="B234" s="12" t="s">
        <v>323</v>
      </c>
      <c r="C234" s="12" t="s">
        <v>259</v>
      </c>
      <c r="D234" s="12" t="s">
        <v>37</v>
      </c>
      <c r="E234" s="12" t="s">
        <v>544</v>
      </c>
      <c r="F234" s="12" t="s">
        <v>34</v>
      </c>
      <c r="G234" s="12" t="s">
        <v>702</v>
      </c>
      <c r="H234" s="6">
        <v>42916.633333333331</v>
      </c>
      <c r="I234" s="6">
        <v>42916.633553240739</v>
      </c>
      <c r="J234" s="6">
        <v>42936.472442129627</v>
      </c>
      <c r="K234" s="69">
        <v>42950.700775462959</v>
      </c>
      <c r="L234" s="13" t="s">
        <v>225</v>
      </c>
      <c r="M234" s="13">
        <v>0</v>
      </c>
      <c r="N234" s="13">
        <v>3</v>
      </c>
      <c r="O234" s="12">
        <v>0</v>
      </c>
      <c r="P234" s="13" t="s">
        <v>225</v>
      </c>
      <c r="Q234" s="13">
        <v>3</v>
      </c>
      <c r="R234" s="33" t="s">
        <v>225</v>
      </c>
      <c r="S234" s="33" t="s">
        <v>225</v>
      </c>
      <c r="T234" s="33" t="s">
        <v>225</v>
      </c>
      <c r="U234" s="33" t="s">
        <v>225</v>
      </c>
      <c r="V234" s="33" t="s">
        <v>225</v>
      </c>
      <c r="W234" s="33" t="s">
        <v>688</v>
      </c>
      <c r="X234" s="33" t="s">
        <v>697</v>
      </c>
      <c r="Y234" s="33">
        <v>42919.712500000001</v>
      </c>
      <c r="Z234" s="33">
        <v>42919.712500000001</v>
      </c>
      <c r="AA234" s="13">
        <v>1500</v>
      </c>
      <c r="AB234" s="13">
        <v>2</v>
      </c>
      <c r="AC234" s="13">
        <f>SUMIF(Tableau_Liste_UO[[Code UO]:[Code UO]],Tableau_Liste_KPI[[#This Row],[Code UO]], Tableau_Liste_UO[RAF])</f>
        <v>0</v>
      </c>
      <c r="AD234" s="13" t="e">
        <f>SUMIF(Tableau_Liste_UO[[Code UO]:[Code UO]],Tableau_Liste_KPI[[#This Row],[Code UO]], #REF!)</f>
        <v>#REF!</v>
      </c>
      <c r="AE234" s="34" t="s">
        <v>225</v>
      </c>
      <c r="AF234" s="34" t="s">
        <v>225</v>
      </c>
      <c r="AG234" s="34" t="s">
        <v>225</v>
      </c>
      <c r="AH234" s="34"/>
      <c r="AI234" s="35" t="e">
        <f>IF(Tableau_Liste_KPI[[#This Row],[Charge commandée]]="","",IF(Tableau_Liste_KPI[[#This Row],[Total]]&gt;Tableau_Liste_KPI[[#This Row],[Charge commandée]],"KO",""))</f>
        <v>#REF!</v>
      </c>
      <c r="AJ234" s="35" t="e">
        <f>IF(Tableau_Liste_KPI[[#This Row],[KPI Charges]]="KO",Tableau_Liste_KPI[[#This Row],[Charge commandée]]-Tableau_Liste_KPI[[#This Row],[Total]],"")</f>
        <v>#REF!</v>
      </c>
    </row>
    <row r="235" spans="1:36" ht="12" x14ac:dyDescent="0.2">
      <c r="A235" s="12" t="s">
        <v>81</v>
      </c>
      <c r="B235" s="45" t="s">
        <v>322</v>
      </c>
      <c r="C235" s="12" t="s">
        <v>173</v>
      </c>
      <c r="D235" s="45" t="s">
        <v>37</v>
      </c>
      <c r="E235" s="45" t="s">
        <v>544</v>
      </c>
      <c r="F235" s="45" t="s">
        <v>34</v>
      </c>
      <c r="G235" s="45" t="s">
        <v>702</v>
      </c>
      <c r="H235" s="46">
        <v>42916.629861111112</v>
      </c>
      <c r="I235" s="46">
        <v>42919.610162037039</v>
      </c>
      <c r="J235" s="46" t="s">
        <v>225</v>
      </c>
      <c r="K235" s="72" t="s">
        <v>225</v>
      </c>
      <c r="L235" s="47" t="s">
        <v>225</v>
      </c>
      <c r="M235" s="47">
        <v>0</v>
      </c>
      <c r="N235" s="47">
        <v>0</v>
      </c>
      <c r="O235" s="45">
        <v>0</v>
      </c>
      <c r="P235" s="47" t="s">
        <v>225</v>
      </c>
      <c r="Q235" s="47" t="s">
        <v>225</v>
      </c>
      <c r="R235" s="48" t="s">
        <v>225</v>
      </c>
      <c r="S235" s="48" t="s">
        <v>225</v>
      </c>
      <c r="T235" s="48" t="s">
        <v>225</v>
      </c>
      <c r="U235" s="48" t="s">
        <v>225</v>
      </c>
      <c r="V235" s="48" t="s">
        <v>225</v>
      </c>
      <c r="W235" s="48" t="s">
        <v>692</v>
      </c>
      <c r="X235" s="48" t="s">
        <v>225</v>
      </c>
      <c r="Y235" s="48">
        <v>42923.628472222219</v>
      </c>
      <c r="Z235" s="48">
        <v>42923.628472222219</v>
      </c>
      <c r="AA235" s="47">
        <v>3750</v>
      </c>
      <c r="AB235" s="47">
        <v>5</v>
      </c>
      <c r="AC235" s="47">
        <f>SUMIF(Tableau_Liste_UO[[Code UO]:[Code UO]],Tableau_Liste_KPI[[#This Row],[Code UO]], Tableau_Liste_UO[RAF])</f>
        <v>0</v>
      </c>
      <c r="AD235" s="47" t="e">
        <f>SUMIF(Tableau_Liste_UO[[Code UO]:[Code UO]],Tableau_Liste_KPI[[#This Row],[Code UO]], #REF!)</f>
        <v>#REF!</v>
      </c>
      <c r="AE235" s="49" t="s">
        <v>225</v>
      </c>
      <c r="AF235" s="49" t="s">
        <v>225</v>
      </c>
      <c r="AG235" s="49" t="s">
        <v>225</v>
      </c>
      <c r="AH235" s="49"/>
      <c r="AI235" s="50" t="e">
        <f>IF(Tableau_Liste_KPI[[#This Row],[Charge commandée]]="","",IF(Tableau_Liste_KPI[[#This Row],[Total]]&gt;Tableau_Liste_KPI[[#This Row],[Charge commandée]],"KO",""))</f>
        <v>#REF!</v>
      </c>
      <c r="AJ235" s="50" t="e">
        <f>IF(Tableau_Liste_KPI[[#This Row],[KPI Charges]]="KO",Tableau_Liste_KPI[[#This Row],[Charge commandée]]-Tableau_Liste_KPI[[#This Row],[Total]],"")</f>
        <v>#REF!</v>
      </c>
    </row>
    <row r="236" spans="1:36" ht="12" x14ac:dyDescent="0.2">
      <c r="A236" s="12" t="s">
        <v>82</v>
      </c>
      <c r="B236" s="12" t="s">
        <v>321</v>
      </c>
      <c r="C236" s="12" t="s">
        <v>259</v>
      </c>
      <c r="D236" s="12" t="s">
        <v>37</v>
      </c>
      <c r="E236" s="12" t="s">
        <v>544</v>
      </c>
      <c r="F236" s="12" t="s">
        <v>34</v>
      </c>
      <c r="G236" s="12" t="s">
        <v>702</v>
      </c>
      <c r="H236" s="6">
        <v>42915.748611111114</v>
      </c>
      <c r="I236" s="6">
        <v>42915.749537037038</v>
      </c>
      <c r="J236" s="6" t="s">
        <v>225</v>
      </c>
      <c r="K236" s="69">
        <v>42993.574976851851</v>
      </c>
      <c r="L236" s="13" t="s">
        <v>225</v>
      </c>
      <c r="M236" s="13">
        <v>0</v>
      </c>
      <c r="N236" s="13">
        <v>33</v>
      </c>
      <c r="O236" s="12">
        <v>0</v>
      </c>
      <c r="P236" s="13" t="s">
        <v>225</v>
      </c>
      <c r="Q236" s="13">
        <v>33</v>
      </c>
      <c r="R236" s="33" t="s">
        <v>225</v>
      </c>
      <c r="S236" s="33" t="s">
        <v>225</v>
      </c>
      <c r="T236" s="33" t="s">
        <v>225</v>
      </c>
      <c r="U236" s="33" t="s">
        <v>225</v>
      </c>
      <c r="V236" s="33" t="s">
        <v>225</v>
      </c>
      <c r="W236" s="33" t="s">
        <v>688</v>
      </c>
      <c r="X236" s="33" t="s">
        <v>690</v>
      </c>
      <c r="Y236" s="33">
        <v>42978.745138888888</v>
      </c>
      <c r="Z236" s="33">
        <v>42978.745138888888</v>
      </c>
      <c r="AA236" s="13">
        <v>3000</v>
      </c>
      <c r="AB236" s="13">
        <v>4</v>
      </c>
      <c r="AC236" s="13">
        <f>SUMIF(Tableau_Liste_UO[[Code UO]:[Code UO]],Tableau_Liste_KPI[[#This Row],[Code UO]], Tableau_Liste_UO[RAF])</f>
        <v>0</v>
      </c>
      <c r="AD236" s="13" t="e">
        <f>SUMIF(Tableau_Liste_UO[[Code UO]:[Code UO]],Tableau_Liste_KPI[[#This Row],[Code UO]], #REF!)</f>
        <v>#REF!</v>
      </c>
      <c r="AE236" s="34" t="s">
        <v>225</v>
      </c>
      <c r="AF236" s="34" t="s">
        <v>225</v>
      </c>
      <c r="AG236" s="34" t="s">
        <v>225</v>
      </c>
      <c r="AH236" s="34"/>
      <c r="AI236" s="35" t="e">
        <f>IF(Tableau_Liste_KPI[[#This Row],[Charge commandée]]="","",IF(Tableau_Liste_KPI[[#This Row],[Total]]&gt;Tableau_Liste_KPI[[#This Row],[Charge commandée]],"KO",""))</f>
        <v>#REF!</v>
      </c>
      <c r="AJ236" s="35" t="e">
        <f>IF(Tableau_Liste_KPI[[#This Row],[KPI Charges]]="KO",Tableau_Liste_KPI[[#This Row],[Charge commandée]]-Tableau_Liste_KPI[[#This Row],[Total]],"")</f>
        <v>#REF!</v>
      </c>
    </row>
    <row r="237" spans="1:36" ht="12" x14ac:dyDescent="0.2">
      <c r="A237" s="12" t="s">
        <v>83</v>
      </c>
      <c r="B237" s="12" t="s">
        <v>320</v>
      </c>
      <c r="C237" s="12" t="s">
        <v>259</v>
      </c>
      <c r="D237" s="12" t="s">
        <v>33</v>
      </c>
      <c r="E237" s="12" t="s">
        <v>44</v>
      </c>
      <c r="F237" s="12" t="s">
        <v>225</v>
      </c>
      <c r="G237" s="12" t="s">
        <v>689</v>
      </c>
      <c r="H237" s="6">
        <v>42915.743055555555</v>
      </c>
      <c r="I237" s="6">
        <v>42915.743576388886</v>
      </c>
      <c r="J237" s="6">
        <v>42954.608043981483</v>
      </c>
      <c r="K237" s="69">
        <v>42955.481435185182</v>
      </c>
      <c r="L237" s="13" t="s">
        <v>225</v>
      </c>
      <c r="M237" s="13">
        <v>3</v>
      </c>
      <c r="N237" s="13">
        <v>2</v>
      </c>
      <c r="O237" s="12">
        <v>18</v>
      </c>
      <c r="P237" s="13">
        <v>2</v>
      </c>
      <c r="Q237" s="13">
        <v>5</v>
      </c>
      <c r="R237" s="33">
        <v>10</v>
      </c>
      <c r="S237" s="33">
        <v>15</v>
      </c>
      <c r="T237" s="33" t="s">
        <v>225</v>
      </c>
      <c r="U237" s="33">
        <v>42929.649305555555</v>
      </c>
      <c r="V237" s="33" t="s">
        <v>225</v>
      </c>
      <c r="W237" s="33" t="s">
        <v>688</v>
      </c>
      <c r="X237" s="33" t="s">
        <v>697</v>
      </c>
      <c r="Y237" s="33">
        <v>42957</v>
      </c>
      <c r="Z237" s="33">
        <v>42965</v>
      </c>
      <c r="AA237" s="13">
        <v>912</v>
      </c>
      <c r="AB237" s="13">
        <v>1</v>
      </c>
      <c r="AC237" s="13">
        <f>SUMIF(Tableau_Liste_UO[[Code UO]:[Code UO]],Tableau_Liste_KPI[[#This Row],[Code UO]], Tableau_Liste_UO[RAF])</f>
        <v>0</v>
      </c>
      <c r="AD237" s="13" t="e">
        <f>SUMIF(Tableau_Liste_UO[[Code UO]:[Code UO]],Tableau_Liste_KPI[[#This Row],[Code UO]], #REF!)</f>
        <v>#REF!</v>
      </c>
      <c r="AE237" s="34" t="s">
        <v>225</v>
      </c>
      <c r="AF237" s="34" t="s">
        <v>225</v>
      </c>
      <c r="AG237" s="34" t="s">
        <v>225</v>
      </c>
      <c r="AH237" s="34"/>
      <c r="AI237" s="35" t="e">
        <f>IF(Tableau_Liste_KPI[[#This Row],[Charge commandée]]="","",IF(Tableau_Liste_KPI[[#This Row],[Total]]&gt;Tableau_Liste_KPI[[#This Row],[Charge commandée]],"KO",""))</f>
        <v>#REF!</v>
      </c>
      <c r="AJ237" s="35" t="e">
        <f>IF(Tableau_Liste_KPI[[#This Row],[KPI Charges]]="KO",Tableau_Liste_KPI[[#This Row],[Charge commandée]]-Tableau_Liste_KPI[[#This Row],[Total]],"")</f>
        <v>#REF!</v>
      </c>
    </row>
    <row r="238" spans="1:36" ht="12" x14ac:dyDescent="0.2">
      <c r="A238" s="12" t="s">
        <v>84</v>
      </c>
      <c r="B238" s="12" t="s">
        <v>319</v>
      </c>
      <c r="C238" s="12" t="s">
        <v>259</v>
      </c>
      <c r="D238" s="12" t="s">
        <v>37</v>
      </c>
      <c r="E238" s="12" t="s">
        <v>544</v>
      </c>
      <c r="F238" s="12" t="s">
        <v>34</v>
      </c>
      <c r="G238" s="12" t="s">
        <v>702</v>
      </c>
      <c r="H238" s="6">
        <v>42914.756249999999</v>
      </c>
      <c r="I238" s="6">
        <v>42914.757615740738</v>
      </c>
      <c r="J238" s="6" t="s">
        <v>225</v>
      </c>
      <c r="K238" s="69">
        <v>42976.655717592592</v>
      </c>
      <c r="L238" s="13" t="s">
        <v>225</v>
      </c>
      <c r="M238" s="13">
        <v>0</v>
      </c>
      <c r="N238" s="13">
        <v>20</v>
      </c>
      <c r="O238" s="12">
        <v>0</v>
      </c>
      <c r="P238" s="13" t="s">
        <v>225</v>
      </c>
      <c r="Q238" s="13">
        <v>20</v>
      </c>
      <c r="R238" s="33" t="s">
        <v>225</v>
      </c>
      <c r="S238" s="33" t="s">
        <v>225</v>
      </c>
      <c r="T238" s="33" t="s">
        <v>225</v>
      </c>
      <c r="U238" s="33" t="s">
        <v>225</v>
      </c>
      <c r="V238" s="33" t="s">
        <v>225</v>
      </c>
      <c r="W238" s="33" t="s">
        <v>688</v>
      </c>
      <c r="X238" s="33" t="s">
        <v>697</v>
      </c>
      <c r="Y238" s="33">
        <v>42916.752083333333</v>
      </c>
      <c r="Z238" s="33">
        <v>42916.752083333333</v>
      </c>
      <c r="AA238" s="13">
        <v>2250</v>
      </c>
      <c r="AB238" s="13">
        <v>3</v>
      </c>
      <c r="AC238" s="13">
        <f>SUMIF(Tableau_Liste_UO[[Code UO]:[Code UO]],Tableau_Liste_KPI[[#This Row],[Code UO]], Tableau_Liste_UO[RAF])</f>
        <v>0</v>
      </c>
      <c r="AD238" s="13" t="e">
        <f>SUMIF(Tableau_Liste_UO[[Code UO]:[Code UO]],Tableau_Liste_KPI[[#This Row],[Code UO]], #REF!)</f>
        <v>#REF!</v>
      </c>
      <c r="AE238" s="34" t="s">
        <v>225</v>
      </c>
      <c r="AF238" s="34" t="s">
        <v>225</v>
      </c>
      <c r="AG238" s="34" t="s">
        <v>225</v>
      </c>
      <c r="AH238" s="34"/>
      <c r="AI238" s="35" t="e">
        <f>IF(Tableau_Liste_KPI[[#This Row],[Charge commandée]]="","",IF(Tableau_Liste_KPI[[#This Row],[Total]]&gt;Tableau_Liste_KPI[[#This Row],[Charge commandée]],"KO",""))</f>
        <v>#REF!</v>
      </c>
      <c r="AJ238" s="35" t="e">
        <f>IF(Tableau_Liste_KPI[[#This Row],[KPI Charges]]="KO",Tableau_Liste_KPI[[#This Row],[Charge commandée]]-Tableau_Liste_KPI[[#This Row],[Total]],"")</f>
        <v>#REF!</v>
      </c>
    </row>
    <row r="239" spans="1:36" ht="12" x14ac:dyDescent="0.2">
      <c r="A239" s="12" t="s">
        <v>85</v>
      </c>
      <c r="B239" s="12" t="s">
        <v>318</v>
      </c>
      <c r="C239" s="12" t="s">
        <v>173</v>
      </c>
      <c r="D239" s="12" t="s">
        <v>37</v>
      </c>
      <c r="E239" s="12" t="s">
        <v>540</v>
      </c>
      <c r="F239" s="12" t="s">
        <v>43</v>
      </c>
      <c r="G239" s="12" t="s">
        <v>693</v>
      </c>
      <c r="H239" s="6">
        <v>42914.75</v>
      </c>
      <c r="I239" s="6">
        <v>42914.753703703704</v>
      </c>
      <c r="J239" s="6" t="s">
        <v>225</v>
      </c>
      <c r="K239" s="69" t="s">
        <v>225</v>
      </c>
      <c r="L239" s="13" t="s">
        <v>225</v>
      </c>
      <c r="M239" s="13">
        <v>0</v>
      </c>
      <c r="N239" s="13">
        <v>0</v>
      </c>
      <c r="O239" s="12">
        <v>0</v>
      </c>
      <c r="P239" s="13" t="s">
        <v>225</v>
      </c>
      <c r="Q239" s="13" t="s">
        <v>225</v>
      </c>
      <c r="R239" s="33">
        <v>7</v>
      </c>
      <c r="S239" s="33">
        <v>10</v>
      </c>
      <c r="T239" s="33">
        <v>42907.576388888891</v>
      </c>
      <c r="U239" s="33">
        <v>42902.606249999997</v>
      </c>
      <c r="V239" s="33" t="s">
        <v>225</v>
      </c>
      <c r="W239" s="33" t="s">
        <v>688</v>
      </c>
      <c r="X239" s="33" t="s">
        <v>225</v>
      </c>
      <c r="Y239" s="33">
        <v>42923</v>
      </c>
      <c r="Z239" s="33">
        <v>42928</v>
      </c>
      <c r="AA239" s="13">
        <v>4127</v>
      </c>
      <c r="AB239" s="13">
        <v>5.0999999999999996</v>
      </c>
      <c r="AC239" s="13">
        <f>SUMIF(Tableau_Liste_UO[[Code UO]:[Code UO]],Tableau_Liste_KPI[[#This Row],[Code UO]], Tableau_Liste_UO[RAF])</f>
        <v>0</v>
      </c>
      <c r="AD239" s="13" t="e">
        <f>SUMIF(Tableau_Liste_UO[[Code UO]:[Code UO]],Tableau_Liste_KPI[[#This Row],[Code UO]], #REF!)</f>
        <v>#REF!</v>
      </c>
      <c r="AE239" s="34" t="s">
        <v>225</v>
      </c>
      <c r="AF239" s="34" t="s">
        <v>225</v>
      </c>
      <c r="AG239" s="34" t="s">
        <v>225</v>
      </c>
      <c r="AH239" s="34"/>
      <c r="AI239" s="35" t="e">
        <f>IF(Tableau_Liste_KPI[[#This Row],[Charge commandée]]="","",IF(Tableau_Liste_KPI[[#This Row],[Total]]&gt;Tableau_Liste_KPI[[#This Row],[Charge commandée]],"KO",""))</f>
        <v>#REF!</v>
      </c>
      <c r="AJ239" s="35" t="e">
        <f>IF(Tableau_Liste_KPI[[#This Row],[KPI Charges]]="KO",Tableau_Liste_KPI[[#This Row],[Charge commandée]]-Tableau_Liste_KPI[[#This Row],[Total]],"")</f>
        <v>#REF!</v>
      </c>
    </row>
    <row r="240" spans="1:36" ht="12" x14ac:dyDescent="0.2">
      <c r="A240" s="12" t="s">
        <v>86</v>
      </c>
      <c r="B240" s="12" t="s">
        <v>317</v>
      </c>
      <c r="C240" s="12" t="s">
        <v>259</v>
      </c>
      <c r="D240" s="12" t="s">
        <v>37</v>
      </c>
      <c r="E240" s="12" t="s">
        <v>63</v>
      </c>
      <c r="F240" s="12" t="s">
        <v>43</v>
      </c>
      <c r="G240" s="12" t="s">
        <v>700</v>
      </c>
      <c r="H240" s="6">
        <v>42914.745833333334</v>
      </c>
      <c r="I240" s="6">
        <v>42914.748692129629</v>
      </c>
      <c r="J240" s="6">
        <v>42927.530740740738</v>
      </c>
      <c r="K240" s="69">
        <v>42943.432199074072</v>
      </c>
      <c r="L240" s="13" t="s">
        <v>225</v>
      </c>
      <c r="M240" s="13">
        <v>5</v>
      </c>
      <c r="N240" s="13">
        <v>5</v>
      </c>
      <c r="O240" s="12">
        <v>0</v>
      </c>
      <c r="P240" s="13">
        <v>10</v>
      </c>
      <c r="Q240" s="13">
        <v>10</v>
      </c>
      <c r="R240" s="33">
        <v>2</v>
      </c>
      <c r="S240" s="33">
        <v>5</v>
      </c>
      <c r="T240" s="33">
        <v>42922.740972222222</v>
      </c>
      <c r="U240" s="33">
        <v>42922.494444444441</v>
      </c>
      <c r="V240" s="33" t="s">
        <v>225</v>
      </c>
      <c r="W240" s="33" t="s">
        <v>688</v>
      </c>
      <c r="X240" s="33" t="s">
        <v>692</v>
      </c>
      <c r="Y240" s="33">
        <v>42916</v>
      </c>
      <c r="Z240" s="33">
        <v>42921</v>
      </c>
      <c r="AA240" s="13">
        <v>825</v>
      </c>
      <c r="AB240" s="13">
        <v>1</v>
      </c>
      <c r="AC240" s="13">
        <f>SUMIF(Tableau_Liste_UO[[Code UO]:[Code UO]],Tableau_Liste_KPI[[#This Row],[Code UO]], Tableau_Liste_UO[RAF])</f>
        <v>0</v>
      </c>
      <c r="AD240" s="13" t="e">
        <f>SUMIF(Tableau_Liste_UO[[Code UO]:[Code UO]],Tableau_Liste_KPI[[#This Row],[Code UO]], #REF!)</f>
        <v>#REF!</v>
      </c>
      <c r="AE240" s="34" t="s">
        <v>721</v>
      </c>
      <c r="AF240" s="34" t="s">
        <v>721</v>
      </c>
      <c r="AG240" s="34" t="s">
        <v>225</v>
      </c>
      <c r="AH240" s="34"/>
      <c r="AI240" s="35" t="e">
        <f>IF(Tableau_Liste_KPI[[#This Row],[Charge commandée]]="","",IF(Tableau_Liste_KPI[[#This Row],[Total]]&gt;Tableau_Liste_KPI[[#This Row],[Charge commandée]],"KO",""))</f>
        <v>#REF!</v>
      </c>
      <c r="AJ240" s="35" t="e">
        <f>IF(Tableau_Liste_KPI[[#This Row],[KPI Charges]]="KO",Tableau_Liste_KPI[[#This Row],[Charge commandée]]-Tableau_Liste_KPI[[#This Row],[Total]],"")</f>
        <v>#REF!</v>
      </c>
    </row>
    <row r="241" spans="1:36" ht="12" x14ac:dyDescent="0.2">
      <c r="A241" s="12" t="s">
        <v>87</v>
      </c>
      <c r="B241" s="12" t="s">
        <v>316</v>
      </c>
      <c r="C241" s="12" t="s">
        <v>259</v>
      </c>
      <c r="D241" s="12" t="s">
        <v>37</v>
      </c>
      <c r="E241" s="12" t="s">
        <v>544</v>
      </c>
      <c r="F241" s="12" t="s">
        <v>34</v>
      </c>
      <c r="G241" s="12" t="s">
        <v>702</v>
      </c>
      <c r="H241" s="6">
        <v>42914.736111111109</v>
      </c>
      <c r="I241" s="6">
        <v>42914.737847222219</v>
      </c>
      <c r="J241" s="6" t="s">
        <v>225</v>
      </c>
      <c r="K241" s="69">
        <v>42999.522465277776</v>
      </c>
      <c r="L241" s="13" t="s">
        <v>225</v>
      </c>
      <c r="M241" s="13">
        <v>0</v>
      </c>
      <c r="N241" s="13">
        <v>37</v>
      </c>
      <c r="O241" s="12">
        <v>0</v>
      </c>
      <c r="P241" s="13" t="s">
        <v>225</v>
      </c>
      <c r="Q241" s="13">
        <v>37</v>
      </c>
      <c r="R241" s="33" t="s">
        <v>225</v>
      </c>
      <c r="S241" s="33" t="s">
        <v>225</v>
      </c>
      <c r="T241" s="33" t="s">
        <v>225</v>
      </c>
      <c r="U241" s="33" t="s">
        <v>225</v>
      </c>
      <c r="V241" s="33" t="s">
        <v>225</v>
      </c>
      <c r="W241" s="33" t="s">
        <v>688</v>
      </c>
      <c r="X241" s="33" t="s">
        <v>690</v>
      </c>
      <c r="Y241" s="33">
        <v>42947.75</v>
      </c>
      <c r="Z241" s="33">
        <v>42947.75</v>
      </c>
      <c r="AA241" s="13">
        <v>2475</v>
      </c>
      <c r="AB241" s="13">
        <v>3.3</v>
      </c>
      <c r="AC241" s="13">
        <f>SUMIF(Tableau_Liste_UO[[Code UO]:[Code UO]],Tableau_Liste_KPI[[#This Row],[Code UO]], Tableau_Liste_UO[RAF])</f>
        <v>0</v>
      </c>
      <c r="AD241" s="13" t="e">
        <f>SUMIF(Tableau_Liste_UO[[Code UO]:[Code UO]],Tableau_Liste_KPI[[#This Row],[Code UO]], #REF!)</f>
        <v>#REF!</v>
      </c>
      <c r="AE241" s="34" t="s">
        <v>225</v>
      </c>
      <c r="AF241" s="34" t="s">
        <v>225</v>
      </c>
      <c r="AG241" s="34" t="s">
        <v>225</v>
      </c>
      <c r="AH241" s="34"/>
      <c r="AI241" s="35" t="e">
        <f>IF(Tableau_Liste_KPI[[#This Row],[Charge commandée]]="","",IF(Tableau_Liste_KPI[[#This Row],[Total]]&gt;Tableau_Liste_KPI[[#This Row],[Charge commandée]],"KO",""))</f>
        <v>#REF!</v>
      </c>
      <c r="AJ241" s="35" t="e">
        <f>IF(Tableau_Liste_KPI[[#This Row],[KPI Charges]]="KO",Tableau_Liste_KPI[[#This Row],[Charge commandée]]-Tableau_Liste_KPI[[#This Row],[Total]],"")</f>
        <v>#REF!</v>
      </c>
    </row>
    <row r="242" spans="1:36" ht="12" x14ac:dyDescent="0.2">
      <c r="A242" s="12" t="s">
        <v>88</v>
      </c>
      <c r="B242" s="12" t="s">
        <v>272</v>
      </c>
      <c r="C242" s="12" t="s">
        <v>173</v>
      </c>
      <c r="D242" s="12" t="s">
        <v>37</v>
      </c>
      <c r="E242" s="12" t="s">
        <v>544</v>
      </c>
      <c r="F242" s="12" t="s">
        <v>34</v>
      </c>
      <c r="G242" s="12" t="s">
        <v>702</v>
      </c>
      <c r="H242" s="6">
        <v>42914.606944444444</v>
      </c>
      <c r="I242" s="6">
        <v>42915.427905092591</v>
      </c>
      <c r="J242" s="6" t="s">
        <v>225</v>
      </c>
      <c r="K242" s="69" t="s">
        <v>225</v>
      </c>
      <c r="L242" s="13" t="s">
        <v>225</v>
      </c>
      <c r="M242" s="13">
        <v>0</v>
      </c>
      <c r="N242" s="13">
        <v>0</v>
      </c>
      <c r="O242" s="12">
        <v>0</v>
      </c>
      <c r="P242" s="13" t="s">
        <v>225</v>
      </c>
      <c r="Q242" s="13" t="s">
        <v>225</v>
      </c>
      <c r="R242" s="33" t="s">
        <v>225</v>
      </c>
      <c r="S242" s="33" t="s">
        <v>225</v>
      </c>
      <c r="T242" s="33" t="s">
        <v>225</v>
      </c>
      <c r="U242" s="33" t="s">
        <v>225</v>
      </c>
      <c r="V242" s="33" t="s">
        <v>225</v>
      </c>
      <c r="W242" s="33" t="s">
        <v>688</v>
      </c>
      <c r="X242" s="33" t="s">
        <v>225</v>
      </c>
      <c r="Y242" s="33">
        <v>42915.605555555558</v>
      </c>
      <c r="Z242" s="33">
        <v>42915.605555555558</v>
      </c>
      <c r="AA242" s="13">
        <v>2250</v>
      </c>
      <c r="AB242" s="13">
        <v>3</v>
      </c>
      <c r="AC242" s="13">
        <f>SUMIF(Tableau_Liste_UO[[Code UO]:[Code UO]],Tableau_Liste_KPI[[#This Row],[Code UO]], Tableau_Liste_UO[RAF])</f>
        <v>0</v>
      </c>
      <c r="AD242" s="13" t="e">
        <f>SUMIF(Tableau_Liste_UO[[Code UO]:[Code UO]],Tableau_Liste_KPI[[#This Row],[Code UO]], #REF!)</f>
        <v>#REF!</v>
      </c>
      <c r="AE242" s="34" t="s">
        <v>225</v>
      </c>
      <c r="AF242" s="34" t="s">
        <v>225</v>
      </c>
      <c r="AG242" s="34" t="s">
        <v>225</v>
      </c>
      <c r="AH242" s="34"/>
      <c r="AI242" s="35" t="e">
        <f>IF(Tableau_Liste_KPI[[#This Row],[Charge commandée]]="","",IF(Tableau_Liste_KPI[[#This Row],[Total]]&gt;Tableau_Liste_KPI[[#This Row],[Charge commandée]],"KO",""))</f>
        <v>#REF!</v>
      </c>
      <c r="AJ242" s="35" t="e">
        <f>IF(Tableau_Liste_KPI[[#This Row],[KPI Charges]]="KO",Tableau_Liste_KPI[[#This Row],[Charge commandée]]-Tableau_Liste_KPI[[#This Row],[Total]],"")</f>
        <v>#REF!</v>
      </c>
    </row>
    <row r="243" spans="1:36" ht="12" x14ac:dyDescent="0.2">
      <c r="A243" s="12" t="s">
        <v>89</v>
      </c>
      <c r="B243" s="25" t="s">
        <v>315</v>
      </c>
      <c r="C243" s="12" t="s">
        <v>173</v>
      </c>
      <c r="D243" s="25" t="s">
        <v>37</v>
      </c>
      <c r="E243" s="25" t="s">
        <v>63</v>
      </c>
      <c r="F243" s="25" t="s">
        <v>43</v>
      </c>
      <c r="G243" s="25" t="s">
        <v>700</v>
      </c>
      <c r="H243" s="24">
        <v>42914.454861111109</v>
      </c>
      <c r="I243" s="24">
        <v>42914.456921296296</v>
      </c>
      <c r="J243" s="24" t="s">
        <v>225</v>
      </c>
      <c r="K243" s="71" t="s">
        <v>225</v>
      </c>
      <c r="L243" s="26" t="s">
        <v>225</v>
      </c>
      <c r="M243" s="26">
        <v>5</v>
      </c>
      <c r="N243" s="26">
        <v>-2</v>
      </c>
      <c r="O243" s="25">
        <v>1</v>
      </c>
      <c r="P243" s="26" t="s">
        <v>225</v>
      </c>
      <c r="Q243" s="26">
        <v>3</v>
      </c>
      <c r="R243" s="39">
        <v>2</v>
      </c>
      <c r="S243" s="39">
        <v>5</v>
      </c>
      <c r="T243" s="39">
        <v>42928.454861111109</v>
      </c>
      <c r="U243" s="39">
        <v>42925.708333333336</v>
      </c>
      <c r="V243" s="39" t="s">
        <v>225</v>
      </c>
      <c r="W243" s="39" t="s">
        <v>688</v>
      </c>
      <c r="X243" s="39" t="s">
        <v>225</v>
      </c>
      <c r="Y243" s="39">
        <v>42919</v>
      </c>
      <c r="Z243" s="39">
        <v>42922</v>
      </c>
      <c r="AA243" s="26">
        <v>825</v>
      </c>
      <c r="AB243" s="26">
        <v>1</v>
      </c>
      <c r="AC243" s="26">
        <f>SUMIF(Tableau_Liste_UO[[Code UO]:[Code UO]],Tableau_Liste_KPI[[#This Row],[Code UO]], Tableau_Liste_UO[RAF])</f>
        <v>0</v>
      </c>
      <c r="AD243" s="26" t="e">
        <f>SUMIF(Tableau_Liste_UO[[Code UO]:[Code UO]],Tableau_Liste_KPI[[#This Row],[Code UO]], #REF!)</f>
        <v>#REF!</v>
      </c>
      <c r="AE243" s="40" t="s">
        <v>721</v>
      </c>
      <c r="AF243" s="40" t="s">
        <v>225</v>
      </c>
      <c r="AG243" s="40" t="s">
        <v>225</v>
      </c>
      <c r="AH243" s="40"/>
      <c r="AI243" s="41" t="e">
        <f>IF(Tableau_Liste_KPI[[#This Row],[Charge commandée]]="","",IF(Tableau_Liste_KPI[[#This Row],[Total]]&gt;Tableau_Liste_KPI[[#This Row],[Charge commandée]],"KO",""))</f>
        <v>#REF!</v>
      </c>
      <c r="AJ243" s="41" t="e">
        <f>IF(Tableau_Liste_KPI[[#This Row],[KPI Charges]]="KO",Tableau_Liste_KPI[[#This Row],[Charge commandée]]-Tableau_Liste_KPI[[#This Row],[Total]],"")</f>
        <v>#REF!</v>
      </c>
    </row>
    <row r="244" spans="1:36" ht="12" x14ac:dyDescent="0.2">
      <c r="A244" s="12" t="s">
        <v>90</v>
      </c>
      <c r="B244" s="25" t="s">
        <v>314</v>
      </c>
      <c r="C244" s="12" t="s">
        <v>259</v>
      </c>
      <c r="D244" s="25" t="s">
        <v>33</v>
      </c>
      <c r="E244" s="25" t="s">
        <v>44</v>
      </c>
      <c r="F244" s="25" t="s">
        <v>225</v>
      </c>
      <c r="G244" s="25" t="s">
        <v>689</v>
      </c>
      <c r="H244" s="24">
        <v>42913.706944444442</v>
      </c>
      <c r="I244" s="24">
        <v>42913.707546296297</v>
      </c>
      <c r="J244" s="24">
        <v>42954.528692129628</v>
      </c>
      <c r="K244" s="71">
        <v>42983.691863425927</v>
      </c>
      <c r="L244" s="26" t="s">
        <v>225</v>
      </c>
      <c r="M244" s="26">
        <v>5</v>
      </c>
      <c r="N244" s="26">
        <v>1</v>
      </c>
      <c r="O244" s="25">
        <v>18</v>
      </c>
      <c r="P244" s="26">
        <v>20</v>
      </c>
      <c r="Q244" s="26">
        <v>6</v>
      </c>
      <c r="R244" s="39">
        <v>10</v>
      </c>
      <c r="S244" s="39">
        <v>15</v>
      </c>
      <c r="T244" s="39" t="s">
        <v>225</v>
      </c>
      <c r="U244" s="39">
        <v>42922.62777777778</v>
      </c>
      <c r="V244" s="39" t="s">
        <v>225</v>
      </c>
      <c r="W244" s="39" t="s">
        <v>688</v>
      </c>
      <c r="X244" s="39" t="s">
        <v>690</v>
      </c>
      <c r="Y244" s="39">
        <v>42955</v>
      </c>
      <c r="Z244" s="39">
        <v>42963</v>
      </c>
      <c r="AA244" s="26">
        <v>912</v>
      </c>
      <c r="AB244" s="26">
        <v>1</v>
      </c>
      <c r="AC244" s="26">
        <f>SUMIF(Tableau_Liste_UO[[Code UO]:[Code UO]],Tableau_Liste_KPI[[#This Row],[Code UO]], Tableau_Liste_UO[RAF])</f>
        <v>0</v>
      </c>
      <c r="AD244" s="26" t="e">
        <f>SUMIF(Tableau_Liste_UO[[Code UO]:[Code UO]],Tableau_Liste_KPI[[#This Row],[Code UO]], #REF!)</f>
        <v>#REF!</v>
      </c>
      <c r="AE244" s="40" t="s">
        <v>225</v>
      </c>
      <c r="AF244" s="40" t="s">
        <v>225</v>
      </c>
      <c r="AG244" s="40" t="s">
        <v>225</v>
      </c>
      <c r="AH244" s="40"/>
      <c r="AI244" s="41" t="e">
        <f>IF(Tableau_Liste_KPI[[#This Row],[Charge commandée]]="","",IF(Tableau_Liste_KPI[[#This Row],[Total]]&gt;Tableau_Liste_KPI[[#This Row],[Charge commandée]],"KO",""))</f>
        <v>#REF!</v>
      </c>
      <c r="AJ244" s="41" t="e">
        <f>IF(Tableau_Liste_KPI[[#This Row],[KPI Charges]]="KO",Tableau_Liste_KPI[[#This Row],[Charge commandée]]-Tableau_Liste_KPI[[#This Row],[Total]],"")</f>
        <v>#REF!</v>
      </c>
    </row>
    <row r="245" spans="1:36" ht="12" x14ac:dyDescent="0.2">
      <c r="A245" s="12" t="s">
        <v>91</v>
      </c>
      <c r="B245" s="25" t="s">
        <v>313</v>
      </c>
      <c r="C245" s="12" t="s">
        <v>259</v>
      </c>
      <c r="D245" s="25" t="s">
        <v>37</v>
      </c>
      <c r="E245" s="25" t="s">
        <v>544</v>
      </c>
      <c r="F245" s="25" t="s">
        <v>34</v>
      </c>
      <c r="G245" s="25" t="s">
        <v>702</v>
      </c>
      <c r="H245" s="24">
        <v>42912.71597222222</v>
      </c>
      <c r="I245" s="24">
        <v>42928.699791666666</v>
      </c>
      <c r="J245" s="24" t="s">
        <v>225</v>
      </c>
      <c r="K245" s="71">
        <v>43070.484675925924</v>
      </c>
      <c r="L245" s="26" t="s">
        <v>225</v>
      </c>
      <c r="M245" s="26">
        <v>-1</v>
      </c>
      <c r="N245" s="26">
        <v>30</v>
      </c>
      <c r="O245" s="25">
        <v>0</v>
      </c>
      <c r="P245" s="26" t="s">
        <v>225</v>
      </c>
      <c r="Q245" s="26">
        <v>29</v>
      </c>
      <c r="R245" s="39" t="s">
        <v>225</v>
      </c>
      <c r="S245" s="39" t="s">
        <v>225</v>
      </c>
      <c r="T245" s="39" t="s">
        <v>225</v>
      </c>
      <c r="U245" s="39" t="s">
        <v>225</v>
      </c>
      <c r="V245" s="39" t="s">
        <v>225</v>
      </c>
      <c r="W245" s="39" t="s">
        <v>692</v>
      </c>
      <c r="X245" s="39" t="s">
        <v>707</v>
      </c>
      <c r="Y245" s="39">
        <v>42944.699305555558</v>
      </c>
      <c r="Z245" s="39">
        <v>42944.699305555558</v>
      </c>
      <c r="AA245" s="26">
        <v>24000</v>
      </c>
      <c r="AB245" s="26">
        <v>32</v>
      </c>
      <c r="AC245" s="26">
        <f>SUMIF(Tableau_Liste_UO[[Code UO]:[Code UO]],Tableau_Liste_KPI[[#This Row],[Code UO]], Tableau_Liste_UO[RAF])</f>
        <v>0</v>
      </c>
      <c r="AD245" s="26" t="e">
        <f>SUMIF(Tableau_Liste_UO[[Code UO]:[Code UO]],Tableau_Liste_KPI[[#This Row],[Code UO]], #REF!)</f>
        <v>#REF!</v>
      </c>
      <c r="AE245" s="40" t="s">
        <v>225</v>
      </c>
      <c r="AF245" s="40" t="s">
        <v>225</v>
      </c>
      <c r="AG245" s="40" t="s">
        <v>225</v>
      </c>
      <c r="AH245" s="40"/>
      <c r="AI245" s="41" t="e">
        <f>IF(Tableau_Liste_KPI[[#This Row],[Charge commandée]]="","",IF(Tableau_Liste_KPI[[#This Row],[Total]]&gt;Tableau_Liste_KPI[[#This Row],[Charge commandée]],"KO",""))</f>
        <v>#REF!</v>
      </c>
      <c r="AJ245" s="41" t="e">
        <f>IF(Tableau_Liste_KPI[[#This Row],[KPI Charges]]="KO",Tableau_Liste_KPI[[#This Row],[Charge commandée]]-Tableau_Liste_KPI[[#This Row],[Total]],"")</f>
        <v>#REF!</v>
      </c>
    </row>
    <row r="246" spans="1:36" ht="12" x14ac:dyDescent="0.2">
      <c r="A246" s="12" t="s">
        <v>92</v>
      </c>
      <c r="B246" s="12" t="s">
        <v>284</v>
      </c>
      <c r="C246" s="12" t="s">
        <v>259</v>
      </c>
      <c r="D246" s="12" t="s">
        <v>37</v>
      </c>
      <c r="E246" s="12" t="s">
        <v>540</v>
      </c>
      <c r="F246" s="12" t="s">
        <v>43</v>
      </c>
      <c r="G246" s="12" t="s">
        <v>693</v>
      </c>
      <c r="H246" s="6">
        <v>42912.583333333336</v>
      </c>
      <c r="I246" s="6">
        <v>42913.627326388887</v>
      </c>
      <c r="J246" s="6">
        <v>42969.599722222221</v>
      </c>
      <c r="K246" s="69">
        <v>42972.427557870367</v>
      </c>
      <c r="L246" s="13" t="s">
        <v>225</v>
      </c>
      <c r="M246" s="13">
        <v>3</v>
      </c>
      <c r="N246" s="13">
        <v>29</v>
      </c>
      <c r="O246" s="12">
        <v>5</v>
      </c>
      <c r="P246" s="13">
        <v>3</v>
      </c>
      <c r="Q246" s="13">
        <v>32</v>
      </c>
      <c r="R246" s="33">
        <v>7</v>
      </c>
      <c r="S246" s="33">
        <v>10</v>
      </c>
      <c r="T246" s="33">
        <v>42930.601388888892</v>
      </c>
      <c r="U246" s="33">
        <v>42926.665277777778</v>
      </c>
      <c r="V246" s="33" t="s">
        <v>225</v>
      </c>
      <c r="W246" s="33" t="s">
        <v>688</v>
      </c>
      <c r="X246" s="33" t="s">
        <v>697</v>
      </c>
      <c r="Y246" s="33">
        <v>42933</v>
      </c>
      <c r="Z246" s="33">
        <v>42936</v>
      </c>
      <c r="AA246" s="13">
        <v>4127</v>
      </c>
      <c r="AB246" s="13">
        <v>5.0999999999999996</v>
      </c>
      <c r="AC246" s="13">
        <f>SUMIF(Tableau_Liste_UO[[Code UO]:[Code UO]],Tableau_Liste_KPI[[#This Row],[Code UO]], Tableau_Liste_UO[RAF])</f>
        <v>0</v>
      </c>
      <c r="AD246" s="13" t="e">
        <f>SUMIF(Tableau_Liste_UO[[Code UO]:[Code UO]],Tableau_Liste_KPI[[#This Row],[Code UO]], #REF!)</f>
        <v>#REF!</v>
      </c>
      <c r="AE246" s="34" t="s">
        <v>721</v>
      </c>
      <c r="AF246" s="34" t="s">
        <v>721</v>
      </c>
      <c r="AG246" s="34" t="s">
        <v>225</v>
      </c>
      <c r="AH246" s="34"/>
      <c r="AI246" s="35" t="e">
        <f>IF(Tableau_Liste_KPI[[#This Row],[Charge commandée]]="","",IF(Tableau_Liste_KPI[[#This Row],[Total]]&gt;Tableau_Liste_KPI[[#This Row],[Charge commandée]],"KO",""))</f>
        <v>#REF!</v>
      </c>
      <c r="AJ246" s="35" t="e">
        <f>IF(Tableau_Liste_KPI[[#This Row],[KPI Charges]]="KO",Tableau_Liste_KPI[[#This Row],[Charge commandée]]-Tableau_Liste_KPI[[#This Row],[Total]],"")</f>
        <v>#REF!</v>
      </c>
    </row>
    <row r="247" spans="1:36" ht="12" x14ac:dyDescent="0.2">
      <c r="A247" s="12" t="s">
        <v>93</v>
      </c>
      <c r="B247" s="12" t="s">
        <v>312</v>
      </c>
      <c r="C247" s="12" t="s">
        <v>259</v>
      </c>
      <c r="D247" s="12" t="s">
        <v>37</v>
      </c>
      <c r="E247" s="12" t="s">
        <v>63</v>
      </c>
      <c r="F247" s="12" t="s">
        <v>43</v>
      </c>
      <c r="G247" s="12" t="s">
        <v>700</v>
      </c>
      <c r="H247" s="6">
        <v>42908.790277777778</v>
      </c>
      <c r="I247" s="6">
        <v>42915.60696759259</v>
      </c>
      <c r="J247" s="6">
        <v>42921.742418981485</v>
      </c>
      <c r="K247" s="69">
        <v>42936.596631944441</v>
      </c>
      <c r="L247" s="13" t="s">
        <v>225</v>
      </c>
      <c r="M247" s="13">
        <v>0</v>
      </c>
      <c r="N247" s="13">
        <v>4</v>
      </c>
      <c r="O247" s="12">
        <v>0</v>
      </c>
      <c r="P247" s="13">
        <v>9</v>
      </c>
      <c r="Q247" s="13">
        <v>4</v>
      </c>
      <c r="R247" s="33">
        <v>2</v>
      </c>
      <c r="S247" s="33">
        <v>5</v>
      </c>
      <c r="T247" s="33">
        <v>42915.5</v>
      </c>
      <c r="U247" s="33">
        <v>42916.646527777775</v>
      </c>
      <c r="V247" s="33" t="s">
        <v>225</v>
      </c>
      <c r="W247" s="33" t="s">
        <v>688</v>
      </c>
      <c r="X247" s="33" t="s">
        <v>692</v>
      </c>
      <c r="Y247" s="33">
        <v>42919</v>
      </c>
      <c r="Z247" s="33">
        <v>42922</v>
      </c>
      <c r="AA247" s="13">
        <v>825</v>
      </c>
      <c r="AB247" s="13">
        <v>1</v>
      </c>
      <c r="AC247" s="13">
        <f>SUMIF(Tableau_Liste_UO[[Code UO]:[Code UO]],Tableau_Liste_KPI[[#This Row],[Code UO]], Tableau_Liste_UO[RAF])</f>
        <v>0</v>
      </c>
      <c r="AD247" s="13" t="e">
        <f>SUMIF(Tableau_Liste_UO[[Code UO]:[Code UO]],Tableau_Liste_KPI[[#This Row],[Code UO]], #REF!)</f>
        <v>#REF!</v>
      </c>
      <c r="AE247" s="34" t="s">
        <v>721</v>
      </c>
      <c r="AF247" s="34" t="s">
        <v>225</v>
      </c>
      <c r="AG247" s="34" t="s">
        <v>225</v>
      </c>
      <c r="AH247" s="34"/>
      <c r="AI247" s="35" t="e">
        <f>IF(Tableau_Liste_KPI[[#This Row],[Charge commandée]]="","",IF(Tableau_Liste_KPI[[#This Row],[Total]]&gt;Tableau_Liste_KPI[[#This Row],[Charge commandée]],"KO",""))</f>
        <v>#REF!</v>
      </c>
      <c r="AJ247" s="35" t="e">
        <f>IF(Tableau_Liste_KPI[[#This Row],[KPI Charges]]="KO",Tableau_Liste_KPI[[#This Row],[Charge commandée]]-Tableau_Liste_KPI[[#This Row],[Total]],"")</f>
        <v>#REF!</v>
      </c>
    </row>
    <row r="248" spans="1:36" ht="12" x14ac:dyDescent="0.2">
      <c r="A248" s="12" t="s">
        <v>311</v>
      </c>
      <c r="B248" s="25" t="s">
        <v>267</v>
      </c>
      <c r="C248" s="12" t="s">
        <v>309</v>
      </c>
      <c r="D248" s="25" t="s">
        <v>37</v>
      </c>
      <c r="E248" s="25" t="s">
        <v>176</v>
      </c>
      <c r="F248" s="25" t="s">
        <v>114</v>
      </c>
      <c r="G248" s="25" t="s">
        <v>720</v>
      </c>
      <c r="H248" s="24">
        <v>42908.705555555556</v>
      </c>
      <c r="I248" s="24" t="s">
        <v>225</v>
      </c>
      <c r="J248" s="24" t="s">
        <v>225</v>
      </c>
      <c r="K248" s="71" t="s">
        <v>225</v>
      </c>
      <c r="L248" s="26">
        <v>182.2944444444438</v>
      </c>
      <c r="M248" s="26">
        <v>0</v>
      </c>
      <c r="N248" s="26">
        <v>0</v>
      </c>
      <c r="O248" s="25">
        <v>0</v>
      </c>
      <c r="P248" s="26" t="s">
        <v>225</v>
      </c>
      <c r="Q248" s="26" t="s">
        <v>225</v>
      </c>
      <c r="R248" s="39">
        <v>2</v>
      </c>
      <c r="S248" s="39">
        <v>2</v>
      </c>
      <c r="T248" s="39">
        <v>42993.705555555556</v>
      </c>
      <c r="U248" s="39" t="s">
        <v>225</v>
      </c>
      <c r="V248" s="39" t="s">
        <v>225</v>
      </c>
      <c r="W248" s="39" t="s">
        <v>225</v>
      </c>
      <c r="X248" s="39" t="s">
        <v>225</v>
      </c>
      <c r="Y248" s="39" t="s">
        <v>225</v>
      </c>
      <c r="Z248" s="39" t="s">
        <v>225</v>
      </c>
      <c r="AA248" s="26">
        <v>702</v>
      </c>
      <c r="AB248" s="26">
        <v>1</v>
      </c>
      <c r="AC248" s="26">
        <f>SUMIF(Tableau_Liste_UO[[Code UO]:[Code UO]],Tableau_Liste_KPI[[#This Row],[Code UO]], Tableau_Liste_UO[RAF])</f>
        <v>0</v>
      </c>
      <c r="AD248" s="26" t="e">
        <f>SUMIF(Tableau_Liste_UO[[Code UO]:[Code UO]],Tableau_Liste_KPI[[#This Row],[Code UO]], #REF!)</f>
        <v>#REF!</v>
      </c>
      <c r="AE248" s="40" t="s">
        <v>225</v>
      </c>
      <c r="AF248" s="40" t="s">
        <v>225</v>
      </c>
      <c r="AG248" s="40" t="s">
        <v>225</v>
      </c>
      <c r="AH248" s="40"/>
      <c r="AI248" s="41" t="e">
        <f>IF(Tableau_Liste_KPI[[#This Row],[Charge commandée]]="","",IF(Tableau_Liste_KPI[[#This Row],[Total]]&gt;Tableau_Liste_KPI[[#This Row],[Charge commandée]],"KO",""))</f>
        <v>#REF!</v>
      </c>
      <c r="AJ248" s="41" t="e">
        <f>IF(Tableau_Liste_KPI[[#This Row],[KPI Charges]]="KO",Tableau_Liste_KPI[[#This Row],[Charge commandée]]-Tableau_Liste_KPI[[#This Row],[Total]],"")</f>
        <v>#REF!</v>
      </c>
    </row>
    <row r="249" spans="1:36" ht="12" x14ac:dyDescent="0.2">
      <c r="A249" s="12" t="s">
        <v>310</v>
      </c>
      <c r="B249" s="12" t="s">
        <v>267</v>
      </c>
      <c r="C249" s="12" t="s">
        <v>309</v>
      </c>
      <c r="D249" s="25" t="s">
        <v>37</v>
      </c>
      <c r="E249" s="25" t="s">
        <v>541</v>
      </c>
      <c r="F249" s="25" t="s">
        <v>114</v>
      </c>
      <c r="G249" s="25" t="s">
        <v>719</v>
      </c>
      <c r="H249" s="24">
        <v>42908.704861111109</v>
      </c>
      <c r="I249" s="24" t="s">
        <v>225</v>
      </c>
      <c r="J249" s="24" t="s">
        <v>225</v>
      </c>
      <c r="K249" s="71" t="s">
        <v>225</v>
      </c>
      <c r="L249" s="26">
        <v>182.29513888889051</v>
      </c>
      <c r="M249" s="26">
        <v>0</v>
      </c>
      <c r="N249" s="26">
        <v>0</v>
      </c>
      <c r="O249" s="25">
        <v>0</v>
      </c>
      <c r="P249" s="26" t="s">
        <v>225</v>
      </c>
      <c r="Q249" s="26" t="s">
        <v>225</v>
      </c>
      <c r="R249" s="39">
        <v>50</v>
      </c>
      <c r="S249" s="39">
        <v>60</v>
      </c>
      <c r="T249" s="39">
        <v>42993.704861111109</v>
      </c>
      <c r="U249" s="39" t="s">
        <v>225</v>
      </c>
      <c r="V249" s="39" t="s">
        <v>225</v>
      </c>
      <c r="W249" s="39" t="s">
        <v>225</v>
      </c>
      <c r="X249" s="39" t="s">
        <v>225</v>
      </c>
      <c r="Y249" s="39" t="s">
        <v>225</v>
      </c>
      <c r="Z249" s="39" t="s">
        <v>225</v>
      </c>
      <c r="AA249" s="26">
        <v>12102</v>
      </c>
      <c r="AB249" s="26">
        <v>15.2</v>
      </c>
      <c r="AC249" s="26">
        <f>SUMIF(Tableau_Liste_UO[[Code UO]:[Code UO]],Tableau_Liste_KPI[[#This Row],[Code UO]], Tableau_Liste_UO[RAF])</f>
        <v>0</v>
      </c>
      <c r="AD249" s="26" t="e">
        <f>SUMIF(Tableau_Liste_UO[[Code UO]:[Code UO]],Tableau_Liste_KPI[[#This Row],[Code UO]], #REF!)</f>
        <v>#REF!</v>
      </c>
      <c r="AE249" s="40" t="s">
        <v>225</v>
      </c>
      <c r="AF249" s="40" t="s">
        <v>225</v>
      </c>
      <c r="AG249" s="40" t="s">
        <v>225</v>
      </c>
      <c r="AH249" s="40"/>
      <c r="AI249" s="41" t="e">
        <f>IF(Tableau_Liste_KPI[[#This Row],[Charge commandée]]="","",IF(Tableau_Liste_KPI[[#This Row],[Total]]&gt;Tableau_Liste_KPI[[#This Row],[Charge commandée]],"KO",""))</f>
        <v>#REF!</v>
      </c>
      <c r="AJ249" s="41" t="e">
        <f>IF(Tableau_Liste_KPI[[#This Row],[KPI Charges]]="KO",Tableau_Liste_KPI[[#This Row],[Charge commandée]]-Tableau_Liste_KPI[[#This Row],[Total]],"")</f>
        <v>#REF!</v>
      </c>
    </row>
    <row r="250" spans="1:36" ht="12" x14ac:dyDescent="0.2">
      <c r="A250" s="12" t="s">
        <v>308</v>
      </c>
      <c r="B250" s="25" t="s">
        <v>267</v>
      </c>
      <c r="C250" s="12" t="s">
        <v>309</v>
      </c>
      <c r="D250" s="25" t="s">
        <v>37</v>
      </c>
      <c r="E250" s="25" t="s">
        <v>544</v>
      </c>
      <c r="F250" s="25" t="s">
        <v>34</v>
      </c>
      <c r="G250" s="25" t="s">
        <v>702</v>
      </c>
      <c r="H250" s="24">
        <v>42908.70416666667</v>
      </c>
      <c r="I250" s="24" t="s">
        <v>225</v>
      </c>
      <c r="J250" s="24" t="s">
        <v>225</v>
      </c>
      <c r="K250" s="71" t="s">
        <v>225</v>
      </c>
      <c r="L250" s="26">
        <v>182.29583333332994</v>
      </c>
      <c r="M250" s="26">
        <v>0</v>
      </c>
      <c r="N250" s="26">
        <v>0</v>
      </c>
      <c r="O250" s="25">
        <v>0</v>
      </c>
      <c r="P250" s="26" t="s">
        <v>225</v>
      </c>
      <c r="Q250" s="26" t="s">
        <v>225</v>
      </c>
      <c r="R250" s="39" t="s">
        <v>225</v>
      </c>
      <c r="S250" s="39" t="s">
        <v>225</v>
      </c>
      <c r="T250" s="39" t="s">
        <v>225</v>
      </c>
      <c r="U250" s="39" t="s">
        <v>225</v>
      </c>
      <c r="V250" s="39" t="s">
        <v>225</v>
      </c>
      <c r="W250" s="39" t="s">
        <v>225</v>
      </c>
      <c r="X250" s="39" t="s">
        <v>225</v>
      </c>
      <c r="Y250" s="39">
        <v>0</v>
      </c>
      <c r="Z250" s="39">
        <v>0</v>
      </c>
      <c r="AA250" s="26">
        <v>0</v>
      </c>
      <c r="AB250" s="26">
        <v>0</v>
      </c>
      <c r="AC250" s="26">
        <f>SUMIF(Tableau_Liste_UO[[Code UO]:[Code UO]],Tableau_Liste_KPI[[#This Row],[Code UO]], Tableau_Liste_UO[RAF])</f>
        <v>0</v>
      </c>
      <c r="AD250" s="26" t="e">
        <f>SUMIF(Tableau_Liste_UO[[Code UO]:[Code UO]],Tableau_Liste_KPI[[#This Row],[Code UO]], #REF!)</f>
        <v>#REF!</v>
      </c>
      <c r="AE250" s="40" t="s">
        <v>225</v>
      </c>
      <c r="AF250" s="40" t="s">
        <v>225</v>
      </c>
      <c r="AG250" s="40" t="s">
        <v>225</v>
      </c>
      <c r="AH250" s="40"/>
      <c r="AI250" s="41" t="e">
        <f>IF(Tableau_Liste_KPI[[#This Row],[Charge commandée]]="","",IF(Tableau_Liste_KPI[[#This Row],[Total]]&gt;Tableau_Liste_KPI[[#This Row],[Charge commandée]],"KO",""))</f>
        <v>#REF!</v>
      </c>
      <c r="AJ250" s="41" t="e">
        <f>IF(Tableau_Liste_KPI[[#This Row],[KPI Charges]]="KO",Tableau_Liste_KPI[[#This Row],[Charge commandée]]-Tableau_Liste_KPI[[#This Row],[Total]],"")</f>
        <v>#REF!</v>
      </c>
    </row>
    <row r="251" spans="1:36" ht="12" x14ac:dyDescent="0.2">
      <c r="A251" s="12" t="s">
        <v>307</v>
      </c>
      <c r="B251" s="12" t="s">
        <v>267</v>
      </c>
      <c r="C251" s="12" t="s">
        <v>281</v>
      </c>
      <c r="D251" s="12" t="s">
        <v>37</v>
      </c>
      <c r="E251" s="12" t="s">
        <v>544</v>
      </c>
      <c r="F251" s="12" t="s">
        <v>34</v>
      </c>
      <c r="G251" s="12" t="s">
        <v>702</v>
      </c>
      <c r="H251" s="6">
        <v>42908.702777777777</v>
      </c>
      <c r="I251" s="6">
        <v>43033.500937500001</v>
      </c>
      <c r="J251" s="6" t="s">
        <v>225</v>
      </c>
      <c r="K251" s="69" t="s">
        <v>225</v>
      </c>
      <c r="L251" s="13" t="s">
        <v>225</v>
      </c>
      <c r="M251" s="13">
        <v>0</v>
      </c>
      <c r="N251" s="13">
        <v>41</v>
      </c>
      <c r="O251" s="12">
        <v>0</v>
      </c>
      <c r="P251" s="13" t="s">
        <v>225</v>
      </c>
      <c r="Q251" s="13">
        <v>41</v>
      </c>
      <c r="R251" s="33" t="s">
        <v>225</v>
      </c>
      <c r="S251" s="33" t="s">
        <v>225</v>
      </c>
      <c r="T251" s="33" t="s">
        <v>225</v>
      </c>
      <c r="U251" s="33" t="s">
        <v>225</v>
      </c>
      <c r="V251" s="33" t="s">
        <v>225</v>
      </c>
      <c r="W251" s="33" t="s">
        <v>703</v>
      </c>
      <c r="X251" s="33" t="s">
        <v>225</v>
      </c>
      <c r="Y251" s="33">
        <v>43069.5</v>
      </c>
      <c r="Z251" s="33">
        <v>43069.5</v>
      </c>
      <c r="AA251" s="13">
        <v>36750</v>
      </c>
      <c r="AB251" s="13">
        <v>49</v>
      </c>
      <c r="AC251" s="13">
        <f>SUMIF(Tableau_Liste_UO[[Code UO]:[Code UO]],Tableau_Liste_KPI[[#This Row],[Code UO]], Tableau_Liste_UO[RAF])</f>
        <v>0</v>
      </c>
      <c r="AD251" s="13" t="e">
        <f>SUMIF(Tableau_Liste_UO[[Code UO]:[Code UO]],Tableau_Liste_KPI[[#This Row],[Code UO]], #REF!)</f>
        <v>#REF!</v>
      </c>
      <c r="AE251" s="34" t="s">
        <v>225</v>
      </c>
      <c r="AF251" s="34" t="s">
        <v>225</v>
      </c>
      <c r="AG251" s="34" t="s">
        <v>225</v>
      </c>
      <c r="AH251" s="34"/>
      <c r="AI251" s="35" t="e">
        <f>IF(Tableau_Liste_KPI[[#This Row],[Charge commandée]]="","",IF(Tableau_Liste_KPI[[#This Row],[Total]]&gt;Tableau_Liste_KPI[[#This Row],[Charge commandée]],"KO",""))</f>
        <v>#REF!</v>
      </c>
      <c r="AJ251" s="35" t="e">
        <f>IF(Tableau_Liste_KPI[[#This Row],[KPI Charges]]="KO",Tableau_Liste_KPI[[#This Row],[Charge commandée]]-Tableau_Liste_KPI[[#This Row],[Total]],"")</f>
        <v>#REF!</v>
      </c>
    </row>
    <row r="252" spans="1:36" ht="12" x14ac:dyDescent="0.2">
      <c r="A252" s="12" t="s">
        <v>94</v>
      </c>
      <c r="B252" s="12" t="s">
        <v>306</v>
      </c>
      <c r="C252" s="12" t="s">
        <v>173</v>
      </c>
      <c r="D252" s="12" t="s">
        <v>37</v>
      </c>
      <c r="E252" s="12" t="s">
        <v>540</v>
      </c>
      <c r="F252" s="12" t="s">
        <v>43</v>
      </c>
      <c r="G252" s="12" t="s">
        <v>693</v>
      </c>
      <c r="H252" s="6">
        <v>42908.428472222222</v>
      </c>
      <c r="I252" s="6">
        <v>42915.434293981481</v>
      </c>
      <c r="J252" s="6" t="s">
        <v>225</v>
      </c>
      <c r="K252" s="69" t="s">
        <v>225</v>
      </c>
      <c r="L252" s="13" t="s">
        <v>225</v>
      </c>
      <c r="M252" s="13">
        <v>0</v>
      </c>
      <c r="N252" s="13">
        <v>55</v>
      </c>
      <c r="O252" s="12">
        <v>16</v>
      </c>
      <c r="P252" s="13" t="s">
        <v>225</v>
      </c>
      <c r="Q252" s="13">
        <v>55</v>
      </c>
      <c r="R252" s="33">
        <v>7</v>
      </c>
      <c r="S252" s="33">
        <v>10</v>
      </c>
      <c r="T252" s="33">
        <v>42937.425000000003</v>
      </c>
      <c r="U252" s="33">
        <v>42926.666666666664</v>
      </c>
      <c r="V252" s="33">
        <v>43028.760416666664</v>
      </c>
      <c r="W252" s="33" t="s">
        <v>688</v>
      </c>
      <c r="X252" s="33" t="s">
        <v>225</v>
      </c>
      <c r="Y252" s="33">
        <v>42950</v>
      </c>
      <c r="Z252" s="33">
        <v>42955</v>
      </c>
      <c r="AA252" s="13">
        <v>4127</v>
      </c>
      <c r="AB252" s="13">
        <v>5.0999999999999996</v>
      </c>
      <c r="AC252" s="13">
        <f>SUMIF(Tableau_Liste_UO[[Code UO]:[Code UO]],Tableau_Liste_KPI[[#This Row],[Code UO]], Tableau_Liste_UO[RAF])</f>
        <v>0</v>
      </c>
      <c r="AD252" s="13" t="e">
        <f>SUMIF(Tableau_Liste_UO[[Code UO]:[Code UO]],Tableau_Liste_KPI[[#This Row],[Code UO]], #REF!)</f>
        <v>#REF!</v>
      </c>
      <c r="AE252" s="34" t="s">
        <v>721</v>
      </c>
      <c r="AF252" s="34" t="s">
        <v>721</v>
      </c>
      <c r="AG252" s="34" t="s">
        <v>225</v>
      </c>
      <c r="AH252" s="34"/>
      <c r="AI252" s="35" t="e">
        <f>IF(Tableau_Liste_KPI[[#This Row],[Charge commandée]]="","",IF(Tableau_Liste_KPI[[#This Row],[Total]]&gt;Tableau_Liste_KPI[[#This Row],[Charge commandée]],"KO",""))</f>
        <v>#REF!</v>
      </c>
      <c r="AJ252" s="35" t="e">
        <f>IF(Tableau_Liste_KPI[[#This Row],[KPI Charges]]="KO",Tableau_Liste_KPI[[#This Row],[Charge commandée]]-Tableau_Liste_KPI[[#This Row],[Total]],"")</f>
        <v>#REF!</v>
      </c>
    </row>
    <row r="253" spans="1:36" ht="12" x14ac:dyDescent="0.2">
      <c r="A253" s="12" t="s">
        <v>95</v>
      </c>
      <c r="B253" s="12" t="s">
        <v>616</v>
      </c>
      <c r="C253" s="12" t="s">
        <v>259</v>
      </c>
      <c r="D253" s="12" t="s">
        <v>37</v>
      </c>
      <c r="E253" s="12" t="s">
        <v>540</v>
      </c>
      <c r="F253" s="12" t="s">
        <v>43</v>
      </c>
      <c r="G253" s="12" t="s">
        <v>693</v>
      </c>
      <c r="H253" s="6">
        <v>42907.75</v>
      </c>
      <c r="I253" s="6">
        <v>42907.751539351855</v>
      </c>
      <c r="J253" s="6">
        <v>42921.742858796293</v>
      </c>
      <c r="K253" s="69">
        <v>42979.777986111112</v>
      </c>
      <c r="L253" s="13" t="s">
        <v>225</v>
      </c>
      <c r="M253" s="13">
        <v>2</v>
      </c>
      <c r="N253" s="13">
        <v>9</v>
      </c>
      <c r="O253" s="12">
        <v>0</v>
      </c>
      <c r="P253" s="13">
        <v>39</v>
      </c>
      <c r="Q253" s="13">
        <v>11</v>
      </c>
      <c r="R253" s="33">
        <v>7</v>
      </c>
      <c r="S253" s="33">
        <v>10</v>
      </c>
      <c r="T253" s="33">
        <v>42913.74722222222</v>
      </c>
      <c r="U253" s="33">
        <v>42919.638194444444</v>
      </c>
      <c r="V253" s="33" t="s">
        <v>225</v>
      </c>
      <c r="W253" s="33" t="s">
        <v>688</v>
      </c>
      <c r="X253" s="33" t="s">
        <v>690</v>
      </c>
      <c r="Y253" s="33">
        <v>42916</v>
      </c>
      <c r="Z253" s="33">
        <v>42921</v>
      </c>
      <c r="AA253" s="13">
        <v>4127</v>
      </c>
      <c r="AB253" s="13">
        <v>5.0999999999999996</v>
      </c>
      <c r="AC253" s="13">
        <f>SUMIF(Tableau_Liste_UO[[Code UO]:[Code UO]],Tableau_Liste_KPI[[#This Row],[Code UO]], Tableau_Liste_UO[RAF])</f>
        <v>0</v>
      </c>
      <c r="AD253" s="13" t="e">
        <f>SUMIF(Tableau_Liste_UO[[Code UO]:[Code UO]],Tableau_Liste_KPI[[#This Row],[Code UO]], #REF!)</f>
        <v>#REF!</v>
      </c>
      <c r="AE253" s="34" t="s">
        <v>721</v>
      </c>
      <c r="AF253" s="34" t="s">
        <v>721</v>
      </c>
      <c r="AG253" s="34" t="s">
        <v>225</v>
      </c>
      <c r="AH253" s="34"/>
      <c r="AI253" s="35" t="e">
        <f>IF(Tableau_Liste_KPI[[#This Row],[Charge commandée]]="","",IF(Tableau_Liste_KPI[[#This Row],[Total]]&gt;Tableau_Liste_KPI[[#This Row],[Charge commandée]],"KO",""))</f>
        <v>#REF!</v>
      </c>
      <c r="AJ253" s="35" t="e">
        <f>IF(Tableau_Liste_KPI[[#This Row],[KPI Charges]]="KO",Tableau_Liste_KPI[[#This Row],[Charge commandée]]-Tableau_Liste_KPI[[#This Row],[Total]],"")</f>
        <v>#REF!</v>
      </c>
    </row>
    <row r="254" spans="1:36" ht="12" x14ac:dyDescent="0.2">
      <c r="A254" s="12" t="s">
        <v>96</v>
      </c>
      <c r="B254" s="12" t="s">
        <v>305</v>
      </c>
      <c r="C254" s="12" t="s">
        <v>259</v>
      </c>
      <c r="D254" s="12" t="s">
        <v>37</v>
      </c>
      <c r="E254" s="12" t="s">
        <v>544</v>
      </c>
      <c r="F254" s="12" t="s">
        <v>34</v>
      </c>
      <c r="G254" s="12" t="s">
        <v>702</v>
      </c>
      <c r="H254" s="6">
        <v>42906.674305555556</v>
      </c>
      <c r="I254" s="6">
        <v>42906.674699074072</v>
      </c>
      <c r="J254" s="6">
        <v>42934.6484837963</v>
      </c>
      <c r="K254" s="69">
        <v>43068.682303240741</v>
      </c>
      <c r="L254" s="13" t="s">
        <v>225</v>
      </c>
      <c r="M254" s="13">
        <v>0</v>
      </c>
      <c r="N254" s="13">
        <v>85</v>
      </c>
      <c r="O254" s="12">
        <v>0</v>
      </c>
      <c r="P254" s="13" t="s">
        <v>225</v>
      </c>
      <c r="Q254" s="13">
        <v>85</v>
      </c>
      <c r="R254" s="33" t="s">
        <v>225</v>
      </c>
      <c r="S254" s="33" t="s">
        <v>225</v>
      </c>
      <c r="T254" s="33" t="s">
        <v>225</v>
      </c>
      <c r="U254" s="33" t="s">
        <v>225</v>
      </c>
      <c r="V254" s="33" t="s">
        <v>225</v>
      </c>
      <c r="W254" s="33" t="s">
        <v>688</v>
      </c>
      <c r="X254" s="33" t="s">
        <v>694</v>
      </c>
      <c r="Y254" s="33">
        <v>42916.67083333333</v>
      </c>
      <c r="Z254" s="33">
        <v>42916.67083333333</v>
      </c>
      <c r="AA254" s="13">
        <v>750</v>
      </c>
      <c r="AB254" s="13">
        <v>1</v>
      </c>
      <c r="AC254" s="13">
        <f>SUMIF(Tableau_Liste_UO[[Code UO]:[Code UO]],Tableau_Liste_KPI[[#This Row],[Code UO]], Tableau_Liste_UO[RAF])</f>
        <v>0</v>
      </c>
      <c r="AD254" s="13" t="e">
        <f>SUMIF(Tableau_Liste_UO[[Code UO]:[Code UO]],Tableau_Liste_KPI[[#This Row],[Code UO]], #REF!)</f>
        <v>#REF!</v>
      </c>
      <c r="AE254" s="34" t="s">
        <v>225</v>
      </c>
      <c r="AF254" s="34" t="s">
        <v>225</v>
      </c>
      <c r="AG254" s="34" t="s">
        <v>225</v>
      </c>
      <c r="AH254" s="34"/>
      <c r="AI254" s="35" t="e">
        <f>IF(Tableau_Liste_KPI[[#This Row],[Charge commandée]]="","",IF(Tableau_Liste_KPI[[#This Row],[Total]]&gt;Tableau_Liste_KPI[[#This Row],[Charge commandée]],"KO",""))</f>
        <v>#REF!</v>
      </c>
      <c r="AJ254" s="35" t="e">
        <f>IF(Tableau_Liste_KPI[[#This Row],[KPI Charges]]="KO",Tableau_Liste_KPI[[#This Row],[Charge commandée]]-Tableau_Liste_KPI[[#This Row],[Total]],"")</f>
        <v>#REF!</v>
      </c>
    </row>
    <row r="255" spans="1:36" ht="12" x14ac:dyDescent="0.2">
      <c r="A255" s="12" t="s">
        <v>97</v>
      </c>
      <c r="B255" s="12" t="s">
        <v>617</v>
      </c>
      <c r="C255" s="12" t="s">
        <v>259</v>
      </c>
      <c r="D255" s="12" t="s">
        <v>33</v>
      </c>
      <c r="E255" s="12" t="s">
        <v>539</v>
      </c>
      <c r="F255" s="12" t="s">
        <v>43</v>
      </c>
      <c r="G255" s="12" t="s">
        <v>698</v>
      </c>
      <c r="H255" s="6">
        <v>42906.673611111109</v>
      </c>
      <c r="I255" s="6">
        <v>42906.673993055556</v>
      </c>
      <c r="J255" s="6">
        <v>42921.726435185185</v>
      </c>
      <c r="K255" s="69">
        <v>42922.387719907405</v>
      </c>
      <c r="L255" s="13" t="s">
        <v>225</v>
      </c>
      <c r="M255" s="13">
        <v>2</v>
      </c>
      <c r="N255" s="13">
        <v>10</v>
      </c>
      <c r="O255" s="12">
        <v>0</v>
      </c>
      <c r="P255" s="13">
        <v>1</v>
      </c>
      <c r="Q255" s="13">
        <v>12</v>
      </c>
      <c r="R255" s="33">
        <v>5</v>
      </c>
      <c r="S255" s="33">
        <v>8</v>
      </c>
      <c r="T255" s="33" t="s">
        <v>225</v>
      </c>
      <c r="U255" s="33">
        <v>42913.406944444447</v>
      </c>
      <c r="V255" s="33" t="s">
        <v>225</v>
      </c>
      <c r="W255" s="33" t="s">
        <v>688</v>
      </c>
      <c r="X255" s="33" t="s">
        <v>692</v>
      </c>
      <c r="Y255" s="33">
        <v>42913</v>
      </c>
      <c r="Z255" s="33">
        <v>42916</v>
      </c>
      <c r="AA255" s="13">
        <v>1522</v>
      </c>
      <c r="AB255" s="13">
        <v>2</v>
      </c>
      <c r="AC255" s="13">
        <f>SUMIF(Tableau_Liste_UO[[Code UO]:[Code UO]],Tableau_Liste_KPI[[#This Row],[Code UO]], Tableau_Liste_UO[RAF])</f>
        <v>0</v>
      </c>
      <c r="AD255" s="13" t="e">
        <f>SUMIF(Tableau_Liste_UO[[Code UO]:[Code UO]],Tableau_Liste_KPI[[#This Row],[Code UO]], #REF!)</f>
        <v>#REF!</v>
      </c>
      <c r="AE255" s="34" t="s">
        <v>721</v>
      </c>
      <c r="AF255" s="34" t="s">
        <v>721</v>
      </c>
      <c r="AG255" s="34" t="s">
        <v>225</v>
      </c>
      <c r="AH255" s="34"/>
      <c r="AI255" s="35" t="e">
        <f>IF(Tableau_Liste_KPI[[#This Row],[Charge commandée]]="","",IF(Tableau_Liste_KPI[[#This Row],[Total]]&gt;Tableau_Liste_KPI[[#This Row],[Charge commandée]],"KO",""))</f>
        <v>#REF!</v>
      </c>
      <c r="AJ255" s="35" t="e">
        <f>IF(Tableau_Liste_KPI[[#This Row],[KPI Charges]]="KO",Tableau_Liste_KPI[[#This Row],[Charge commandée]]-Tableau_Liste_KPI[[#This Row],[Total]],"")</f>
        <v>#REF!</v>
      </c>
    </row>
    <row r="256" spans="1:36" ht="12" x14ac:dyDescent="0.2">
      <c r="A256" s="12" t="s">
        <v>98</v>
      </c>
      <c r="B256" s="12" t="s">
        <v>304</v>
      </c>
      <c r="C256" s="12" t="s">
        <v>259</v>
      </c>
      <c r="D256" s="12" t="s">
        <v>33</v>
      </c>
      <c r="E256" s="12" t="s">
        <v>99</v>
      </c>
      <c r="F256" s="12" t="s">
        <v>225</v>
      </c>
      <c r="G256" s="12" t="s">
        <v>714</v>
      </c>
      <c r="H256" s="6">
        <v>42906.592361111114</v>
      </c>
      <c r="I256" s="6">
        <v>42906.601898148147</v>
      </c>
      <c r="J256" s="6">
        <v>42909.426736111112</v>
      </c>
      <c r="K256" s="69">
        <v>42920.584826388891</v>
      </c>
      <c r="L256" s="13" t="s">
        <v>225</v>
      </c>
      <c r="M256" s="13">
        <v>0</v>
      </c>
      <c r="N256" s="13">
        <v>3</v>
      </c>
      <c r="O256" s="12">
        <v>0</v>
      </c>
      <c r="P256" s="13">
        <v>7</v>
      </c>
      <c r="Q256" s="13">
        <v>3</v>
      </c>
      <c r="R256" s="33" t="s">
        <v>225</v>
      </c>
      <c r="S256" s="33" t="s">
        <v>225</v>
      </c>
      <c r="T256" s="33" t="s">
        <v>225</v>
      </c>
      <c r="U256" s="33">
        <v>42907.64166666667</v>
      </c>
      <c r="V256" s="33" t="s">
        <v>225</v>
      </c>
      <c r="W256" s="33" t="s">
        <v>688</v>
      </c>
      <c r="X256" s="33" t="s">
        <v>692</v>
      </c>
      <c r="Y256" s="33" t="s">
        <v>225</v>
      </c>
      <c r="Z256" s="33" t="s">
        <v>225</v>
      </c>
      <c r="AA256" s="13">
        <v>635</v>
      </c>
      <c r="AB256" s="13">
        <v>0.7</v>
      </c>
      <c r="AC256" s="13">
        <f>SUMIF(Tableau_Liste_UO[[Code UO]:[Code UO]],Tableau_Liste_KPI[[#This Row],[Code UO]], Tableau_Liste_UO[RAF])</f>
        <v>0</v>
      </c>
      <c r="AD256" s="13" t="e">
        <f>SUMIF(Tableau_Liste_UO[[Code UO]:[Code UO]],Tableau_Liste_KPI[[#This Row],[Code UO]], #REF!)</f>
        <v>#REF!</v>
      </c>
      <c r="AE256" s="34" t="s">
        <v>225</v>
      </c>
      <c r="AF256" s="34" t="s">
        <v>225</v>
      </c>
      <c r="AG256" s="34" t="s">
        <v>225</v>
      </c>
      <c r="AH256" s="34"/>
      <c r="AI256" s="35" t="e">
        <f>IF(Tableau_Liste_KPI[[#This Row],[Charge commandée]]="","",IF(Tableau_Liste_KPI[[#This Row],[Total]]&gt;Tableau_Liste_KPI[[#This Row],[Charge commandée]],"KO",""))</f>
        <v>#REF!</v>
      </c>
      <c r="AJ256" s="35" t="e">
        <f>IF(Tableau_Liste_KPI[[#This Row],[KPI Charges]]="KO",Tableau_Liste_KPI[[#This Row],[Charge commandée]]-Tableau_Liste_KPI[[#This Row],[Total]],"")</f>
        <v>#REF!</v>
      </c>
    </row>
    <row r="257" spans="1:36" ht="12" x14ac:dyDescent="0.2">
      <c r="A257" s="12" t="s">
        <v>100</v>
      </c>
      <c r="B257" s="12" t="s">
        <v>303</v>
      </c>
      <c r="C257" s="12" t="s">
        <v>173</v>
      </c>
      <c r="D257" s="12" t="s">
        <v>33</v>
      </c>
      <c r="E257" s="12" t="s">
        <v>544</v>
      </c>
      <c r="F257" s="12" t="s">
        <v>34</v>
      </c>
      <c r="G257" s="12" t="s">
        <v>701</v>
      </c>
      <c r="H257" s="6">
        <v>42906.540972222225</v>
      </c>
      <c r="I257" s="6">
        <v>42906.542291666665</v>
      </c>
      <c r="J257" s="6" t="s">
        <v>225</v>
      </c>
      <c r="K257" s="69" t="s">
        <v>225</v>
      </c>
      <c r="L257" s="13" t="s">
        <v>225</v>
      </c>
      <c r="M257" s="13">
        <v>-1</v>
      </c>
      <c r="N257" s="13">
        <v>0</v>
      </c>
      <c r="O257" s="12">
        <v>0</v>
      </c>
      <c r="P257" s="13" t="s">
        <v>225</v>
      </c>
      <c r="Q257" s="13">
        <v>-1</v>
      </c>
      <c r="R257" s="33" t="s">
        <v>225</v>
      </c>
      <c r="S257" s="33" t="s">
        <v>225</v>
      </c>
      <c r="T257" s="33" t="s">
        <v>225</v>
      </c>
      <c r="U257" s="33" t="s">
        <v>225</v>
      </c>
      <c r="V257" s="33" t="s">
        <v>225</v>
      </c>
      <c r="W257" s="33" t="s">
        <v>688</v>
      </c>
      <c r="X257" s="33" t="s">
        <v>225</v>
      </c>
      <c r="Y257" s="33">
        <v>42916.541666666664</v>
      </c>
      <c r="Z257" s="33">
        <v>42916.541666666664</v>
      </c>
      <c r="AA257" s="13">
        <v>3750</v>
      </c>
      <c r="AB257" s="13">
        <v>5</v>
      </c>
      <c r="AC257" s="13">
        <f>SUMIF(Tableau_Liste_UO[[Code UO]:[Code UO]],Tableau_Liste_KPI[[#This Row],[Code UO]], Tableau_Liste_UO[RAF])</f>
        <v>0</v>
      </c>
      <c r="AD257" s="13" t="e">
        <f>SUMIF(Tableau_Liste_UO[[Code UO]:[Code UO]],Tableau_Liste_KPI[[#This Row],[Code UO]], #REF!)</f>
        <v>#REF!</v>
      </c>
      <c r="AE257" s="34" t="s">
        <v>225</v>
      </c>
      <c r="AF257" s="34" t="s">
        <v>225</v>
      </c>
      <c r="AG257" s="34" t="s">
        <v>225</v>
      </c>
      <c r="AH257" s="34"/>
      <c r="AI257" s="35" t="e">
        <f>IF(Tableau_Liste_KPI[[#This Row],[Charge commandée]]="","",IF(Tableau_Liste_KPI[[#This Row],[Total]]&gt;Tableau_Liste_KPI[[#This Row],[Charge commandée]],"KO",""))</f>
        <v>#REF!</v>
      </c>
      <c r="AJ257" s="35" t="e">
        <f>IF(Tableau_Liste_KPI[[#This Row],[KPI Charges]]="KO",Tableau_Liste_KPI[[#This Row],[Charge commandée]]-Tableau_Liste_KPI[[#This Row],[Total]],"")</f>
        <v>#REF!</v>
      </c>
    </row>
    <row r="258" spans="1:36" ht="12" x14ac:dyDescent="0.2">
      <c r="A258" s="12" t="s">
        <v>101</v>
      </c>
      <c r="B258" s="12" t="s">
        <v>302</v>
      </c>
      <c r="C258" s="12" t="s">
        <v>173</v>
      </c>
      <c r="D258" s="12" t="s">
        <v>33</v>
      </c>
      <c r="E258" s="12" t="s">
        <v>544</v>
      </c>
      <c r="F258" s="12" t="s">
        <v>34</v>
      </c>
      <c r="G258" s="12" t="s">
        <v>701</v>
      </c>
      <c r="H258" s="6">
        <v>42906.540972222225</v>
      </c>
      <c r="I258" s="6">
        <v>42907.516840277778</v>
      </c>
      <c r="J258" s="6" t="s">
        <v>225</v>
      </c>
      <c r="K258" s="69" t="s">
        <v>225</v>
      </c>
      <c r="L258" s="13" t="s">
        <v>225</v>
      </c>
      <c r="M258" s="13">
        <v>-1</v>
      </c>
      <c r="N258" s="13">
        <v>0</v>
      </c>
      <c r="O258" s="12">
        <v>0</v>
      </c>
      <c r="P258" s="13" t="s">
        <v>225</v>
      </c>
      <c r="Q258" s="13">
        <v>-1</v>
      </c>
      <c r="R258" s="33" t="s">
        <v>225</v>
      </c>
      <c r="S258" s="33" t="s">
        <v>225</v>
      </c>
      <c r="T258" s="33" t="s">
        <v>225</v>
      </c>
      <c r="U258" s="33" t="s">
        <v>225</v>
      </c>
      <c r="V258" s="33" t="s">
        <v>225</v>
      </c>
      <c r="W258" s="33" t="s">
        <v>688</v>
      </c>
      <c r="X258" s="33" t="s">
        <v>225</v>
      </c>
      <c r="Y258" s="33">
        <v>42916.515972222223</v>
      </c>
      <c r="Z258" s="33">
        <v>42916.515972222223</v>
      </c>
      <c r="AA258" s="13">
        <v>15000</v>
      </c>
      <c r="AB258" s="13">
        <v>20</v>
      </c>
      <c r="AC258" s="13">
        <f>SUMIF(Tableau_Liste_UO[[Code UO]:[Code UO]],Tableau_Liste_KPI[[#This Row],[Code UO]], Tableau_Liste_UO[RAF])</f>
        <v>0</v>
      </c>
      <c r="AD258" s="13" t="e">
        <f>SUMIF(Tableau_Liste_UO[[Code UO]:[Code UO]],Tableau_Liste_KPI[[#This Row],[Code UO]], #REF!)</f>
        <v>#REF!</v>
      </c>
      <c r="AE258" s="34" t="s">
        <v>225</v>
      </c>
      <c r="AF258" s="34" t="s">
        <v>225</v>
      </c>
      <c r="AG258" s="34" t="s">
        <v>225</v>
      </c>
      <c r="AH258" s="34"/>
      <c r="AI258" s="35" t="e">
        <f>IF(Tableau_Liste_KPI[[#This Row],[Charge commandée]]="","",IF(Tableau_Liste_KPI[[#This Row],[Total]]&gt;Tableau_Liste_KPI[[#This Row],[Charge commandée]],"KO",""))</f>
        <v>#REF!</v>
      </c>
      <c r="AJ258" s="35" t="e">
        <f>IF(Tableau_Liste_KPI[[#This Row],[KPI Charges]]="KO",Tableau_Liste_KPI[[#This Row],[Charge commandée]]-Tableau_Liste_KPI[[#This Row],[Total]],"")</f>
        <v>#REF!</v>
      </c>
    </row>
    <row r="259" spans="1:36" ht="12" x14ac:dyDescent="0.2">
      <c r="A259" s="12" t="s">
        <v>102</v>
      </c>
      <c r="B259" s="12" t="s">
        <v>301</v>
      </c>
      <c r="C259" s="12" t="s">
        <v>281</v>
      </c>
      <c r="D259" s="12" t="s">
        <v>37</v>
      </c>
      <c r="E259" s="12" t="s">
        <v>544</v>
      </c>
      <c r="F259" s="12" t="s">
        <v>34</v>
      </c>
      <c r="G259" s="12" t="s">
        <v>702</v>
      </c>
      <c r="H259" s="6">
        <v>42906.419444444444</v>
      </c>
      <c r="I259" s="6">
        <v>42906.469467592593</v>
      </c>
      <c r="J259" s="6" t="s">
        <v>225</v>
      </c>
      <c r="K259" s="69" t="s">
        <v>225</v>
      </c>
      <c r="L259" s="13" t="s">
        <v>225</v>
      </c>
      <c r="M259" s="13">
        <v>-1</v>
      </c>
      <c r="N259" s="13">
        <v>57</v>
      </c>
      <c r="O259" s="12">
        <v>0</v>
      </c>
      <c r="P259" s="13" t="s">
        <v>225</v>
      </c>
      <c r="Q259" s="13">
        <v>56</v>
      </c>
      <c r="R259" s="33" t="s">
        <v>225</v>
      </c>
      <c r="S259" s="33" t="s">
        <v>225</v>
      </c>
      <c r="T259" s="33" t="s">
        <v>225</v>
      </c>
      <c r="U259" s="33" t="s">
        <v>225</v>
      </c>
      <c r="V259" s="33" t="s">
        <v>225</v>
      </c>
      <c r="W259" s="33" t="s">
        <v>688</v>
      </c>
      <c r="X259" s="33" t="s">
        <v>225</v>
      </c>
      <c r="Y259" s="33">
        <v>43039.46875</v>
      </c>
      <c r="Z259" s="33">
        <v>43039.46875</v>
      </c>
      <c r="AA259" s="13">
        <v>3750</v>
      </c>
      <c r="AB259" s="13">
        <v>5</v>
      </c>
      <c r="AC259" s="13">
        <f>SUMIF(Tableau_Liste_UO[[Code UO]:[Code UO]],Tableau_Liste_KPI[[#This Row],[Code UO]], Tableau_Liste_UO[RAF])</f>
        <v>0</v>
      </c>
      <c r="AD259" s="13" t="e">
        <f>SUMIF(Tableau_Liste_UO[[Code UO]:[Code UO]],Tableau_Liste_KPI[[#This Row],[Code UO]], #REF!)</f>
        <v>#REF!</v>
      </c>
      <c r="AE259" s="34" t="s">
        <v>225</v>
      </c>
      <c r="AF259" s="34" t="s">
        <v>225</v>
      </c>
      <c r="AG259" s="34" t="s">
        <v>225</v>
      </c>
      <c r="AH259" s="34"/>
      <c r="AI259" s="35" t="e">
        <f>IF(Tableau_Liste_KPI[[#This Row],[Charge commandée]]="","",IF(Tableau_Liste_KPI[[#This Row],[Total]]&gt;Tableau_Liste_KPI[[#This Row],[Charge commandée]],"KO",""))</f>
        <v>#REF!</v>
      </c>
      <c r="AJ259" s="35" t="e">
        <f>IF(Tableau_Liste_KPI[[#This Row],[KPI Charges]]="KO",Tableau_Liste_KPI[[#This Row],[Charge commandée]]-Tableau_Liste_KPI[[#This Row],[Total]],"")</f>
        <v>#REF!</v>
      </c>
    </row>
    <row r="260" spans="1:36" ht="12" x14ac:dyDescent="0.2">
      <c r="A260" s="12" t="s">
        <v>103</v>
      </c>
      <c r="B260" s="12" t="s">
        <v>618</v>
      </c>
      <c r="C260" s="12" t="s">
        <v>259</v>
      </c>
      <c r="D260" s="12" t="s">
        <v>33</v>
      </c>
      <c r="E260" s="12" t="s">
        <v>538</v>
      </c>
      <c r="F260" s="12" t="s">
        <v>43</v>
      </c>
      <c r="G260" s="12" t="s">
        <v>696</v>
      </c>
      <c r="H260" s="6">
        <v>42905.496527777781</v>
      </c>
      <c r="I260" s="6">
        <v>42905.497858796298</v>
      </c>
      <c r="J260" s="6">
        <v>42905.665636574071</v>
      </c>
      <c r="K260" s="69">
        <v>42915.738136574073</v>
      </c>
      <c r="L260" s="13" t="s">
        <v>225</v>
      </c>
      <c r="M260" s="13">
        <v>0</v>
      </c>
      <c r="N260" s="13">
        <v>-1</v>
      </c>
      <c r="O260" s="12">
        <v>0</v>
      </c>
      <c r="P260" s="13">
        <v>8</v>
      </c>
      <c r="Q260" s="13">
        <v>-1</v>
      </c>
      <c r="R260" s="33">
        <v>10</v>
      </c>
      <c r="S260" s="33">
        <v>15</v>
      </c>
      <c r="T260" s="33" t="s">
        <v>225</v>
      </c>
      <c r="U260" s="33">
        <v>42860.404861111114</v>
      </c>
      <c r="V260" s="33" t="s">
        <v>225</v>
      </c>
      <c r="W260" s="33" t="s">
        <v>688</v>
      </c>
      <c r="X260" s="33" t="s">
        <v>688</v>
      </c>
      <c r="Y260" s="33">
        <v>42919</v>
      </c>
      <c r="Z260" s="33">
        <v>42926</v>
      </c>
      <c r="AA260" s="13">
        <v>3424</v>
      </c>
      <c r="AB260" s="13">
        <v>5</v>
      </c>
      <c r="AC260" s="13">
        <f>SUMIF(Tableau_Liste_UO[[Code UO]:[Code UO]],Tableau_Liste_KPI[[#This Row],[Code UO]], Tableau_Liste_UO[RAF])</f>
        <v>0</v>
      </c>
      <c r="AD260" s="13" t="e">
        <f>SUMIF(Tableau_Liste_UO[[Code UO]:[Code UO]],Tableau_Liste_KPI[[#This Row],[Code UO]], #REF!)</f>
        <v>#REF!</v>
      </c>
      <c r="AE260" s="34" t="s">
        <v>225</v>
      </c>
      <c r="AF260" s="34" t="s">
        <v>225</v>
      </c>
      <c r="AG260" s="34" t="s">
        <v>225</v>
      </c>
      <c r="AH260" s="34"/>
      <c r="AI260" s="35" t="e">
        <f>IF(Tableau_Liste_KPI[[#This Row],[Charge commandée]]="","",IF(Tableau_Liste_KPI[[#This Row],[Total]]&gt;Tableau_Liste_KPI[[#This Row],[Charge commandée]],"KO",""))</f>
        <v>#REF!</v>
      </c>
      <c r="AJ260" s="35" t="e">
        <f>IF(Tableau_Liste_KPI[[#This Row],[KPI Charges]]="KO",Tableau_Liste_KPI[[#This Row],[Charge commandée]]-Tableau_Liste_KPI[[#This Row],[Total]],"")</f>
        <v>#REF!</v>
      </c>
    </row>
    <row r="261" spans="1:36" ht="12" x14ac:dyDescent="0.2">
      <c r="A261" s="12" t="s">
        <v>104</v>
      </c>
      <c r="B261" s="12" t="s">
        <v>300</v>
      </c>
      <c r="C261" s="12" t="s">
        <v>259</v>
      </c>
      <c r="D261" s="12" t="s">
        <v>37</v>
      </c>
      <c r="E261" s="12" t="s">
        <v>544</v>
      </c>
      <c r="F261" s="12" t="s">
        <v>34</v>
      </c>
      <c r="G261" s="12" t="s">
        <v>702</v>
      </c>
      <c r="H261" s="6">
        <v>42905.44027777778</v>
      </c>
      <c r="I261" s="6">
        <v>42905.44259259259</v>
      </c>
      <c r="J261" s="6" t="s">
        <v>225</v>
      </c>
      <c r="K261" s="69">
        <v>43060.430439814816</v>
      </c>
      <c r="L261" s="13" t="s">
        <v>225</v>
      </c>
      <c r="M261" s="13">
        <v>0</v>
      </c>
      <c r="N261" s="13">
        <v>79</v>
      </c>
      <c r="O261" s="12">
        <v>0</v>
      </c>
      <c r="P261" s="13" t="s">
        <v>225</v>
      </c>
      <c r="Q261" s="13">
        <v>79</v>
      </c>
      <c r="R261" s="33" t="s">
        <v>225</v>
      </c>
      <c r="S261" s="33" t="s">
        <v>225</v>
      </c>
      <c r="T261" s="33" t="s">
        <v>225</v>
      </c>
      <c r="U261" s="33" t="s">
        <v>225</v>
      </c>
      <c r="V261" s="33" t="s">
        <v>225</v>
      </c>
      <c r="W261" s="33" t="s">
        <v>688</v>
      </c>
      <c r="X261" s="33" t="s">
        <v>694</v>
      </c>
      <c r="Y261" s="33">
        <v>43007.439583333333</v>
      </c>
      <c r="Z261" s="33">
        <v>43007.439583333333</v>
      </c>
      <c r="AA261" s="13">
        <v>15000</v>
      </c>
      <c r="AB261" s="13">
        <v>20</v>
      </c>
      <c r="AC261" s="13">
        <f>SUMIF(Tableau_Liste_UO[[Code UO]:[Code UO]],Tableau_Liste_KPI[[#This Row],[Code UO]], Tableau_Liste_UO[RAF])</f>
        <v>0</v>
      </c>
      <c r="AD261" s="13" t="e">
        <f>SUMIF(Tableau_Liste_UO[[Code UO]:[Code UO]],Tableau_Liste_KPI[[#This Row],[Code UO]], #REF!)</f>
        <v>#REF!</v>
      </c>
      <c r="AE261" s="34" t="s">
        <v>225</v>
      </c>
      <c r="AF261" s="34" t="s">
        <v>225</v>
      </c>
      <c r="AG261" s="34" t="s">
        <v>225</v>
      </c>
      <c r="AH261" s="34"/>
      <c r="AI261" s="35" t="e">
        <f>IF(Tableau_Liste_KPI[[#This Row],[Charge commandée]]="","",IF(Tableau_Liste_KPI[[#This Row],[Total]]&gt;Tableau_Liste_KPI[[#This Row],[Charge commandée]],"KO",""))</f>
        <v>#REF!</v>
      </c>
      <c r="AJ261" s="35" t="e">
        <f>IF(Tableau_Liste_KPI[[#This Row],[KPI Charges]]="KO",Tableau_Liste_KPI[[#This Row],[Charge commandée]]-Tableau_Liste_KPI[[#This Row],[Total]],"")</f>
        <v>#REF!</v>
      </c>
    </row>
    <row r="262" spans="1:36" ht="12" x14ac:dyDescent="0.2">
      <c r="A262" s="12" t="s">
        <v>105</v>
      </c>
      <c r="B262" s="12" t="s">
        <v>299</v>
      </c>
      <c r="C262" s="12" t="s">
        <v>259</v>
      </c>
      <c r="D262" s="12" t="s">
        <v>37</v>
      </c>
      <c r="E262" s="12" t="s">
        <v>544</v>
      </c>
      <c r="F262" s="12" t="s">
        <v>34</v>
      </c>
      <c r="G262" s="12" t="s">
        <v>702</v>
      </c>
      <c r="H262" s="6">
        <v>42905.4375</v>
      </c>
      <c r="I262" s="6">
        <v>42905.438842592594</v>
      </c>
      <c r="J262" s="6" t="s">
        <v>225</v>
      </c>
      <c r="K262" s="69">
        <v>43060.430266203701</v>
      </c>
      <c r="L262" s="13" t="s">
        <v>225</v>
      </c>
      <c r="M262" s="13">
        <v>0</v>
      </c>
      <c r="N262" s="13">
        <v>79</v>
      </c>
      <c r="O262" s="12">
        <v>0</v>
      </c>
      <c r="P262" s="13" t="s">
        <v>225</v>
      </c>
      <c r="Q262" s="13">
        <v>79</v>
      </c>
      <c r="R262" s="33" t="s">
        <v>225</v>
      </c>
      <c r="S262" s="33" t="s">
        <v>225</v>
      </c>
      <c r="T262" s="33" t="s">
        <v>225</v>
      </c>
      <c r="U262" s="33" t="s">
        <v>225</v>
      </c>
      <c r="V262" s="33" t="s">
        <v>225</v>
      </c>
      <c r="W262" s="33" t="s">
        <v>688</v>
      </c>
      <c r="X262" s="33" t="s">
        <v>694</v>
      </c>
      <c r="Y262" s="33">
        <v>42978.436805555553</v>
      </c>
      <c r="Z262" s="33">
        <v>42978.436805555553</v>
      </c>
      <c r="AA262" s="13">
        <v>9000</v>
      </c>
      <c r="AB262" s="13">
        <v>12</v>
      </c>
      <c r="AC262" s="13">
        <f>SUMIF(Tableau_Liste_UO[[Code UO]:[Code UO]],Tableau_Liste_KPI[[#This Row],[Code UO]], Tableau_Liste_UO[RAF])</f>
        <v>0</v>
      </c>
      <c r="AD262" s="13" t="e">
        <f>SUMIF(Tableau_Liste_UO[[Code UO]:[Code UO]],Tableau_Liste_KPI[[#This Row],[Code UO]], #REF!)</f>
        <v>#REF!</v>
      </c>
      <c r="AE262" s="34" t="s">
        <v>225</v>
      </c>
      <c r="AF262" s="34" t="s">
        <v>225</v>
      </c>
      <c r="AG262" s="34" t="s">
        <v>225</v>
      </c>
      <c r="AH262" s="34"/>
      <c r="AI262" s="35" t="e">
        <f>IF(Tableau_Liste_KPI[[#This Row],[Charge commandée]]="","",IF(Tableau_Liste_KPI[[#This Row],[Total]]&gt;Tableau_Liste_KPI[[#This Row],[Charge commandée]],"KO",""))</f>
        <v>#REF!</v>
      </c>
      <c r="AJ262" s="35" t="e">
        <f>IF(Tableau_Liste_KPI[[#This Row],[KPI Charges]]="KO",Tableau_Liste_KPI[[#This Row],[Charge commandée]]-Tableau_Liste_KPI[[#This Row],[Total]],"")</f>
        <v>#REF!</v>
      </c>
    </row>
    <row r="263" spans="1:36" ht="12" x14ac:dyDescent="0.2">
      <c r="A263" s="12" t="s">
        <v>106</v>
      </c>
      <c r="B263" s="12" t="s">
        <v>298</v>
      </c>
      <c r="C263" s="12" t="s">
        <v>259</v>
      </c>
      <c r="D263" s="12" t="s">
        <v>37</v>
      </c>
      <c r="E263" s="12" t="s">
        <v>544</v>
      </c>
      <c r="F263" s="12" t="s">
        <v>34</v>
      </c>
      <c r="G263" s="12" t="s">
        <v>702</v>
      </c>
      <c r="H263" s="6">
        <v>42905.434027777781</v>
      </c>
      <c r="I263" s="6">
        <v>42905.436168981483</v>
      </c>
      <c r="J263" s="6" t="s">
        <v>225</v>
      </c>
      <c r="K263" s="69">
        <v>43060.430335648147</v>
      </c>
      <c r="L263" s="13" t="s">
        <v>225</v>
      </c>
      <c r="M263" s="13">
        <v>0</v>
      </c>
      <c r="N263" s="13">
        <v>79</v>
      </c>
      <c r="O263" s="12">
        <v>0</v>
      </c>
      <c r="P263" s="13" t="s">
        <v>225</v>
      </c>
      <c r="Q263" s="13">
        <v>79</v>
      </c>
      <c r="R263" s="33" t="s">
        <v>225</v>
      </c>
      <c r="S263" s="33" t="s">
        <v>225</v>
      </c>
      <c r="T263" s="33" t="s">
        <v>225</v>
      </c>
      <c r="U263" s="33" t="s">
        <v>225</v>
      </c>
      <c r="V263" s="33" t="s">
        <v>225</v>
      </c>
      <c r="W263" s="33" t="s">
        <v>688</v>
      </c>
      <c r="X263" s="33" t="s">
        <v>694</v>
      </c>
      <c r="Y263" s="33">
        <v>42947.433333333334</v>
      </c>
      <c r="Z263" s="33">
        <v>42947.433333333334</v>
      </c>
      <c r="AA263" s="13">
        <v>10500</v>
      </c>
      <c r="AB263" s="13">
        <v>14</v>
      </c>
      <c r="AC263" s="13">
        <f>SUMIF(Tableau_Liste_UO[[Code UO]:[Code UO]],Tableau_Liste_KPI[[#This Row],[Code UO]], Tableau_Liste_UO[RAF])</f>
        <v>0</v>
      </c>
      <c r="AD263" s="13" t="e">
        <f>SUMIF(Tableau_Liste_UO[[Code UO]:[Code UO]],Tableau_Liste_KPI[[#This Row],[Code UO]], #REF!)</f>
        <v>#REF!</v>
      </c>
      <c r="AE263" s="34" t="s">
        <v>225</v>
      </c>
      <c r="AF263" s="34" t="s">
        <v>225</v>
      </c>
      <c r="AG263" s="34" t="s">
        <v>225</v>
      </c>
      <c r="AH263" s="34"/>
      <c r="AI263" s="35" t="e">
        <f>IF(Tableau_Liste_KPI[[#This Row],[Charge commandée]]="","",IF(Tableau_Liste_KPI[[#This Row],[Total]]&gt;Tableau_Liste_KPI[[#This Row],[Charge commandée]],"KO",""))</f>
        <v>#REF!</v>
      </c>
      <c r="AJ263" s="35" t="e">
        <f>IF(Tableau_Liste_KPI[[#This Row],[KPI Charges]]="KO",Tableau_Liste_KPI[[#This Row],[Charge commandée]]-Tableau_Liste_KPI[[#This Row],[Total]],"")</f>
        <v>#REF!</v>
      </c>
    </row>
    <row r="264" spans="1:36" ht="12" x14ac:dyDescent="0.2">
      <c r="A264" s="12" t="s">
        <v>107</v>
      </c>
      <c r="B264" s="12" t="s">
        <v>297</v>
      </c>
      <c r="C264" s="12" t="s">
        <v>259</v>
      </c>
      <c r="D264" s="12" t="s">
        <v>37</v>
      </c>
      <c r="E264" s="12" t="s">
        <v>544</v>
      </c>
      <c r="F264" s="12" t="s">
        <v>34</v>
      </c>
      <c r="G264" s="12" t="s">
        <v>702</v>
      </c>
      <c r="H264" s="6">
        <v>42905.420138888891</v>
      </c>
      <c r="I264" s="6">
        <v>42905.431550925925</v>
      </c>
      <c r="J264" s="6">
        <v>42934.637766203705</v>
      </c>
      <c r="K264" s="69">
        <v>43060.430069444446</v>
      </c>
      <c r="L264" s="13" t="s">
        <v>225</v>
      </c>
      <c r="M264" s="13">
        <v>0</v>
      </c>
      <c r="N264" s="13">
        <v>79</v>
      </c>
      <c r="O264" s="12">
        <v>0</v>
      </c>
      <c r="P264" s="13" t="s">
        <v>225</v>
      </c>
      <c r="Q264" s="13">
        <v>79</v>
      </c>
      <c r="R264" s="33" t="s">
        <v>225</v>
      </c>
      <c r="S264" s="33" t="s">
        <v>225</v>
      </c>
      <c r="T264" s="33" t="s">
        <v>225</v>
      </c>
      <c r="U264" s="33" t="s">
        <v>225</v>
      </c>
      <c r="V264" s="33" t="s">
        <v>225</v>
      </c>
      <c r="W264" s="33" t="s">
        <v>688</v>
      </c>
      <c r="X264" s="33" t="s">
        <v>694</v>
      </c>
      <c r="Y264" s="33">
        <v>42916.429861111108</v>
      </c>
      <c r="Z264" s="33">
        <v>42916.429861111108</v>
      </c>
      <c r="AA264" s="13">
        <v>7500</v>
      </c>
      <c r="AB264" s="13">
        <v>10</v>
      </c>
      <c r="AC264" s="13">
        <f>SUMIF(Tableau_Liste_UO[[Code UO]:[Code UO]],Tableau_Liste_KPI[[#This Row],[Code UO]], Tableau_Liste_UO[RAF])</f>
        <v>0</v>
      </c>
      <c r="AD264" s="13" t="e">
        <f>SUMIF(Tableau_Liste_UO[[Code UO]:[Code UO]],Tableau_Liste_KPI[[#This Row],[Code UO]], #REF!)</f>
        <v>#REF!</v>
      </c>
      <c r="AE264" s="34" t="s">
        <v>225</v>
      </c>
      <c r="AF264" s="34" t="s">
        <v>225</v>
      </c>
      <c r="AG264" s="34" t="s">
        <v>225</v>
      </c>
      <c r="AH264" s="34"/>
      <c r="AI264" s="35" t="e">
        <f>IF(Tableau_Liste_KPI[[#This Row],[Charge commandée]]="","",IF(Tableau_Liste_KPI[[#This Row],[Total]]&gt;Tableau_Liste_KPI[[#This Row],[Charge commandée]],"KO",""))</f>
        <v>#REF!</v>
      </c>
      <c r="AJ264" s="35" t="e">
        <f>IF(Tableau_Liste_KPI[[#This Row],[KPI Charges]]="KO",Tableau_Liste_KPI[[#This Row],[Charge commandée]]-Tableau_Liste_KPI[[#This Row],[Total]],"")</f>
        <v>#REF!</v>
      </c>
    </row>
    <row r="265" spans="1:36" ht="12" x14ac:dyDescent="0.2">
      <c r="A265" s="12" t="s">
        <v>108</v>
      </c>
      <c r="B265" s="12" t="s">
        <v>296</v>
      </c>
      <c r="C265" s="12" t="s">
        <v>173</v>
      </c>
      <c r="D265" s="12" t="s">
        <v>37</v>
      </c>
      <c r="E265" s="12" t="s">
        <v>544</v>
      </c>
      <c r="F265" s="12" t="s">
        <v>34</v>
      </c>
      <c r="G265" s="12" t="s">
        <v>702</v>
      </c>
      <c r="H265" s="6">
        <v>42902.665277777778</v>
      </c>
      <c r="I265" s="6">
        <v>42902.682650462964</v>
      </c>
      <c r="J265" s="6" t="s">
        <v>225</v>
      </c>
      <c r="K265" s="69" t="s">
        <v>225</v>
      </c>
      <c r="L265" s="13" t="s">
        <v>225</v>
      </c>
      <c r="M265" s="13">
        <v>0</v>
      </c>
      <c r="N265" s="13">
        <v>0</v>
      </c>
      <c r="O265" s="12">
        <v>0</v>
      </c>
      <c r="P265" s="13" t="s">
        <v>225</v>
      </c>
      <c r="Q265" s="13" t="s">
        <v>225</v>
      </c>
      <c r="R265" s="33" t="s">
        <v>225</v>
      </c>
      <c r="S265" s="33" t="s">
        <v>225</v>
      </c>
      <c r="T265" s="33" t="s">
        <v>225</v>
      </c>
      <c r="U265" s="33" t="s">
        <v>225</v>
      </c>
      <c r="V265" s="33" t="s">
        <v>225</v>
      </c>
      <c r="W265" s="33" t="s">
        <v>688</v>
      </c>
      <c r="X265" s="33" t="s">
        <v>225</v>
      </c>
      <c r="Y265" s="33">
        <v>43008.659722222219</v>
      </c>
      <c r="Z265" s="33">
        <v>43008.659722222219</v>
      </c>
      <c r="AA265" s="13">
        <v>42000</v>
      </c>
      <c r="AB265" s="13">
        <v>56</v>
      </c>
      <c r="AC265" s="13">
        <f>SUMIF(Tableau_Liste_UO[[Code UO]:[Code UO]],Tableau_Liste_KPI[[#This Row],[Code UO]], Tableau_Liste_UO[RAF])</f>
        <v>0</v>
      </c>
      <c r="AD265" s="13" t="e">
        <f>SUMIF(Tableau_Liste_UO[[Code UO]:[Code UO]],Tableau_Liste_KPI[[#This Row],[Code UO]], #REF!)</f>
        <v>#REF!</v>
      </c>
      <c r="AE265" s="34" t="s">
        <v>225</v>
      </c>
      <c r="AF265" s="34" t="s">
        <v>225</v>
      </c>
      <c r="AG265" s="34" t="s">
        <v>225</v>
      </c>
      <c r="AH265" s="34"/>
      <c r="AI265" s="35" t="e">
        <f>IF(Tableau_Liste_KPI[[#This Row],[Charge commandée]]="","",IF(Tableau_Liste_KPI[[#This Row],[Total]]&gt;Tableau_Liste_KPI[[#This Row],[Charge commandée]],"KO",""))</f>
        <v>#REF!</v>
      </c>
      <c r="AJ265" s="35" t="e">
        <f>IF(Tableau_Liste_KPI[[#This Row],[KPI Charges]]="KO",Tableau_Liste_KPI[[#This Row],[Charge commandée]]-Tableau_Liste_KPI[[#This Row],[Total]],"")</f>
        <v>#REF!</v>
      </c>
    </row>
    <row r="266" spans="1:36" ht="12" x14ac:dyDescent="0.2">
      <c r="A266" s="12" t="s">
        <v>109</v>
      </c>
      <c r="B266" s="12" t="s">
        <v>295</v>
      </c>
      <c r="C266" s="12" t="s">
        <v>259</v>
      </c>
      <c r="D266" s="12" t="s">
        <v>37</v>
      </c>
      <c r="E266" s="12" t="s">
        <v>544</v>
      </c>
      <c r="F266" s="12" t="s">
        <v>34</v>
      </c>
      <c r="G266" s="12" t="s">
        <v>702</v>
      </c>
      <c r="H266" s="6">
        <v>42901.65347222222</v>
      </c>
      <c r="I266" s="6">
        <v>42913.382303240738</v>
      </c>
      <c r="J266" s="6">
        <v>42934.645312499997</v>
      </c>
      <c r="K266" s="69">
        <v>42985.45553240741</v>
      </c>
      <c r="L266" s="13" t="s">
        <v>225</v>
      </c>
      <c r="M266" s="13">
        <v>0</v>
      </c>
      <c r="N266" s="13">
        <v>27</v>
      </c>
      <c r="O266" s="12">
        <v>0</v>
      </c>
      <c r="P266" s="13" t="s">
        <v>225</v>
      </c>
      <c r="Q266" s="13">
        <v>27</v>
      </c>
      <c r="R266" s="33" t="s">
        <v>225</v>
      </c>
      <c r="S266" s="33" t="s">
        <v>225</v>
      </c>
      <c r="T266" s="33" t="s">
        <v>225</v>
      </c>
      <c r="U266" s="33" t="s">
        <v>225</v>
      </c>
      <c r="V266" s="33" t="s">
        <v>225</v>
      </c>
      <c r="W266" s="33" t="s">
        <v>688</v>
      </c>
      <c r="X266" s="33" t="s">
        <v>690</v>
      </c>
      <c r="Y266" s="33">
        <v>42916.652777777781</v>
      </c>
      <c r="Z266" s="33">
        <v>42916.652777777781</v>
      </c>
      <c r="AA266" s="13">
        <v>3750</v>
      </c>
      <c r="AB266" s="13">
        <v>5</v>
      </c>
      <c r="AC266" s="13">
        <f>SUMIF(Tableau_Liste_UO[[Code UO]:[Code UO]],Tableau_Liste_KPI[[#This Row],[Code UO]], Tableau_Liste_UO[RAF])</f>
        <v>0</v>
      </c>
      <c r="AD266" s="13" t="e">
        <f>SUMIF(Tableau_Liste_UO[[Code UO]:[Code UO]],Tableau_Liste_KPI[[#This Row],[Code UO]], #REF!)</f>
        <v>#REF!</v>
      </c>
      <c r="AE266" s="34" t="s">
        <v>225</v>
      </c>
      <c r="AF266" s="34" t="s">
        <v>225</v>
      </c>
      <c r="AG266" s="34" t="s">
        <v>225</v>
      </c>
      <c r="AH266" s="34"/>
      <c r="AI266" s="35" t="e">
        <f>IF(Tableau_Liste_KPI[[#This Row],[Charge commandée]]="","",IF(Tableau_Liste_KPI[[#This Row],[Total]]&gt;Tableau_Liste_KPI[[#This Row],[Charge commandée]],"KO",""))</f>
        <v>#REF!</v>
      </c>
      <c r="AJ266" s="35" t="e">
        <f>IF(Tableau_Liste_KPI[[#This Row],[KPI Charges]]="KO",Tableau_Liste_KPI[[#This Row],[Charge commandée]]-Tableau_Liste_KPI[[#This Row],[Total]],"")</f>
        <v>#REF!</v>
      </c>
    </row>
    <row r="267" spans="1:36" ht="12" x14ac:dyDescent="0.2">
      <c r="A267" s="12" t="s">
        <v>110</v>
      </c>
      <c r="B267" s="12" t="s">
        <v>294</v>
      </c>
      <c r="C267" s="12" t="s">
        <v>174</v>
      </c>
      <c r="D267" s="12" t="s">
        <v>33</v>
      </c>
      <c r="E267" s="12" t="s">
        <v>44</v>
      </c>
      <c r="F267" s="12" t="s">
        <v>225</v>
      </c>
      <c r="G267" s="12" t="s">
        <v>689</v>
      </c>
      <c r="H267" s="6">
        <v>42901.628472222219</v>
      </c>
      <c r="I267" s="6">
        <v>42901.631967592592</v>
      </c>
      <c r="J267" s="6">
        <v>43063.619756944441</v>
      </c>
      <c r="K267" s="69" t="s">
        <v>225</v>
      </c>
      <c r="L267" s="13" t="s">
        <v>225</v>
      </c>
      <c r="M267" s="13">
        <v>2</v>
      </c>
      <c r="N267" s="13">
        <v>10</v>
      </c>
      <c r="O267" s="12">
        <v>97</v>
      </c>
      <c r="P267" s="13">
        <v>20</v>
      </c>
      <c r="Q267" s="13">
        <v>12</v>
      </c>
      <c r="R267" s="33">
        <v>10</v>
      </c>
      <c r="S267" s="33">
        <v>15</v>
      </c>
      <c r="T267" s="33" t="s">
        <v>225</v>
      </c>
      <c r="U267" s="33">
        <v>42915.636111111111</v>
      </c>
      <c r="V267" s="33">
        <v>43038.64166666667</v>
      </c>
      <c r="W267" s="33" t="s">
        <v>688</v>
      </c>
      <c r="X267" s="33" t="s">
        <v>225</v>
      </c>
      <c r="Y267" s="33">
        <v>43056</v>
      </c>
      <c r="Z267" s="33">
        <v>43063</v>
      </c>
      <c r="AA267" s="13">
        <v>912</v>
      </c>
      <c r="AB267" s="13">
        <v>1</v>
      </c>
      <c r="AC267" s="13">
        <f>SUMIF(Tableau_Liste_UO[[Code UO]:[Code UO]],Tableau_Liste_KPI[[#This Row],[Code UO]], Tableau_Liste_UO[RAF])</f>
        <v>0</v>
      </c>
      <c r="AD267" s="13" t="e">
        <f>SUMIF(Tableau_Liste_UO[[Code UO]:[Code UO]],Tableau_Liste_KPI[[#This Row],[Code UO]], #REF!)</f>
        <v>#REF!</v>
      </c>
      <c r="AE267" s="34" t="s">
        <v>721</v>
      </c>
      <c r="AF267" s="34" t="s">
        <v>225</v>
      </c>
      <c r="AG267" s="34" t="s">
        <v>225</v>
      </c>
      <c r="AH267" s="34"/>
      <c r="AI267" s="35" t="e">
        <f>IF(Tableau_Liste_KPI[[#This Row],[Charge commandée]]="","",IF(Tableau_Liste_KPI[[#This Row],[Total]]&gt;Tableau_Liste_KPI[[#This Row],[Charge commandée]],"KO",""))</f>
        <v>#REF!</v>
      </c>
      <c r="AJ267" s="35" t="e">
        <f>IF(Tableau_Liste_KPI[[#This Row],[KPI Charges]]="KO",Tableau_Liste_KPI[[#This Row],[Charge commandée]]-Tableau_Liste_KPI[[#This Row],[Total]],"")</f>
        <v>#REF!</v>
      </c>
    </row>
    <row r="268" spans="1:36" ht="12" x14ac:dyDescent="0.2">
      <c r="A268" s="12" t="s">
        <v>111</v>
      </c>
      <c r="B268" s="12" t="s">
        <v>293</v>
      </c>
      <c r="C268" s="12" t="s">
        <v>259</v>
      </c>
      <c r="D268" s="12" t="s">
        <v>37</v>
      </c>
      <c r="E268" s="12" t="s">
        <v>544</v>
      </c>
      <c r="F268" s="12" t="s">
        <v>34</v>
      </c>
      <c r="G268" s="12" t="s">
        <v>702</v>
      </c>
      <c r="H268" s="6">
        <v>42901.448611111111</v>
      </c>
      <c r="I268" s="6">
        <v>42902.368321759262</v>
      </c>
      <c r="J268" s="6" t="s">
        <v>225</v>
      </c>
      <c r="K268" s="69">
        <v>42983.809571759259</v>
      </c>
      <c r="L268" s="13" t="s">
        <v>225</v>
      </c>
      <c r="M268" s="13">
        <v>-1</v>
      </c>
      <c r="N268" s="13">
        <v>11</v>
      </c>
      <c r="O268" s="12">
        <v>0</v>
      </c>
      <c r="P268" s="13" t="s">
        <v>225</v>
      </c>
      <c r="Q268" s="13">
        <v>10</v>
      </c>
      <c r="R268" s="33" t="s">
        <v>225</v>
      </c>
      <c r="S268" s="33" t="s">
        <v>225</v>
      </c>
      <c r="T268" s="33" t="s">
        <v>225</v>
      </c>
      <c r="U268" s="33" t="s">
        <v>225</v>
      </c>
      <c r="V268" s="33" t="s">
        <v>225</v>
      </c>
      <c r="W268" s="33" t="s">
        <v>688</v>
      </c>
      <c r="X268" s="33" t="s">
        <v>690</v>
      </c>
      <c r="Y268" s="33">
        <v>42930.445833333331</v>
      </c>
      <c r="Z268" s="33">
        <v>42930.445833333331</v>
      </c>
      <c r="AA268" s="13">
        <v>3750</v>
      </c>
      <c r="AB268" s="13">
        <v>5</v>
      </c>
      <c r="AC268" s="13">
        <f>SUMIF(Tableau_Liste_UO[[Code UO]:[Code UO]],Tableau_Liste_KPI[[#This Row],[Code UO]], Tableau_Liste_UO[RAF])</f>
        <v>0</v>
      </c>
      <c r="AD268" s="13" t="e">
        <f>SUMIF(Tableau_Liste_UO[[Code UO]:[Code UO]],Tableau_Liste_KPI[[#This Row],[Code UO]], #REF!)</f>
        <v>#REF!</v>
      </c>
      <c r="AE268" s="34" t="s">
        <v>225</v>
      </c>
      <c r="AF268" s="34" t="s">
        <v>225</v>
      </c>
      <c r="AG268" s="34" t="s">
        <v>225</v>
      </c>
      <c r="AH268" s="34"/>
      <c r="AI268" s="35" t="e">
        <f>IF(Tableau_Liste_KPI[[#This Row],[Charge commandée]]="","",IF(Tableau_Liste_KPI[[#This Row],[Total]]&gt;Tableau_Liste_KPI[[#This Row],[Charge commandée]],"KO",""))</f>
        <v>#REF!</v>
      </c>
      <c r="AJ268" s="35" t="e">
        <f>IF(Tableau_Liste_KPI[[#This Row],[KPI Charges]]="KO",Tableau_Liste_KPI[[#This Row],[Charge commandée]]-Tableau_Liste_KPI[[#This Row],[Total]],"")</f>
        <v>#REF!</v>
      </c>
    </row>
    <row r="269" spans="1:36" ht="12" x14ac:dyDescent="0.2">
      <c r="A269" s="12" t="s">
        <v>112</v>
      </c>
      <c r="B269" s="12" t="s">
        <v>292</v>
      </c>
      <c r="C269" s="12" t="s">
        <v>259</v>
      </c>
      <c r="D269" s="12" t="s">
        <v>37</v>
      </c>
      <c r="E269" s="12" t="s">
        <v>544</v>
      </c>
      <c r="F269" s="12" t="s">
        <v>34</v>
      </c>
      <c r="G269" s="12" t="s">
        <v>702</v>
      </c>
      <c r="H269" s="6">
        <v>42899.688888888886</v>
      </c>
      <c r="I269" s="6">
        <v>42899.690763888888</v>
      </c>
      <c r="J269" s="6">
        <v>42940.472002314818</v>
      </c>
      <c r="K269" s="69">
        <v>42940.476759259262</v>
      </c>
      <c r="L269" s="13" t="s">
        <v>225</v>
      </c>
      <c r="M269" s="13">
        <v>0</v>
      </c>
      <c r="N269" s="13">
        <v>22</v>
      </c>
      <c r="O269" s="12">
        <v>0</v>
      </c>
      <c r="P269" s="13">
        <v>3</v>
      </c>
      <c r="Q269" s="13">
        <v>22</v>
      </c>
      <c r="R269" s="33" t="s">
        <v>225</v>
      </c>
      <c r="S269" s="33" t="s">
        <v>225</v>
      </c>
      <c r="T269" s="33">
        <v>42909.688888888886</v>
      </c>
      <c r="U269" s="33">
        <v>42913.71597222222</v>
      </c>
      <c r="V269" s="33" t="s">
        <v>225</v>
      </c>
      <c r="W269" s="33" t="s">
        <v>688</v>
      </c>
      <c r="X269" s="33" t="s">
        <v>692</v>
      </c>
      <c r="Y269" s="33">
        <v>0</v>
      </c>
      <c r="Z269" s="33">
        <v>0</v>
      </c>
      <c r="AA269" s="13">
        <v>0</v>
      </c>
      <c r="AB269" s="13">
        <v>0</v>
      </c>
      <c r="AC269" s="13">
        <f>SUMIF(Tableau_Liste_UO[[Code UO]:[Code UO]],Tableau_Liste_KPI[[#This Row],[Code UO]], Tableau_Liste_UO[RAF])</f>
        <v>0</v>
      </c>
      <c r="AD269" s="13" t="e">
        <f>SUMIF(Tableau_Liste_UO[[Code UO]:[Code UO]],Tableau_Liste_KPI[[#This Row],[Code UO]], #REF!)</f>
        <v>#REF!</v>
      </c>
      <c r="AE269" s="34" t="s">
        <v>225</v>
      </c>
      <c r="AF269" s="34" t="s">
        <v>225</v>
      </c>
      <c r="AG269" s="34" t="s">
        <v>225</v>
      </c>
      <c r="AH269" s="34"/>
      <c r="AI269" s="35" t="e">
        <f>IF(Tableau_Liste_KPI[[#This Row],[Charge commandée]]="","",IF(Tableau_Liste_KPI[[#This Row],[Total]]&gt;Tableau_Liste_KPI[[#This Row],[Charge commandée]],"KO",""))</f>
        <v>#REF!</v>
      </c>
      <c r="AJ269" s="35" t="e">
        <f>IF(Tableau_Liste_KPI[[#This Row],[KPI Charges]]="KO",Tableau_Liste_KPI[[#This Row],[Charge commandée]]-Tableau_Liste_KPI[[#This Row],[Total]],"")</f>
        <v>#REF!</v>
      </c>
    </row>
    <row r="270" spans="1:36" ht="12" x14ac:dyDescent="0.2">
      <c r="A270" s="12" t="s">
        <v>113</v>
      </c>
      <c r="B270" s="12" t="s">
        <v>267</v>
      </c>
      <c r="C270" s="12" t="s">
        <v>281</v>
      </c>
      <c r="D270" s="12" t="s">
        <v>37</v>
      </c>
      <c r="E270" s="12" t="s">
        <v>539</v>
      </c>
      <c r="F270" s="12" t="s">
        <v>114</v>
      </c>
      <c r="G270" s="12" t="s">
        <v>712</v>
      </c>
      <c r="H270" s="6">
        <v>42899.682638888888</v>
      </c>
      <c r="I270" s="6">
        <v>42899.684293981481</v>
      </c>
      <c r="J270" s="6" t="s">
        <v>225</v>
      </c>
      <c r="K270" s="69" t="s">
        <v>225</v>
      </c>
      <c r="L270" s="13" t="s">
        <v>225</v>
      </c>
      <c r="M270" s="13">
        <v>0</v>
      </c>
      <c r="N270" s="13">
        <v>104</v>
      </c>
      <c r="O270" s="12">
        <v>30</v>
      </c>
      <c r="P270" s="13" t="s">
        <v>225</v>
      </c>
      <c r="Q270" s="13">
        <v>104</v>
      </c>
      <c r="R270" s="33">
        <v>95</v>
      </c>
      <c r="S270" s="33">
        <v>110</v>
      </c>
      <c r="T270" s="33">
        <v>42978.681944444441</v>
      </c>
      <c r="U270" s="33">
        <v>42947.758333333331</v>
      </c>
      <c r="V270" s="33">
        <v>43069.704861111109</v>
      </c>
      <c r="W270" s="33" t="s">
        <v>688</v>
      </c>
      <c r="X270" s="33" t="s">
        <v>225</v>
      </c>
      <c r="Y270" s="33">
        <v>43080</v>
      </c>
      <c r="Z270" s="33">
        <v>43109</v>
      </c>
      <c r="AA270" s="13">
        <v>31180</v>
      </c>
      <c r="AB270" s="13">
        <v>40.4</v>
      </c>
      <c r="AC270" s="13">
        <f>SUMIF(Tableau_Liste_UO[[Code UO]:[Code UO]],Tableau_Liste_KPI[[#This Row],[Code UO]], Tableau_Liste_UO[RAF])</f>
        <v>0</v>
      </c>
      <c r="AD270" s="13" t="e">
        <f>SUMIF(Tableau_Liste_UO[[Code UO]:[Code UO]],Tableau_Liste_KPI[[#This Row],[Code UO]], #REF!)</f>
        <v>#REF!</v>
      </c>
      <c r="AE270" s="34" t="s">
        <v>721</v>
      </c>
      <c r="AF270" s="34" t="s">
        <v>225</v>
      </c>
      <c r="AG270" s="34" t="s">
        <v>721</v>
      </c>
      <c r="AH270" s="34"/>
      <c r="AI270" s="35" t="e">
        <f>IF(Tableau_Liste_KPI[[#This Row],[Charge commandée]]="","",IF(Tableau_Liste_KPI[[#This Row],[Total]]&gt;Tableau_Liste_KPI[[#This Row],[Charge commandée]],"KO",""))</f>
        <v>#REF!</v>
      </c>
      <c r="AJ270" s="35" t="e">
        <f>IF(Tableau_Liste_KPI[[#This Row],[KPI Charges]]="KO",Tableau_Liste_KPI[[#This Row],[Charge commandée]]-Tableau_Liste_KPI[[#This Row],[Total]],"")</f>
        <v>#REF!</v>
      </c>
    </row>
    <row r="271" spans="1:36" ht="12" x14ac:dyDescent="0.2">
      <c r="A271" s="12" t="s">
        <v>115</v>
      </c>
      <c r="B271" s="12" t="s">
        <v>291</v>
      </c>
      <c r="C271" s="12" t="s">
        <v>259</v>
      </c>
      <c r="D271" s="12" t="s">
        <v>37</v>
      </c>
      <c r="E271" s="12" t="s">
        <v>544</v>
      </c>
      <c r="F271" s="12" t="s">
        <v>34</v>
      </c>
      <c r="G271" s="12" t="s">
        <v>702</v>
      </c>
      <c r="H271" s="6">
        <v>42894.761805555558</v>
      </c>
      <c r="I271" s="6">
        <v>42894.775729166664</v>
      </c>
      <c r="J271" s="6" t="s">
        <v>225</v>
      </c>
      <c r="K271" s="69">
        <v>43038.443773148145</v>
      </c>
      <c r="L271" s="13" t="s">
        <v>225</v>
      </c>
      <c r="M271" s="13">
        <v>0</v>
      </c>
      <c r="N271" s="13">
        <v>64</v>
      </c>
      <c r="O271" s="12">
        <v>0</v>
      </c>
      <c r="P271" s="13" t="s">
        <v>225</v>
      </c>
      <c r="Q271" s="13">
        <v>64</v>
      </c>
      <c r="R271" s="33" t="s">
        <v>225</v>
      </c>
      <c r="S271" s="33" t="s">
        <v>225</v>
      </c>
      <c r="T271" s="33" t="s">
        <v>225</v>
      </c>
      <c r="U271" s="33" t="s">
        <v>225</v>
      </c>
      <c r="V271" s="33" t="s">
        <v>225</v>
      </c>
      <c r="W271" s="33" t="s">
        <v>688</v>
      </c>
      <c r="X271" s="33" t="s">
        <v>703</v>
      </c>
      <c r="Y271" s="33">
        <v>43039.75</v>
      </c>
      <c r="Z271" s="33">
        <v>43039.75</v>
      </c>
      <c r="AA271" s="13">
        <v>750</v>
      </c>
      <c r="AB271" s="13">
        <v>1</v>
      </c>
      <c r="AC271" s="13">
        <f>SUMIF(Tableau_Liste_UO[[Code UO]:[Code UO]],Tableau_Liste_KPI[[#This Row],[Code UO]], Tableau_Liste_UO[RAF])</f>
        <v>0</v>
      </c>
      <c r="AD271" s="13" t="e">
        <f>SUMIF(Tableau_Liste_UO[[Code UO]:[Code UO]],Tableau_Liste_KPI[[#This Row],[Code UO]], #REF!)</f>
        <v>#REF!</v>
      </c>
      <c r="AE271" s="34" t="s">
        <v>225</v>
      </c>
      <c r="AF271" s="34" t="s">
        <v>225</v>
      </c>
      <c r="AG271" s="34" t="s">
        <v>225</v>
      </c>
      <c r="AH271" s="34"/>
      <c r="AI271" s="35" t="e">
        <f>IF(Tableau_Liste_KPI[[#This Row],[Charge commandée]]="","",IF(Tableau_Liste_KPI[[#This Row],[Total]]&gt;Tableau_Liste_KPI[[#This Row],[Charge commandée]],"KO",""))</f>
        <v>#REF!</v>
      </c>
      <c r="AJ271" s="35" t="e">
        <f>IF(Tableau_Liste_KPI[[#This Row],[KPI Charges]]="KO",Tableau_Liste_KPI[[#This Row],[Charge commandée]]-Tableau_Liste_KPI[[#This Row],[Total]],"")</f>
        <v>#REF!</v>
      </c>
    </row>
    <row r="272" spans="1:36" ht="12" x14ac:dyDescent="0.2">
      <c r="A272" s="21" t="s">
        <v>116</v>
      </c>
      <c r="B272" s="21" t="s">
        <v>290</v>
      </c>
      <c r="C272" s="12" t="s">
        <v>259</v>
      </c>
      <c r="D272" s="21" t="s">
        <v>37</v>
      </c>
      <c r="E272" s="21" t="s">
        <v>544</v>
      </c>
      <c r="F272" s="21" t="s">
        <v>34</v>
      </c>
      <c r="G272" s="21" t="s">
        <v>702</v>
      </c>
      <c r="H272" s="22">
        <v>42894.761111111111</v>
      </c>
      <c r="I272" s="22">
        <v>42894.77553240741</v>
      </c>
      <c r="J272" s="22" t="s">
        <v>225</v>
      </c>
      <c r="K272" s="70">
        <v>43038.443553240744</v>
      </c>
      <c r="L272" s="23" t="s">
        <v>225</v>
      </c>
      <c r="M272" s="23">
        <v>0</v>
      </c>
      <c r="N272" s="23">
        <v>64</v>
      </c>
      <c r="O272" s="21">
        <v>0</v>
      </c>
      <c r="P272" s="23" t="s">
        <v>225</v>
      </c>
      <c r="Q272" s="23">
        <v>64</v>
      </c>
      <c r="R272" s="36" t="s">
        <v>225</v>
      </c>
      <c r="S272" s="36" t="s">
        <v>225</v>
      </c>
      <c r="T272" s="36" t="s">
        <v>225</v>
      </c>
      <c r="U272" s="36" t="s">
        <v>225</v>
      </c>
      <c r="V272" s="36" t="s">
        <v>225</v>
      </c>
      <c r="W272" s="36" t="s">
        <v>688</v>
      </c>
      <c r="X272" s="36" t="s">
        <v>703</v>
      </c>
      <c r="Y272" s="36">
        <v>43007.75</v>
      </c>
      <c r="Z272" s="36">
        <v>43007.75</v>
      </c>
      <c r="AA272" s="23">
        <v>750</v>
      </c>
      <c r="AB272" s="23">
        <v>1</v>
      </c>
      <c r="AC272" s="23">
        <f>SUMIF(Tableau_Liste_UO[[Code UO]:[Code UO]],Tableau_Liste_KPI[[#This Row],[Code UO]], Tableau_Liste_UO[RAF])</f>
        <v>0</v>
      </c>
      <c r="AD272" s="23" t="e">
        <f>SUMIF(Tableau_Liste_UO[[Code UO]:[Code UO]],Tableau_Liste_KPI[[#This Row],[Code UO]], #REF!)</f>
        <v>#REF!</v>
      </c>
      <c r="AE272" s="37" t="s">
        <v>225</v>
      </c>
      <c r="AF272" s="37" t="s">
        <v>225</v>
      </c>
      <c r="AG272" s="37" t="s">
        <v>225</v>
      </c>
      <c r="AH272" s="37"/>
      <c r="AI272" s="38" t="e">
        <f>IF(Tableau_Liste_KPI[[#This Row],[Charge commandée]]="","",IF(Tableau_Liste_KPI[[#This Row],[Total]]&gt;Tableau_Liste_KPI[[#This Row],[Charge commandée]],"KO",""))</f>
        <v>#REF!</v>
      </c>
      <c r="AJ272" s="38" t="e">
        <f>IF(Tableau_Liste_KPI[[#This Row],[KPI Charges]]="KO",Tableau_Liste_KPI[[#This Row],[Charge commandée]]-Tableau_Liste_KPI[[#This Row],[Total]],"")</f>
        <v>#REF!</v>
      </c>
    </row>
    <row r="273" spans="1:36" ht="12" x14ac:dyDescent="0.2">
      <c r="A273" s="21" t="s">
        <v>117</v>
      </c>
      <c r="B273" s="21" t="s">
        <v>289</v>
      </c>
      <c r="C273" s="12" t="s">
        <v>173</v>
      </c>
      <c r="D273" s="21" t="s">
        <v>37</v>
      </c>
      <c r="E273" s="21" t="s">
        <v>544</v>
      </c>
      <c r="F273" s="21" t="s">
        <v>34</v>
      </c>
      <c r="G273" s="21" t="s">
        <v>702</v>
      </c>
      <c r="H273" s="22">
        <v>42894.737500000003</v>
      </c>
      <c r="I273" s="22">
        <v>42978.72314814815</v>
      </c>
      <c r="J273" s="22" t="s">
        <v>225</v>
      </c>
      <c r="K273" s="70" t="s">
        <v>225</v>
      </c>
      <c r="L273" s="23" t="s">
        <v>225</v>
      </c>
      <c r="M273" s="23">
        <v>0</v>
      </c>
      <c r="N273" s="23">
        <v>0</v>
      </c>
      <c r="O273" s="21">
        <v>0</v>
      </c>
      <c r="P273" s="23" t="s">
        <v>225</v>
      </c>
      <c r="Q273" s="23" t="s">
        <v>225</v>
      </c>
      <c r="R273" s="36" t="s">
        <v>225</v>
      </c>
      <c r="S273" s="36" t="s">
        <v>225</v>
      </c>
      <c r="T273" s="36" t="s">
        <v>225</v>
      </c>
      <c r="U273" s="36" t="s">
        <v>225</v>
      </c>
      <c r="V273" s="36" t="s">
        <v>225</v>
      </c>
      <c r="W273" s="36" t="s">
        <v>697</v>
      </c>
      <c r="X273" s="36" t="s">
        <v>225</v>
      </c>
      <c r="Y273" s="36">
        <v>43434.736805555556</v>
      </c>
      <c r="Z273" s="36">
        <v>43434.736805555556</v>
      </c>
      <c r="AA273" s="23">
        <v>3750</v>
      </c>
      <c r="AB273" s="23">
        <v>5</v>
      </c>
      <c r="AC273" s="23">
        <f>SUMIF(Tableau_Liste_UO[[Code UO]:[Code UO]],Tableau_Liste_KPI[[#This Row],[Code UO]], Tableau_Liste_UO[RAF])</f>
        <v>0</v>
      </c>
      <c r="AD273" s="23" t="e">
        <f>SUMIF(Tableau_Liste_UO[[Code UO]:[Code UO]],Tableau_Liste_KPI[[#This Row],[Code UO]], #REF!)</f>
        <v>#REF!</v>
      </c>
      <c r="AE273" s="37" t="s">
        <v>225</v>
      </c>
      <c r="AF273" s="37" t="s">
        <v>225</v>
      </c>
      <c r="AG273" s="37" t="s">
        <v>225</v>
      </c>
      <c r="AH273" s="37"/>
      <c r="AI273" s="38" t="e">
        <f>IF(Tableau_Liste_KPI[[#This Row],[Charge commandée]]="","",IF(Tableau_Liste_KPI[[#This Row],[Total]]&gt;Tableau_Liste_KPI[[#This Row],[Charge commandée]],"KO",""))</f>
        <v>#REF!</v>
      </c>
      <c r="AJ273" s="38" t="e">
        <f>IF(Tableau_Liste_KPI[[#This Row],[KPI Charges]]="KO",Tableau_Liste_KPI[[#This Row],[Charge commandée]]-Tableau_Liste_KPI[[#This Row],[Total]],"")</f>
        <v>#REF!</v>
      </c>
    </row>
    <row r="274" spans="1:36" ht="12" x14ac:dyDescent="0.2">
      <c r="A274" s="12" t="s">
        <v>118</v>
      </c>
      <c r="B274" s="12" t="s">
        <v>288</v>
      </c>
      <c r="C274" s="12" t="s">
        <v>259</v>
      </c>
      <c r="D274" s="12" t="s">
        <v>37</v>
      </c>
      <c r="E274" s="12" t="s">
        <v>544</v>
      </c>
      <c r="F274" s="12" t="s">
        <v>34</v>
      </c>
      <c r="G274" s="12" t="s">
        <v>702</v>
      </c>
      <c r="H274" s="6">
        <v>42894.727777777778</v>
      </c>
      <c r="I274" s="6">
        <v>42894.773634259262</v>
      </c>
      <c r="J274" s="6" t="s">
        <v>225</v>
      </c>
      <c r="K274" s="69">
        <v>42999.522986111115</v>
      </c>
      <c r="L274" s="13" t="s">
        <v>225</v>
      </c>
      <c r="M274" s="13">
        <v>0</v>
      </c>
      <c r="N274" s="13">
        <v>37</v>
      </c>
      <c r="O274" s="12">
        <v>0</v>
      </c>
      <c r="P274" s="13" t="s">
        <v>225</v>
      </c>
      <c r="Q274" s="13">
        <v>37</v>
      </c>
      <c r="R274" s="33" t="s">
        <v>225</v>
      </c>
      <c r="S274" s="33" t="s">
        <v>225</v>
      </c>
      <c r="T274" s="33" t="s">
        <v>225</v>
      </c>
      <c r="U274" s="33" t="s">
        <v>225</v>
      </c>
      <c r="V274" s="33" t="s">
        <v>225</v>
      </c>
      <c r="W274" s="33" t="s">
        <v>688</v>
      </c>
      <c r="X274" s="33" t="s">
        <v>690</v>
      </c>
      <c r="Y274" s="33">
        <v>42978.75</v>
      </c>
      <c r="Z274" s="33">
        <v>42978.75</v>
      </c>
      <c r="AA274" s="13">
        <v>750</v>
      </c>
      <c r="AB274" s="13">
        <v>1</v>
      </c>
      <c r="AC274" s="13">
        <f>SUMIF(Tableau_Liste_UO[[Code UO]:[Code UO]],Tableau_Liste_KPI[[#This Row],[Code UO]], Tableau_Liste_UO[RAF])</f>
        <v>0</v>
      </c>
      <c r="AD274" s="13" t="e">
        <f>SUMIF(Tableau_Liste_UO[[Code UO]:[Code UO]],Tableau_Liste_KPI[[#This Row],[Code UO]], #REF!)</f>
        <v>#REF!</v>
      </c>
      <c r="AE274" s="34" t="s">
        <v>225</v>
      </c>
      <c r="AF274" s="34" t="s">
        <v>225</v>
      </c>
      <c r="AG274" s="34" t="s">
        <v>225</v>
      </c>
      <c r="AH274" s="34"/>
      <c r="AI274" s="35" t="e">
        <f>IF(Tableau_Liste_KPI[[#This Row],[Charge commandée]]="","",IF(Tableau_Liste_KPI[[#This Row],[Total]]&gt;Tableau_Liste_KPI[[#This Row],[Charge commandée]],"KO",""))</f>
        <v>#REF!</v>
      </c>
      <c r="AJ274" s="35" t="e">
        <f>IF(Tableau_Liste_KPI[[#This Row],[KPI Charges]]="KO",Tableau_Liste_KPI[[#This Row],[Charge commandée]]-Tableau_Liste_KPI[[#This Row],[Total]],"")</f>
        <v>#REF!</v>
      </c>
    </row>
    <row r="275" spans="1:36" ht="12" x14ac:dyDescent="0.2">
      <c r="A275" s="12" t="s">
        <v>119</v>
      </c>
      <c r="B275" s="12" t="s">
        <v>287</v>
      </c>
      <c r="C275" s="12" t="s">
        <v>259</v>
      </c>
      <c r="D275" s="12" t="s">
        <v>37</v>
      </c>
      <c r="E275" s="12" t="s">
        <v>544</v>
      </c>
      <c r="F275" s="12" t="s">
        <v>34</v>
      </c>
      <c r="G275" s="12" t="s">
        <v>702</v>
      </c>
      <c r="H275" s="6">
        <v>42894.71597222222</v>
      </c>
      <c r="I275" s="6">
        <v>42894.770740740743</v>
      </c>
      <c r="J275" s="6" t="s">
        <v>225</v>
      </c>
      <c r="K275" s="69">
        <v>42999.522812499999</v>
      </c>
      <c r="L275" s="13" t="s">
        <v>225</v>
      </c>
      <c r="M275" s="13">
        <v>0</v>
      </c>
      <c r="N275" s="13">
        <v>37</v>
      </c>
      <c r="O275" s="12">
        <v>0</v>
      </c>
      <c r="P275" s="13" t="s">
        <v>225</v>
      </c>
      <c r="Q275" s="13">
        <v>37</v>
      </c>
      <c r="R275" s="33" t="s">
        <v>225</v>
      </c>
      <c r="S275" s="33" t="s">
        <v>225</v>
      </c>
      <c r="T275" s="33" t="s">
        <v>225</v>
      </c>
      <c r="U275" s="33" t="s">
        <v>225</v>
      </c>
      <c r="V275" s="33" t="s">
        <v>225</v>
      </c>
      <c r="W275" s="33" t="s">
        <v>688</v>
      </c>
      <c r="X275" s="33" t="s">
        <v>690</v>
      </c>
      <c r="Y275" s="33">
        <v>42947.75</v>
      </c>
      <c r="Z275" s="33">
        <v>42947.75</v>
      </c>
      <c r="AA275" s="13">
        <v>750</v>
      </c>
      <c r="AB275" s="13">
        <v>1</v>
      </c>
      <c r="AC275" s="13">
        <f>SUMIF(Tableau_Liste_UO[[Code UO]:[Code UO]],Tableau_Liste_KPI[[#This Row],[Code UO]], Tableau_Liste_UO[RAF])</f>
        <v>0</v>
      </c>
      <c r="AD275" s="13" t="e">
        <f>SUMIF(Tableau_Liste_UO[[Code UO]:[Code UO]],Tableau_Liste_KPI[[#This Row],[Code UO]], #REF!)</f>
        <v>#REF!</v>
      </c>
      <c r="AE275" s="34" t="s">
        <v>225</v>
      </c>
      <c r="AF275" s="34" t="s">
        <v>225</v>
      </c>
      <c r="AG275" s="34" t="s">
        <v>225</v>
      </c>
      <c r="AH275" s="34"/>
      <c r="AI275" s="35" t="e">
        <f>IF(Tableau_Liste_KPI[[#This Row],[Charge commandée]]="","",IF(Tableau_Liste_KPI[[#This Row],[Total]]&gt;Tableau_Liste_KPI[[#This Row],[Charge commandée]],"KO",""))</f>
        <v>#REF!</v>
      </c>
      <c r="AJ275" s="35" t="e">
        <f>IF(Tableau_Liste_KPI[[#This Row],[KPI Charges]]="KO",Tableau_Liste_KPI[[#This Row],[Charge commandée]]-Tableau_Liste_KPI[[#This Row],[Total]],"")</f>
        <v>#REF!</v>
      </c>
    </row>
    <row r="276" spans="1:36" ht="12" x14ac:dyDescent="0.2">
      <c r="A276" s="12" t="s">
        <v>120</v>
      </c>
      <c r="B276" s="12" t="s">
        <v>619</v>
      </c>
      <c r="C276" s="12" t="s">
        <v>259</v>
      </c>
      <c r="D276" s="12" t="s">
        <v>37</v>
      </c>
      <c r="E276" s="12" t="s">
        <v>544</v>
      </c>
      <c r="F276" s="12" t="s">
        <v>34</v>
      </c>
      <c r="G276" s="12" t="s">
        <v>702</v>
      </c>
      <c r="H276" s="6">
        <v>42894.706944444442</v>
      </c>
      <c r="I276" s="6">
        <v>42894.769166666665</v>
      </c>
      <c r="J276" s="6">
        <v>42934.640844907408</v>
      </c>
      <c r="K276" s="69">
        <v>42941.509722222225</v>
      </c>
      <c r="L276" s="13" t="s">
        <v>225</v>
      </c>
      <c r="M276" s="13">
        <v>0</v>
      </c>
      <c r="N276" s="13">
        <v>0</v>
      </c>
      <c r="O276" s="12">
        <v>0</v>
      </c>
      <c r="P276" s="13" t="s">
        <v>225</v>
      </c>
      <c r="Q276" s="13" t="s">
        <v>225</v>
      </c>
      <c r="R276" s="33" t="s">
        <v>225</v>
      </c>
      <c r="S276" s="33" t="s">
        <v>225</v>
      </c>
      <c r="T276" s="33" t="s">
        <v>225</v>
      </c>
      <c r="U276" s="33" t="s">
        <v>225</v>
      </c>
      <c r="V276" s="33" t="s">
        <v>225</v>
      </c>
      <c r="W276" s="33" t="s">
        <v>688</v>
      </c>
      <c r="X276" s="33" t="s">
        <v>692</v>
      </c>
      <c r="Y276" s="33">
        <v>42916.75</v>
      </c>
      <c r="Z276" s="33">
        <v>42916.75</v>
      </c>
      <c r="AA276" s="13">
        <v>2250</v>
      </c>
      <c r="AB276" s="13">
        <v>3</v>
      </c>
      <c r="AC276" s="13">
        <f>SUMIF(Tableau_Liste_UO[[Code UO]:[Code UO]],Tableau_Liste_KPI[[#This Row],[Code UO]], Tableau_Liste_UO[RAF])</f>
        <v>0</v>
      </c>
      <c r="AD276" s="13" t="e">
        <f>SUMIF(Tableau_Liste_UO[[Code UO]:[Code UO]],Tableau_Liste_KPI[[#This Row],[Code UO]], #REF!)</f>
        <v>#REF!</v>
      </c>
      <c r="AE276" s="34" t="s">
        <v>225</v>
      </c>
      <c r="AF276" s="34" t="s">
        <v>225</v>
      </c>
      <c r="AG276" s="34" t="s">
        <v>225</v>
      </c>
      <c r="AH276" s="34"/>
      <c r="AI276" s="35" t="e">
        <f>IF(Tableau_Liste_KPI[[#This Row],[Charge commandée]]="","",IF(Tableau_Liste_KPI[[#This Row],[Total]]&gt;Tableau_Liste_KPI[[#This Row],[Charge commandée]],"KO",""))</f>
        <v>#REF!</v>
      </c>
      <c r="AJ276" s="35" t="e">
        <f>IF(Tableau_Liste_KPI[[#This Row],[KPI Charges]]="KO",Tableau_Liste_KPI[[#This Row],[Charge commandée]]-Tableau_Liste_KPI[[#This Row],[Total]],"")</f>
        <v>#REF!</v>
      </c>
    </row>
    <row r="277" spans="1:36" ht="12" x14ac:dyDescent="0.2">
      <c r="A277" s="12" t="s">
        <v>121</v>
      </c>
      <c r="B277" s="12" t="s">
        <v>620</v>
      </c>
      <c r="C277" s="12" t="s">
        <v>259</v>
      </c>
      <c r="D277" s="12" t="s">
        <v>33</v>
      </c>
      <c r="E277" s="12" t="s">
        <v>538</v>
      </c>
      <c r="F277" s="12" t="s">
        <v>43</v>
      </c>
      <c r="G277" s="12" t="s">
        <v>696</v>
      </c>
      <c r="H277" s="6">
        <v>42894.663888888892</v>
      </c>
      <c r="I277" s="6">
        <v>42894.664456018516</v>
      </c>
      <c r="J277" s="6">
        <v>42906.712280092594</v>
      </c>
      <c r="K277" s="69">
        <v>42915.738020833334</v>
      </c>
      <c r="L277" s="13" t="s">
        <v>225</v>
      </c>
      <c r="M277" s="13">
        <v>2</v>
      </c>
      <c r="N277" s="13">
        <v>7</v>
      </c>
      <c r="O277" s="12">
        <v>0</v>
      </c>
      <c r="P277" s="13">
        <v>7</v>
      </c>
      <c r="Q277" s="13">
        <v>9</v>
      </c>
      <c r="R277" s="33">
        <v>10</v>
      </c>
      <c r="S277" s="33">
        <v>15</v>
      </c>
      <c r="T277" s="33" t="s">
        <v>225</v>
      </c>
      <c r="U277" s="33">
        <v>42905.672222222223</v>
      </c>
      <c r="V277" s="33" t="s">
        <v>225</v>
      </c>
      <c r="W277" s="33" t="s">
        <v>688</v>
      </c>
      <c r="X277" s="33" t="s">
        <v>688</v>
      </c>
      <c r="Y277" s="33">
        <v>42908</v>
      </c>
      <c r="Z277" s="33">
        <v>42915</v>
      </c>
      <c r="AA277" s="13">
        <v>3424</v>
      </c>
      <c r="AB277" s="13">
        <v>5</v>
      </c>
      <c r="AC277" s="13">
        <f>SUMIF(Tableau_Liste_UO[[Code UO]:[Code UO]],Tableau_Liste_KPI[[#This Row],[Code UO]], Tableau_Liste_UO[RAF])</f>
        <v>0</v>
      </c>
      <c r="AD277" s="13" t="e">
        <f>SUMIF(Tableau_Liste_UO[[Code UO]:[Code UO]],Tableau_Liste_KPI[[#This Row],[Code UO]], #REF!)</f>
        <v>#REF!</v>
      </c>
      <c r="AE277" s="34" t="s">
        <v>225</v>
      </c>
      <c r="AF277" s="34" t="s">
        <v>225</v>
      </c>
      <c r="AG277" s="34" t="s">
        <v>225</v>
      </c>
      <c r="AH277" s="34"/>
      <c r="AI277" s="35" t="e">
        <f>IF(Tableau_Liste_KPI[[#This Row],[Charge commandée]]="","",IF(Tableau_Liste_KPI[[#This Row],[Total]]&gt;Tableau_Liste_KPI[[#This Row],[Charge commandée]],"KO",""))</f>
        <v>#REF!</v>
      </c>
      <c r="AJ277" s="35" t="e">
        <f>IF(Tableau_Liste_KPI[[#This Row],[KPI Charges]]="KO",Tableau_Liste_KPI[[#This Row],[Charge commandée]]-Tableau_Liste_KPI[[#This Row],[Total]],"")</f>
        <v>#REF!</v>
      </c>
    </row>
    <row r="278" spans="1:36" ht="12" x14ac:dyDescent="0.2">
      <c r="A278" s="12" t="s">
        <v>122</v>
      </c>
      <c r="B278" s="12" t="s">
        <v>286</v>
      </c>
      <c r="C278" s="12" t="s">
        <v>259</v>
      </c>
      <c r="D278" s="12" t="s">
        <v>37</v>
      </c>
      <c r="E278" s="12" t="s">
        <v>63</v>
      </c>
      <c r="F278" s="12" t="s">
        <v>43</v>
      </c>
      <c r="G278" s="12" t="s">
        <v>700</v>
      </c>
      <c r="H278" s="6">
        <v>42893.762499999997</v>
      </c>
      <c r="I278" s="6">
        <v>42893.770694444444</v>
      </c>
      <c r="J278" s="6">
        <v>42907.541562500002</v>
      </c>
      <c r="K278" s="69">
        <v>42919.414918981478</v>
      </c>
      <c r="L278" s="13" t="s">
        <v>225</v>
      </c>
      <c r="M278" s="13">
        <v>2</v>
      </c>
      <c r="N278" s="13">
        <v>9</v>
      </c>
      <c r="O278" s="12">
        <v>0</v>
      </c>
      <c r="P278" s="13">
        <v>8</v>
      </c>
      <c r="Q278" s="13">
        <v>11</v>
      </c>
      <c r="R278" s="33">
        <v>2</v>
      </c>
      <c r="S278" s="33">
        <v>5</v>
      </c>
      <c r="T278" s="33">
        <v>42900.758333333331</v>
      </c>
      <c r="U278" s="33">
        <v>42909.385416666664</v>
      </c>
      <c r="V278" s="33" t="s">
        <v>225</v>
      </c>
      <c r="W278" s="33" t="s">
        <v>688</v>
      </c>
      <c r="X278" s="33" t="s">
        <v>692</v>
      </c>
      <c r="Y278" s="33">
        <v>42895</v>
      </c>
      <c r="Z278" s="33">
        <v>42900</v>
      </c>
      <c r="AA278" s="13">
        <v>825</v>
      </c>
      <c r="AB278" s="13">
        <v>1</v>
      </c>
      <c r="AC278" s="13">
        <f>SUMIF(Tableau_Liste_UO[[Code UO]:[Code UO]],Tableau_Liste_KPI[[#This Row],[Code UO]], Tableau_Liste_UO[RAF])</f>
        <v>0</v>
      </c>
      <c r="AD278" s="13" t="e">
        <f>SUMIF(Tableau_Liste_UO[[Code UO]:[Code UO]],Tableau_Liste_KPI[[#This Row],[Code UO]], #REF!)</f>
        <v>#REF!</v>
      </c>
      <c r="AE278" s="34" t="s">
        <v>721</v>
      </c>
      <c r="AF278" s="34" t="s">
        <v>721</v>
      </c>
      <c r="AG278" s="34" t="s">
        <v>225</v>
      </c>
      <c r="AH278" s="34"/>
      <c r="AI278" s="35" t="e">
        <f>IF(Tableau_Liste_KPI[[#This Row],[Charge commandée]]="","",IF(Tableau_Liste_KPI[[#This Row],[Total]]&gt;Tableau_Liste_KPI[[#This Row],[Charge commandée]],"KO",""))</f>
        <v>#REF!</v>
      </c>
      <c r="AJ278" s="35" t="e">
        <f>IF(Tableau_Liste_KPI[[#This Row],[KPI Charges]]="KO",Tableau_Liste_KPI[[#This Row],[Charge commandée]]-Tableau_Liste_KPI[[#This Row],[Total]],"")</f>
        <v>#REF!</v>
      </c>
    </row>
    <row r="279" spans="1:36" ht="12" x14ac:dyDescent="0.2">
      <c r="A279" s="12" t="s">
        <v>123</v>
      </c>
      <c r="B279" s="12" t="s">
        <v>285</v>
      </c>
      <c r="C279" s="12" t="s">
        <v>259</v>
      </c>
      <c r="D279" s="12" t="s">
        <v>33</v>
      </c>
      <c r="E279" s="12" t="s">
        <v>99</v>
      </c>
      <c r="F279" s="12" t="s">
        <v>225</v>
      </c>
      <c r="G279" s="12" t="s">
        <v>714</v>
      </c>
      <c r="H279" s="6">
        <v>42893.662499999999</v>
      </c>
      <c r="I279" s="6">
        <v>42893.663043981483</v>
      </c>
      <c r="J279" s="6">
        <v>42907.54115740741</v>
      </c>
      <c r="K279" s="69">
        <v>42915.737951388888</v>
      </c>
      <c r="L279" s="13" t="s">
        <v>225</v>
      </c>
      <c r="M279" s="13">
        <v>2</v>
      </c>
      <c r="N279" s="13">
        <v>9</v>
      </c>
      <c r="O279" s="12">
        <v>0</v>
      </c>
      <c r="P279" s="13">
        <v>6</v>
      </c>
      <c r="Q279" s="13">
        <v>11</v>
      </c>
      <c r="R279" s="33" t="s">
        <v>225</v>
      </c>
      <c r="S279" s="33" t="s">
        <v>225</v>
      </c>
      <c r="T279" s="33" t="s">
        <v>225</v>
      </c>
      <c r="U279" s="33">
        <v>42895.390277777777</v>
      </c>
      <c r="V279" s="33" t="s">
        <v>225</v>
      </c>
      <c r="W279" s="33" t="s">
        <v>688</v>
      </c>
      <c r="X279" s="33" t="s">
        <v>688</v>
      </c>
      <c r="Y279" s="33" t="s">
        <v>225</v>
      </c>
      <c r="Z279" s="33" t="s">
        <v>225</v>
      </c>
      <c r="AA279" s="13">
        <v>635</v>
      </c>
      <c r="AB279" s="13">
        <v>0.7</v>
      </c>
      <c r="AC279" s="13">
        <f>SUMIF(Tableau_Liste_UO[[Code UO]:[Code UO]],Tableau_Liste_KPI[[#This Row],[Code UO]], Tableau_Liste_UO[RAF])</f>
        <v>0</v>
      </c>
      <c r="AD279" s="13" t="e">
        <f>SUMIF(Tableau_Liste_UO[[Code UO]:[Code UO]],Tableau_Liste_KPI[[#This Row],[Code UO]], #REF!)</f>
        <v>#REF!</v>
      </c>
      <c r="AE279" s="34" t="s">
        <v>225</v>
      </c>
      <c r="AF279" s="34" t="s">
        <v>225</v>
      </c>
      <c r="AG279" s="34" t="s">
        <v>225</v>
      </c>
      <c r="AH279" s="34"/>
      <c r="AI279" s="35" t="e">
        <f>IF(Tableau_Liste_KPI[[#This Row],[Charge commandée]]="","",IF(Tableau_Liste_KPI[[#This Row],[Total]]&gt;Tableau_Liste_KPI[[#This Row],[Charge commandée]],"KO",""))</f>
        <v>#REF!</v>
      </c>
      <c r="AJ279" s="35" t="e">
        <f>IF(Tableau_Liste_KPI[[#This Row],[KPI Charges]]="KO",Tableau_Liste_KPI[[#This Row],[Charge commandée]]-Tableau_Liste_KPI[[#This Row],[Total]],"")</f>
        <v>#REF!</v>
      </c>
    </row>
    <row r="280" spans="1:36" ht="12" x14ac:dyDescent="0.2">
      <c r="A280" s="12" t="s">
        <v>124</v>
      </c>
      <c r="B280" s="12" t="s">
        <v>284</v>
      </c>
      <c r="C280" s="12" t="s">
        <v>259</v>
      </c>
      <c r="D280" s="12" t="s">
        <v>37</v>
      </c>
      <c r="E280" s="12" t="s">
        <v>63</v>
      </c>
      <c r="F280" s="12" t="s">
        <v>43</v>
      </c>
      <c r="G280" s="12" t="s">
        <v>700</v>
      </c>
      <c r="H280" s="6">
        <v>42893.623611111114</v>
      </c>
      <c r="I280" s="6">
        <v>42894.694918981484</v>
      </c>
      <c r="J280" s="6">
        <v>42913.715891203705</v>
      </c>
      <c r="K280" s="69">
        <v>42922.469027777777</v>
      </c>
      <c r="L280" s="13" t="s">
        <v>225</v>
      </c>
      <c r="M280" s="13">
        <v>2</v>
      </c>
      <c r="N280" s="13">
        <v>12</v>
      </c>
      <c r="O280" s="12">
        <v>0</v>
      </c>
      <c r="P280" s="13">
        <v>7</v>
      </c>
      <c r="Q280" s="13">
        <v>14</v>
      </c>
      <c r="R280" s="33">
        <v>2</v>
      </c>
      <c r="S280" s="33">
        <v>5</v>
      </c>
      <c r="T280" s="33">
        <v>42916.623611111114</v>
      </c>
      <c r="U280" s="33">
        <v>42916.59375</v>
      </c>
      <c r="V280" s="33" t="s">
        <v>225</v>
      </c>
      <c r="W280" s="33" t="s">
        <v>688</v>
      </c>
      <c r="X280" s="33" t="s">
        <v>692</v>
      </c>
      <c r="Y280" s="33">
        <v>42898</v>
      </c>
      <c r="Z280" s="33">
        <v>42901</v>
      </c>
      <c r="AA280" s="13">
        <v>825</v>
      </c>
      <c r="AB280" s="13">
        <v>1</v>
      </c>
      <c r="AC280" s="13">
        <f>SUMIF(Tableau_Liste_UO[[Code UO]:[Code UO]],Tableau_Liste_KPI[[#This Row],[Code UO]], Tableau_Liste_UO[RAF])</f>
        <v>0</v>
      </c>
      <c r="AD280" s="13" t="e">
        <f>SUMIF(Tableau_Liste_UO[[Code UO]:[Code UO]],Tableau_Liste_KPI[[#This Row],[Code UO]], #REF!)</f>
        <v>#REF!</v>
      </c>
      <c r="AE280" s="34" t="s">
        <v>721</v>
      </c>
      <c r="AF280" s="34" t="s">
        <v>721</v>
      </c>
      <c r="AG280" s="34" t="s">
        <v>225</v>
      </c>
      <c r="AH280" s="34"/>
      <c r="AI280" s="35" t="e">
        <f>IF(Tableau_Liste_KPI[[#This Row],[Charge commandée]]="","",IF(Tableau_Liste_KPI[[#This Row],[Total]]&gt;Tableau_Liste_KPI[[#This Row],[Charge commandée]],"KO",""))</f>
        <v>#REF!</v>
      </c>
      <c r="AJ280" s="35" t="e">
        <f>IF(Tableau_Liste_KPI[[#This Row],[KPI Charges]]="KO",Tableau_Liste_KPI[[#This Row],[Charge commandée]]-Tableau_Liste_KPI[[#This Row],[Total]],"")</f>
        <v>#REF!</v>
      </c>
    </row>
    <row r="281" spans="1:36" ht="12" x14ac:dyDescent="0.2">
      <c r="A281" s="21" t="s">
        <v>125</v>
      </c>
      <c r="B281" s="21" t="s">
        <v>283</v>
      </c>
      <c r="C281" s="12" t="s">
        <v>259</v>
      </c>
      <c r="D281" s="21" t="s">
        <v>33</v>
      </c>
      <c r="E281" s="21" t="s">
        <v>99</v>
      </c>
      <c r="F281" s="21" t="s">
        <v>225</v>
      </c>
      <c r="G281" s="21" t="s">
        <v>714</v>
      </c>
      <c r="H281" s="22">
        <v>42893.458333333336</v>
      </c>
      <c r="I281" s="22">
        <v>42894.687361111108</v>
      </c>
      <c r="J281" s="22">
        <v>42895.589768518519</v>
      </c>
      <c r="K281" s="70">
        <v>42915.615081018521</v>
      </c>
      <c r="L281" s="23" t="s">
        <v>225</v>
      </c>
      <c r="M281" s="23">
        <v>2</v>
      </c>
      <c r="N281" s="23">
        <v>-1</v>
      </c>
      <c r="O281" s="21">
        <v>0</v>
      </c>
      <c r="P281" s="23">
        <v>14</v>
      </c>
      <c r="Q281" s="23">
        <v>1</v>
      </c>
      <c r="R281" s="36" t="s">
        <v>225</v>
      </c>
      <c r="S281" s="36" t="s">
        <v>225</v>
      </c>
      <c r="T281" s="36" t="s">
        <v>225</v>
      </c>
      <c r="U281" s="36">
        <v>42895.588888888888</v>
      </c>
      <c r="V281" s="36" t="s">
        <v>225</v>
      </c>
      <c r="W281" s="36" t="s">
        <v>688</v>
      </c>
      <c r="X281" s="36" t="s">
        <v>688</v>
      </c>
      <c r="Y281" s="36" t="s">
        <v>225</v>
      </c>
      <c r="Z281" s="36" t="s">
        <v>225</v>
      </c>
      <c r="AA281" s="23">
        <v>635</v>
      </c>
      <c r="AB281" s="23">
        <v>0.7</v>
      </c>
      <c r="AC281" s="23">
        <f>SUMIF(Tableau_Liste_UO[[Code UO]:[Code UO]],Tableau_Liste_KPI[[#This Row],[Code UO]], Tableau_Liste_UO[RAF])</f>
        <v>0</v>
      </c>
      <c r="AD281" s="23" t="e">
        <f>SUMIF(Tableau_Liste_UO[[Code UO]:[Code UO]],Tableau_Liste_KPI[[#This Row],[Code UO]], #REF!)</f>
        <v>#REF!</v>
      </c>
      <c r="AE281" s="37" t="s">
        <v>225</v>
      </c>
      <c r="AF281" s="37" t="s">
        <v>225</v>
      </c>
      <c r="AG281" s="37" t="s">
        <v>225</v>
      </c>
      <c r="AH281" s="37"/>
      <c r="AI281" s="38" t="e">
        <f>IF(Tableau_Liste_KPI[[#This Row],[Charge commandée]]="","",IF(Tableau_Liste_KPI[[#This Row],[Total]]&gt;Tableau_Liste_KPI[[#This Row],[Charge commandée]],"KO",""))</f>
        <v>#REF!</v>
      </c>
      <c r="AJ281" s="38" t="e">
        <f>IF(Tableau_Liste_KPI[[#This Row],[KPI Charges]]="KO",Tableau_Liste_KPI[[#This Row],[Charge commandée]]-Tableau_Liste_KPI[[#This Row],[Total]],"")</f>
        <v>#REF!</v>
      </c>
    </row>
    <row r="282" spans="1:36" ht="12" x14ac:dyDescent="0.2">
      <c r="A282" s="12" t="s">
        <v>126</v>
      </c>
      <c r="B282" s="12" t="s">
        <v>282</v>
      </c>
      <c r="C282" s="12" t="s">
        <v>259</v>
      </c>
      <c r="D282" s="12" t="s">
        <v>33</v>
      </c>
      <c r="E282" s="12" t="s">
        <v>99</v>
      </c>
      <c r="F282" s="12" t="s">
        <v>34</v>
      </c>
      <c r="G282" s="12" t="s">
        <v>714</v>
      </c>
      <c r="H282" s="6">
        <v>42893.442361111112</v>
      </c>
      <c r="I282" s="6">
        <v>42893.442835648151</v>
      </c>
      <c r="J282" s="6">
        <v>42893.44327546296</v>
      </c>
      <c r="K282" s="69">
        <v>42893.443333333336</v>
      </c>
      <c r="L282" s="13" t="s">
        <v>225</v>
      </c>
      <c r="M282" s="13">
        <v>0</v>
      </c>
      <c r="N282" s="13">
        <v>-1</v>
      </c>
      <c r="O282" s="12">
        <v>0</v>
      </c>
      <c r="P282" s="13">
        <v>-1</v>
      </c>
      <c r="Q282" s="13">
        <v>-1</v>
      </c>
      <c r="R282" s="33" t="s">
        <v>225</v>
      </c>
      <c r="S282" s="33" t="s">
        <v>225</v>
      </c>
      <c r="T282" s="33" t="s">
        <v>225</v>
      </c>
      <c r="U282" s="33">
        <v>42893.443055555559</v>
      </c>
      <c r="V282" s="33" t="s">
        <v>225</v>
      </c>
      <c r="W282" s="33" t="s">
        <v>688</v>
      </c>
      <c r="X282" s="33" t="s">
        <v>688</v>
      </c>
      <c r="Y282" s="33" t="s">
        <v>225</v>
      </c>
      <c r="Z282" s="33" t="s">
        <v>225</v>
      </c>
      <c r="AA282" s="13">
        <v>635</v>
      </c>
      <c r="AB282" s="13">
        <v>0.7</v>
      </c>
      <c r="AC282" s="13">
        <f>SUMIF(Tableau_Liste_UO[[Code UO]:[Code UO]],Tableau_Liste_KPI[[#This Row],[Code UO]], Tableau_Liste_UO[RAF])</f>
        <v>0</v>
      </c>
      <c r="AD282" s="13" t="e">
        <f>SUMIF(Tableau_Liste_UO[[Code UO]:[Code UO]],Tableau_Liste_KPI[[#This Row],[Code UO]], #REF!)</f>
        <v>#REF!</v>
      </c>
      <c r="AE282" s="34" t="s">
        <v>225</v>
      </c>
      <c r="AF282" s="34" t="s">
        <v>225</v>
      </c>
      <c r="AG282" s="34" t="s">
        <v>225</v>
      </c>
      <c r="AH282" s="34"/>
      <c r="AI282" s="35" t="e">
        <f>IF(Tableau_Liste_KPI[[#This Row],[Charge commandée]]="","",IF(Tableau_Liste_KPI[[#This Row],[Total]]&gt;Tableau_Liste_KPI[[#This Row],[Charge commandée]],"KO",""))</f>
        <v>#REF!</v>
      </c>
      <c r="AJ282" s="35" t="e">
        <f>IF(Tableau_Liste_KPI[[#This Row],[KPI Charges]]="KO",Tableau_Liste_KPI[[#This Row],[Charge commandée]]-Tableau_Liste_KPI[[#This Row],[Total]],"")</f>
        <v>#REF!</v>
      </c>
    </row>
    <row r="283" spans="1:36" ht="12" x14ac:dyDescent="0.2">
      <c r="A283" s="12" t="s">
        <v>127</v>
      </c>
      <c r="B283" s="12" t="s">
        <v>621</v>
      </c>
      <c r="C283" s="12" t="s">
        <v>259</v>
      </c>
      <c r="D283" s="12" t="s">
        <v>33</v>
      </c>
      <c r="E283" s="12" t="s">
        <v>538</v>
      </c>
      <c r="F283" s="12" t="s">
        <v>43</v>
      </c>
      <c r="G283" s="12" t="s">
        <v>696</v>
      </c>
      <c r="H283" s="6">
        <v>42891.466666666667</v>
      </c>
      <c r="I283" s="6">
        <v>42891.467291666668</v>
      </c>
      <c r="J283" s="6">
        <v>42899.429629629631</v>
      </c>
      <c r="K283" s="69">
        <v>42920.584722222222</v>
      </c>
      <c r="L283" s="13" t="s">
        <v>225</v>
      </c>
      <c r="M283" s="13">
        <v>2</v>
      </c>
      <c r="N283" s="13">
        <v>5</v>
      </c>
      <c r="O283" s="12">
        <v>0</v>
      </c>
      <c r="P283" s="13">
        <v>15</v>
      </c>
      <c r="Q283" s="13">
        <v>7</v>
      </c>
      <c r="R283" s="33">
        <v>10</v>
      </c>
      <c r="S283" s="33">
        <v>15</v>
      </c>
      <c r="T283" s="33" t="s">
        <v>225</v>
      </c>
      <c r="U283" s="33">
        <v>42901.723611111112</v>
      </c>
      <c r="V283" s="33" t="s">
        <v>225</v>
      </c>
      <c r="W283" s="33" t="s">
        <v>688</v>
      </c>
      <c r="X283" s="33" t="s">
        <v>692</v>
      </c>
      <c r="Y283" s="33">
        <v>42905</v>
      </c>
      <c r="Z283" s="33">
        <v>42912</v>
      </c>
      <c r="AA283" s="13">
        <v>3424</v>
      </c>
      <c r="AB283" s="13">
        <v>5</v>
      </c>
      <c r="AC283" s="13">
        <f>SUMIF(Tableau_Liste_UO[[Code UO]:[Code UO]],Tableau_Liste_KPI[[#This Row],[Code UO]], Tableau_Liste_UO[RAF])</f>
        <v>0</v>
      </c>
      <c r="AD283" s="13" t="e">
        <f>SUMIF(Tableau_Liste_UO[[Code UO]:[Code UO]],Tableau_Liste_KPI[[#This Row],[Code UO]], #REF!)</f>
        <v>#REF!</v>
      </c>
      <c r="AE283" s="34" t="s">
        <v>225</v>
      </c>
      <c r="AF283" s="34" t="s">
        <v>225</v>
      </c>
      <c r="AG283" s="34" t="s">
        <v>225</v>
      </c>
      <c r="AH283" s="34"/>
      <c r="AI283" s="35" t="e">
        <f>IF(Tableau_Liste_KPI[[#This Row],[Charge commandée]]="","",IF(Tableau_Liste_KPI[[#This Row],[Total]]&gt;Tableau_Liste_KPI[[#This Row],[Charge commandée]],"KO",""))</f>
        <v>#REF!</v>
      </c>
      <c r="AJ283" s="35" t="e">
        <f>IF(Tableau_Liste_KPI[[#This Row],[KPI Charges]]="KO",Tableau_Liste_KPI[[#This Row],[Charge commandée]]-Tableau_Liste_KPI[[#This Row],[Total]],"")</f>
        <v>#REF!</v>
      </c>
    </row>
    <row r="284" spans="1:36" ht="12" x14ac:dyDescent="0.2">
      <c r="A284" s="12" t="s">
        <v>128</v>
      </c>
      <c r="B284" s="12" t="s">
        <v>278</v>
      </c>
      <c r="C284" s="12" t="s">
        <v>259</v>
      </c>
      <c r="D284" s="12" t="s">
        <v>37</v>
      </c>
      <c r="E284" s="12" t="s">
        <v>544</v>
      </c>
      <c r="F284" s="12" t="s">
        <v>34</v>
      </c>
      <c r="G284" s="12" t="s">
        <v>702</v>
      </c>
      <c r="H284" s="6">
        <v>42891.445833333331</v>
      </c>
      <c r="I284" s="6">
        <v>42891.446608796294</v>
      </c>
      <c r="J284" s="6" t="s">
        <v>225</v>
      </c>
      <c r="K284" s="69">
        <v>43048.661134259259</v>
      </c>
      <c r="L284" s="13" t="s">
        <v>225</v>
      </c>
      <c r="M284" s="13">
        <v>-1</v>
      </c>
      <c r="N284" s="13">
        <v>53</v>
      </c>
      <c r="O284" s="12">
        <v>0</v>
      </c>
      <c r="P284" s="13" t="s">
        <v>225</v>
      </c>
      <c r="Q284" s="13">
        <v>52</v>
      </c>
      <c r="R284" s="33" t="s">
        <v>225</v>
      </c>
      <c r="S284" s="33" t="s">
        <v>225</v>
      </c>
      <c r="T284" s="33" t="s">
        <v>225</v>
      </c>
      <c r="U284" s="33" t="s">
        <v>225</v>
      </c>
      <c r="V284" s="33" t="s">
        <v>225</v>
      </c>
      <c r="W284" s="33" t="s">
        <v>688</v>
      </c>
      <c r="X284" s="33" t="s">
        <v>694</v>
      </c>
      <c r="Y284" s="33">
        <v>43039.445833333331</v>
      </c>
      <c r="Z284" s="33">
        <v>43039.445833333331</v>
      </c>
      <c r="AA284" s="13">
        <v>750</v>
      </c>
      <c r="AB284" s="13">
        <v>1</v>
      </c>
      <c r="AC284" s="13">
        <f>SUMIF(Tableau_Liste_UO[[Code UO]:[Code UO]],Tableau_Liste_KPI[[#This Row],[Code UO]], Tableau_Liste_UO[RAF])</f>
        <v>0</v>
      </c>
      <c r="AD284" s="13" t="e">
        <f>SUMIF(Tableau_Liste_UO[[Code UO]:[Code UO]],Tableau_Liste_KPI[[#This Row],[Code UO]], #REF!)</f>
        <v>#REF!</v>
      </c>
      <c r="AE284" s="34" t="s">
        <v>225</v>
      </c>
      <c r="AF284" s="34" t="s">
        <v>225</v>
      </c>
      <c r="AG284" s="34" t="s">
        <v>225</v>
      </c>
      <c r="AH284" s="34"/>
      <c r="AI284" s="35" t="e">
        <f>IF(Tableau_Liste_KPI[[#This Row],[Charge commandée]]="","",IF(Tableau_Liste_KPI[[#This Row],[Total]]&gt;Tableau_Liste_KPI[[#This Row],[Charge commandée]],"KO",""))</f>
        <v>#REF!</v>
      </c>
      <c r="AJ284" s="35" t="e">
        <f>IF(Tableau_Liste_KPI[[#This Row],[KPI Charges]]="KO",Tableau_Liste_KPI[[#This Row],[Charge commandée]]-Tableau_Liste_KPI[[#This Row],[Total]],"")</f>
        <v>#REF!</v>
      </c>
    </row>
    <row r="285" spans="1:36" ht="12" x14ac:dyDescent="0.2">
      <c r="A285" s="12" t="s">
        <v>129</v>
      </c>
      <c r="B285" s="12" t="s">
        <v>278</v>
      </c>
      <c r="C285" s="12" t="s">
        <v>259</v>
      </c>
      <c r="D285" s="12" t="s">
        <v>37</v>
      </c>
      <c r="E285" s="12" t="s">
        <v>544</v>
      </c>
      <c r="F285" s="12" t="s">
        <v>34</v>
      </c>
      <c r="G285" s="12" t="s">
        <v>702</v>
      </c>
      <c r="H285" s="6">
        <v>42891.445138888892</v>
      </c>
      <c r="I285" s="6">
        <v>42891.445717592593</v>
      </c>
      <c r="J285" s="6" t="s">
        <v>225</v>
      </c>
      <c r="K285" s="69">
        <v>43048.683171296296</v>
      </c>
      <c r="L285" s="13" t="s">
        <v>225</v>
      </c>
      <c r="M285" s="13">
        <v>-1</v>
      </c>
      <c r="N285" s="13">
        <v>53</v>
      </c>
      <c r="O285" s="12">
        <v>0</v>
      </c>
      <c r="P285" s="13" t="s">
        <v>225</v>
      </c>
      <c r="Q285" s="13">
        <v>52</v>
      </c>
      <c r="R285" s="33" t="s">
        <v>225</v>
      </c>
      <c r="S285" s="33" t="s">
        <v>225</v>
      </c>
      <c r="T285" s="33" t="s">
        <v>225</v>
      </c>
      <c r="U285" s="33" t="s">
        <v>225</v>
      </c>
      <c r="V285" s="33" t="s">
        <v>225</v>
      </c>
      <c r="W285" s="33" t="s">
        <v>688</v>
      </c>
      <c r="X285" s="33" t="s">
        <v>694</v>
      </c>
      <c r="Y285" s="33">
        <v>43022.444444444445</v>
      </c>
      <c r="Z285" s="33">
        <v>43022.444444444445</v>
      </c>
      <c r="AA285" s="13">
        <v>2625</v>
      </c>
      <c r="AB285" s="13">
        <v>3.5</v>
      </c>
      <c r="AC285" s="13">
        <f>SUMIF(Tableau_Liste_UO[[Code UO]:[Code UO]],Tableau_Liste_KPI[[#This Row],[Code UO]], Tableau_Liste_UO[RAF])</f>
        <v>0</v>
      </c>
      <c r="AD285" s="13" t="e">
        <f>SUMIF(Tableau_Liste_UO[[Code UO]:[Code UO]],Tableau_Liste_KPI[[#This Row],[Code UO]], #REF!)</f>
        <v>#REF!</v>
      </c>
      <c r="AE285" s="34" t="s">
        <v>225</v>
      </c>
      <c r="AF285" s="34" t="s">
        <v>225</v>
      </c>
      <c r="AG285" s="34" t="s">
        <v>225</v>
      </c>
      <c r="AH285" s="34"/>
      <c r="AI285" s="35" t="e">
        <f>IF(Tableau_Liste_KPI[[#This Row],[Charge commandée]]="","",IF(Tableau_Liste_KPI[[#This Row],[Total]]&gt;Tableau_Liste_KPI[[#This Row],[Charge commandée]],"KO",""))</f>
        <v>#REF!</v>
      </c>
      <c r="AJ285" s="35" t="e">
        <f>IF(Tableau_Liste_KPI[[#This Row],[KPI Charges]]="KO",Tableau_Liste_KPI[[#This Row],[Charge commandée]]-Tableau_Liste_KPI[[#This Row],[Total]],"")</f>
        <v>#REF!</v>
      </c>
    </row>
    <row r="286" spans="1:36" ht="12" x14ac:dyDescent="0.2">
      <c r="A286" s="12" t="s">
        <v>130</v>
      </c>
      <c r="B286" s="12" t="s">
        <v>280</v>
      </c>
      <c r="C286" s="12" t="s">
        <v>259</v>
      </c>
      <c r="D286" s="12" t="s">
        <v>37</v>
      </c>
      <c r="E286" s="12" t="s">
        <v>544</v>
      </c>
      <c r="F286" s="12" t="s">
        <v>34</v>
      </c>
      <c r="G286" s="12" t="s">
        <v>702</v>
      </c>
      <c r="H286" s="6">
        <v>42891.440972222219</v>
      </c>
      <c r="I286" s="6">
        <v>42891.442071759258</v>
      </c>
      <c r="J286" s="6" t="s">
        <v>225</v>
      </c>
      <c r="K286" s="69">
        <v>43003.773668981485</v>
      </c>
      <c r="L286" s="13" t="s">
        <v>225</v>
      </c>
      <c r="M286" s="13">
        <v>-1</v>
      </c>
      <c r="N286" s="13">
        <v>19</v>
      </c>
      <c r="O286" s="12">
        <v>0</v>
      </c>
      <c r="P286" s="13" t="s">
        <v>225</v>
      </c>
      <c r="Q286" s="13">
        <v>18</v>
      </c>
      <c r="R286" s="33" t="s">
        <v>225</v>
      </c>
      <c r="S286" s="33" t="s">
        <v>225</v>
      </c>
      <c r="T286" s="33" t="s">
        <v>225</v>
      </c>
      <c r="U286" s="33" t="s">
        <v>225</v>
      </c>
      <c r="V286" s="33" t="s">
        <v>225</v>
      </c>
      <c r="W286" s="33" t="s">
        <v>688</v>
      </c>
      <c r="X286" s="33" t="s">
        <v>690</v>
      </c>
      <c r="Y286" s="33">
        <v>42978.440972222219</v>
      </c>
      <c r="Z286" s="33">
        <v>42978.440972222219</v>
      </c>
      <c r="AA286" s="13">
        <v>1500</v>
      </c>
      <c r="AB286" s="13">
        <v>2</v>
      </c>
      <c r="AC286" s="13">
        <f>SUMIF(Tableau_Liste_UO[[Code UO]:[Code UO]],Tableau_Liste_KPI[[#This Row],[Code UO]], Tableau_Liste_UO[RAF])</f>
        <v>0</v>
      </c>
      <c r="AD286" s="13" t="e">
        <f>SUMIF(Tableau_Liste_UO[[Code UO]:[Code UO]],Tableau_Liste_KPI[[#This Row],[Code UO]], #REF!)</f>
        <v>#REF!</v>
      </c>
      <c r="AE286" s="34" t="s">
        <v>225</v>
      </c>
      <c r="AF286" s="34" t="s">
        <v>225</v>
      </c>
      <c r="AG286" s="34" t="s">
        <v>225</v>
      </c>
      <c r="AH286" s="34"/>
      <c r="AI286" s="35" t="e">
        <f>IF(Tableau_Liste_KPI[[#This Row],[Charge commandée]]="","",IF(Tableau_Liste_KPI[[#This Row],[Total]]&gt;Tableau_Liste_KPI[[#This Row],[Charge commandée]],"KO",""))</f>
        <v>#REF!</v>
      </c>
      <c r="AJ286" s="35" t="e">
        <f>IF(Tableau_Liste_KPI[[#This Row],[KPI Charges]]="KO",Tableau_Liste_KPI[[#This Row],[Charge commandée]]-Tableau_Liste_KPI[[#This Row],[Total]],"")</f>
        <v>#REF!</v>
      </c>
    </row>
    <row r="287" spans="1:36" ht="12" x14ac:dyDescent="0.2">
      <c r="A287" s="12" t="s">
        <v>131</v>
      </c>
      <c r="B287" s="12" t="s">
        <v>278</v>
      </c>
      <c r="C287" s="12" t="s">
        <v>259</v>
      </c>
      <c r="D287" s="12" t="s">
        <v>37</v>
      </c>
      <c r="E287" s="12" t="s">
        <v>544</v>
      </c>
      <c r="F287" s="12" t="s">
        <v>34</v>
      </c>
      <c r="G287" s="12" t="s">
        <v>702</v>
      </c>
      <c r="H287" s="6">
        <v>42891.425694444442</v>
      </c>
      <c r="I287" s="6">
        <v>42891.44258101852</v>
      </c>
      <c r="J287" s="6" t="s">
        <v>225</v>
      </c>
      <c r="K287" s="69">
        <v>42985.450324074074</v>
      </c>
      <c r="L287" s="13" t="s">
        <v>225</v>
      </c>
      <c r="M287" s="13">
        <v>-1</v>
      </c>
      <c r="N287" s="13">
        <v>13</v>
      </c>
      <c r="O287" s="12">
        <v>0</v>
      </c>
      <c r="P287" s="13" t="s">
        <v>225</v>
      </c>
      <c r="Q287" s="13">
        <v>12</v>
      </c>
      <c r="R287" s="33" t="s">
        <v>225</v>
      </c>
      <c r="S287" s="33" t="s">
        <v>225</v>
      </c>
      <c r="T287" s="33" t="s">
        <v>225</v>
      </c>
      <c r="U287" s="33" t="s">
        <v>225</v>
      </c>
      <c r="V287" s="33" t="s">
        <v>225</v>
      </c>
      <c r="W287" s="33" t="s">
        <v>688</v>
      </c>
      <c r="X287" s="33" t="s">
        <v>690</v>
      </c>
      <c r="Y287" s="33">
        <v>42947.425694444442</v>
      </c>
      <c r="Z287" s="33">
        <v>42947.425694444442</v>
      </c>
      <c r="AA287" s="13">
        <v>3000</v>
      </c>
      <c r="AB287" s="13">
        <v>4</v>
      </c>
      <c r="AC287" s="13">
        <f>SUMIF(Tableau_Liste_UO[[Code UO]:[Code UO]],Tableau_Liste_KPI[[#This Row],[Code UO]], Tableau_Liste_UO[RAF])</f>
        <v>0</v>
      </c>
      <c r="AD287" s="13" t="e">
        <f>SUMIF(Tableau_Liste_UO[[Code UO]:[Code UO]],Tableau_Liste_KPI[[#This Row],[Code UO]], #REF!)</f>
        <v>#REF!</v>
      </c>
      <c r="AE287" s="34" t="s">
        <v>225</v>
      </c>
      <c r="AF287" s="34" t="s">
        <v>225</v>
      </c>
      <c r="AG287" s="34" t="s">
        <v>225</v>
      </c>
      <c r="AH287" s="34"/>
      <c r="AI287" s="35" t="e">
        <f>IF(Tableau_Liste_KPI[[#This Row],[Charge commandée]]="","",IF(Tableau_Liste_KPI[[#This Row],[Total]]&gt;Tableau_Liste_KPI[[#This Row],[Charge commandée]],"KO",""))</f>
        <v>#REF!</v>
      </c>
      <c r="AJ287" s="35" t="e">
        <f>IF(Tableau_Liste_KPI[[#This Row],[KPI Charges]]="KO",Tableau_Liste_KPI[[#This Row],[Charge commandée]]-Tableau_Liste_KPI[[#This Row],[Total]],"")</f>
        <v>#REF!</v>
      </c>
    </row>
    <row r="288" spans="1:36" ht="12" x14ac:dyDescent="0.2">
      <c r="A288" s="12" t="s">
        <v>132</v>
      </c>
      <c r="B288" s="12" t="s">
        <v>278</v>
      </c>
      <c r="C288" s="12" t="s">
        <v>259</v>
      </c>
      <c r="D288" s="12" t="s">
        <v>37</v>
      </c>
      <c r="E288" s="12" t="s">
        <v>544</v>
      </c>
      <c r="F288" s="12" t="s">
        <v>43</v>
      </c>
      <c r="G288" s="12" t="s">
        <v>702</v>
      </c>
      <c r="H288" s="6">
        <v>42891.42291666667</v>
      </c>
      <c r="I288" s="6">
        <v>42891.442893518521</v>
      </c>
      <c r="J288" s="6">
        <v>42943.446597222224</v>
      </c>
      <c r="K288" s="69">
        <v>42999.382002314815</v>
      </c>
      <c r="L288" s="13" t="s">
        <v>225</v>
      </c>
      <c r="M288" s="13">
        <v>0</v>
      </c>
      <c r="N288" s="13">
        <v>37</v>
      </c>
      <c r="O288" s="12">
        <v>0</v>
      </c>
      <c r="P288" s="13" t="s">
        <v>225</v>
      </c>
      <c r="Q288" s="13">
        <v>37</v>
      </c>
      <c r="R288" s="33" t="s">
        <v>225</v>
      </c>
      <c r="S288" s="33" t="s">
        <v>225</v>
      </c>
      <c r="T288" s="33">
        <v>42916.42291666667</v>
      </c>
      <c r="U288" s="33" t="s">
        <v>225</v>
      </c>
      <c r="V288" s="33" t="s">
        <v>225</v>
      </c>
      <c r="W288" s="33" t="s">
        <v>688</v>
      </c>
      <c r="X288" s="33" t="s">
        <v>690</v>
      </c>
      <c r="Y288" s="33">
        <v>42916.429166666669</v>
      </c>
      <c r="Z288" s="33">
        <v>42916.429166666669</v>
      </c>
      <c r="AA288" s="13">
        <v>3000</v>
      </c>
      <c r="AB288" s="13">
        <v>4</v>
      </c>
      <c r="AC288" s="13">
        <f>SUMIF(Tableau_Liste_UO[[Code UO]:[Code UO]],Tableau_Liste_KPI[[#This Row],[Code UO]], Tableau_Liste_UO[RAF])</f>
        <v>0</v>
      </c>
      <c r="AD288" s="13" t="e">
        <f>SUMIF(Tableau_Liste_UO[[Code UO]:[Code UO]],Tableau_Liste_KPI[[#This Row],[Code UO]], #REF!)</f>
        <v>#REF!</v>
      </c>
      <c r="AE288" s="34" t="s">
        <v>225</v>
      </c>
      <c r="AF288" s="34" t="s">
        <v>225</v>
      </c>
      <c r="AG288" s="34" t="s">
        <v>225</v>
      </c>
      <c r="AH288" s="34"/>
      <c r="AI288" s="35" t="e">
        <f>IF(Tableau_Liste_KPI[[#This Row],[Charge commandée]]="","",IF(Tableau_Liste_KPI[[#This Row],[Total]]&gt;Tableau_Liste_KPI[[#This Row],[Charge commandée]],"KO",""))</f>
        <v>#REF!</v>
      </c>
      <c r="AJ288" s="35" t="e">
        <f>IF(Tableau_Liste_KPI[[#This Row],[KPI Charges]]="KO",Tableau_Liste_KPI[[#This Row],[Charge commandée]]-Tableau_Liste_KPI[[#This Row],[Total]],"")</f>
        <v>#REF!</v>
      </c>
    </row>
    <row r="289" spans="1:36" ht="12" x14ac:dyDescent="0.2">
      <c r="A289" s="12" t="s">
        <v>133</v>
      </c>
      <c r="B289" s="12" t="s">
        <v>279</v>
      </c>
      <c r="C289" s="12" t="s">
        <v>259</v>
      </c>
      <c r="D289" s="12" t="s">
        <v>37</v>
      </c>
      <c r="E289" s="12" t="s">
        <v>539</v>
      </c>
      <c r="F289" s="12" t="s">
        <v>43</v>
      </c>
      <c r="G289" s="12" t="s">
        <v>718</v>
      </c>
      <c r="H289" s="6">
        <v>42891.42083333333</v>
      </c>
      <c r="I289" s="6">
        <v>42943.669768518521</v>
      </c>
      <c r="J289" s="6">
        <v>42948.657233796293</v>
      </c>
      <c r="K289" s="69">
        <v>42948.815057870372</v>
      </c>
      <c r="L289" s="13" t="s">
        <v>225</v>
      </c>
      <c r="M289" s="13">
        <v>4</v>
      </c>
      <c r="N289" s="13">
        <v>-1</v>
      </c>
      <c r="O289" s="12">
        <v>0</v>
      </c>
      <c r="P289" s="13">
        <v>-1</v>
      </c>
      <c r="Q289" s="13">
        <v>3</v>
      </c>
      <c r="R289" s="33">
        <v>10</v>
      </c>
      <c r="S289" s="33">
        <v>20</v>
      </c>
      <c r="T289" s="33">
        <v>42909.417361111111</v>
      </c>
      <c r="U289" s="33">
        <v>42947.609027777777</v>
      </c>
      <c r="V289" s="33" t="s">
        <v>225</v>
      </c>
      <c r="W289" s="33" t="s">
        <v>692</v>
      </c>
      <c r="X289" s="33" t="s">
        <v>697</v>
      </c>
      <c r="Y289" s="33">
        <v>42957</v>
      </c>
      <c r="Z289" s="33">
        <v>42972</v>
      </c>
      <c r="AA289" s="13">
        <v>3898</v>
      </c>
      <c r="AB289" s="13">
        <v>5.0999999999999996</v>
      </c>
      <c r="AC289" s="13">
        <f>SUMIF(Tableau_Liste_UO[[Code UO]:[Code UO]],Tableau_Liste_KPI[[#This Row],[Code UO]], Tableau_Liste_UO[RAF])</f>
        <v>0</v>
      </c>
      <c r="AD289" s="13" t="e">
        <f>SUMIF(Tableau_Liste_UO[[Code UO]:[Code UO]],Tableau_Liste_KPI[[#This Row],[Code UO]], #REF!)</f>
        <v>#REF!</v>
      </c>
      <c r="AE289" s="34" t="s">
        <v>225</v>
      </c>
      <c r="AF289" s="34" t="s">
        <v>225</v>
      </c>
      <c r="AG289" s="34" t="s">
        <v>225</v>
      </c>
      <c r="AH289" s="34"/>
      <c r="AI289" s="35" t="e">
        <f>IF(Tableau_Liste_KPI[[#This Row],[Charge commandée]]="","",IF(Tableau_Liste_KPI[[#This Row],[Total]]&gt;Tableau_Liste_KPI[[#This Row],[Charge commandée]],"KO",""))</f>
        <v>#REF!</v>
      </c>
      <c r="AJ289" s="35" t="e">
        <f>IF(Tableau_Liste_KPI[[#This Row],[KPI Charges]]="KO",Tableau_Liste_KPI[[#This Row],[Charge commandée]]-Tableau_Liste_KPI[[#This Row],[Total]],"")</f>
        <v>#REF!</v>
      </c>
    </row>
    <row r="290" spans="1:36" ht="12" x14ac:dyDescent="0.2">
      <c r="A290" s="12" t="s">
        <v>134</v>
      </c>
      <c r="B290" s="12" t="s">
        <v>278</v>
      </c>
      <c r="C290" s="12" t="s">
        <v>259</v>
      </c>
      <c r="D290" s="12" t="s">
        <v>37</v>
      </c>
      <c r="E290" s="12" t="s">
        <v>544</v>
      </c>
      <c r="F290" s="12" t="s">
        <v>43</v>
      </c>
      <c r="G290" s="12" t="s">
        <v>702</v>
      </c>
      <c r="H290" s="6">
        <v>42891.420138888891</v>
      </c>
      <c r="I290" s="6">
        <v>42891.442303240743</v>
      </c>
      <c r="J290" s="6">
        <v>42892.68545138889</v>
      </c>
      <c r="K290" s="69">
        <v>42892.685567129629</v>
      </c>
      <c r="L290" s="13" t="s">
        <v>225</v>
      </c>
      <c r="M290" s="13">
        <v>0</v>
      </c>
      <c r="N290" s="13">
        <v>0</v>
      </c>
      <c r="O290" s="12">
        <v>0</v>
      </c>
      <c r="P290" s="13" t="s">
        <v>225</v>
      </c>
      <c r="Q290" s="13" t="s">
        <v>225</v>
      </c>
      <c r="R290" s="33" t="s">
        <v>225</v>
      </c>
      <c r="S290" s="33" t="s">
        <v>225</v>
      </c>
      <c r="T290" s="33">
        <v>42886.420138888891</v>
      </c>
      <c r="U290" s="33" t="s">
        <v>225</v>
      </c>
      <c r="V290" s="33" t="s">
        <v>225</v>
      </c>
      <c r="W290" s="33" t="s">
        <v>688</v>
      </c>
      <c r="X290" s="33" t="s">
        <v>688</v>
      </c>
      <c r="Y290" s="33">
        <v>42886.430555555555</v>
      </c>
      <c r="Z290" s="33">
        <v>42886.430555555555</v>
      </c>
      <c r="AA290" s="13">
        <v>750</v>
      </c>
      <c r="AB290" s="13">
        <v>1</v>
      </c>
      <c r="AC290" s="13">
        <f>SUMIF(Tableau_Liste_UO[[Code UO]:[Code UO]],Tableau_Liste_KPI[[#This Row],[Code UO]], Tableau_Liste_UO[RAF])</f>
        <v>0</v>
      </c>
      <c r="AD290" s="13" t="e">
        <f>SUMIF(Tableau_Liste_UO[[Code UO]:[Code UO]],Tableau_Liste_KPI[[#This Row],[Code UO]], #REF!)</f>
        <v>#REF!</v>
      </c>
      <c r="AE290" s="34" t="s">
        <v>225</v>
      </c>
      <c r="AF290" s="34" t="s">
        <v>225</v>
      </c>
      <c r="AG290" s="34" t="s">
        <v>225</v>
      </c>
      <c r="AH290" s="34"/>
      <c r="AI290" s="35" t="e">
        <f>IF(Tableau_Liste_KPI[[#This Row],[Charge commandée]]="","",IF(Tableau_Liste_KPI[[#This Row],[Total]]&gt;Tableau_Liste_KPI[[#This Row],[Charge commandée]],"KO",""))</f>
        <v>#REF!</v>
      </c>
      <c r="AJ290" s="35" t="e">
        <f>IF(Tableau_Liste_KPI[[#This Row],[KPI Charges]]="KO",Tableau_Liste_KPI[[#This Row],[Charge commandée]]-Tableau_Liste_KPI[[#This Row],[Total]],"")</f>
        <v>#REF!</v>
      </c>
    </row>
    <row r="291" spans="1:36" ht="12" x14ac:dyDescent="0.2">
      <c r="A291" s="12" t="s">
        <v>135</v>
      </c>
      <c r="B291" s="12" t="s">
        <v>277</v>
      </c>
      <c r="C291" s="12" t="s">
        <v>259</v>
      </c>
      <c r="D291" s="12" t="s">
        <v>37</v>
      </c>
      <c r="E291" s="12" t="s">
        <v>544</v>
      </c>
      <c r="F291" s="12" t="s">
        <v>34</v>
      </c>
      <c r="G291" s="12" t="s">
        <v>702</v>
      </c>
      <c r="H291" s="6">
        <v>42888.671527777777</v>
      </c>
      <c r="I291" s="6">
        <v>42892.650300925925</v>
      </c>
      <c r="J291" s="6">
        <v>42927.506886574076</v>
      </c>
      <c r="K291" s="69">
        <v>42999.502870370372</v>
      </c>
      <c r="L291" s="13" t="s">
        <v>225</v>
      </c>
      <c r="M291" s="13">
        <v>0</v>
      </c>
      <c r="N291" s="13">
        <v>37</v>
      </c>
      <c r="O291" s="12">
        <v>0</v>
      </c>
      <c r="P291" s="13" t="s">
        <v>225</v>
      </c>
      <c r="Q291" s="13">
        <v>37</v>
      </c>
      <c r="R291" s="33" t="s">
        <v>225</v>
      </c>
      <c r="S291" s="33" t="s">
        <v>225</v>
      </c>
      <c r="T291" s="33" t="s">
        <v>225</v>
      </c>
      <c r="U291" s="33" t="s">
        <v>225</v>
      </c>
      <c r="V291" s="33" t="s">
        <v>225</v>
      </c>
      <c r="W291" s="33" t="s">
        <v>688</v>
      </c>
      <c r="X291" s="33" t="s">
        <v>690</v>
      </c>
      <c r="Y291" s="33">
        <v>42916.67083333333</v>
      </c>
      <c r="Z291" s="33">
        <v>42916.67083333333</v>
      </c>
      <c r="AA291" s="13">
        <v>3750</v>
      </c>
      <c r="AB291" s="13">
        <v>5</v>
      </c>
      <c r="AC291" s="13">
        <f>SUMIF(Tableau_Liste_UO[[Code UO]:[Code UO]],Tableau_Liste_KPI[[#This Row],[Code UO]], Tableau_Liste_UO[RAF])</f>
        <v>0</v>
      </c>
      <c r="AD291" s="13" t="e">
        <f>SUMIF(Tableau_Liste_UO[[Code UO]:[Code UO]],Tableau_Liste_KPI[[#This Row],[Code UO]], #REF!)</f>
        <v>#REF!</v>
      </c>
      <c r="AE291" s="34" t="s">
        <v>225</v>
      </c>
      <c r="AF291" s="34" t="s">
        <v>225</v>
      </c>
      <c r="AG291" s="34" t="s">
        <v>225</v>
      </c>
      <c r="AH291" s="34"/>
      <c r="AI291" s="35" t="e">
        <f>IF(Tableau_Liste_KPI[[#This Row],[Charge commandée]]="","",IF(Tableau_Liste_KPI[[#This Row],[Total]]&gt;Tableau_Liste_KPI[[#This Row],[Charge commandée]],"KO",""))</f>
        <v>#REF!</v>
      </c>
      <c r="AJ291" s="35" t="e">
        <f>IF(Tableau_Liste_KPI[[#This Row],[KPI Charges]]="KO",Tableau_Liste_KPI[[#This Row],[Charge commandée]]-Tableau_Liste_KPI[[#This Row],[Total]],"")</f>
        <v>#REF!</v>
      </c>
    </row>
    <row r="292" spans="1:36" ht="12" x14ac:dyDescent="0.2">
      <c r="A292" s="12" t="s">
        <v>136</v>
      </c>
      <c r="B292" s="12" t="s">
        <v>276</v>
      </c>
      <c r="C292" s="12" t="s">
        <v>173</v>
      </c>
      <c r="D292" s="12" t="s">
        <v>37</v>
      </c>
      <c r="E292" s="12" t="s">
        <v>544</v>
      </c>
      <c r="F292" s="12" t="s">
        <v>34</v>
      </c>
      <c r="G292" s="12" t="s">
        <v>702</v>
      </c>
      <c r="H292" s="6">
        <v>42886.618750000001</v>
      </c>
      <c r="I292" s="6">
        <v>42886.620162037034</v>
      </c>
      <c r="J292" s="6" t="s">
        <v>225</v>
      </c>
      <c r="K292" s="69" t="s">
        <v>225</v>
      </c>
      <c r="L292" s="13" t="s">
        <v>225</v>
      </c>
      <c r="M292" s="13">
        <v>0</v>
      </c>
      <c r="N292" s="13">
        <v>0</v>
      </c>
      <c r="O292" s="12">
        <v>0</v>
      </c>
      <c r="P292" s="13" t="s">
        <v>225</v>
      </c>
      <c r="Q292" s="13" t="s">
        <v>225</v>
      </c>
      <c r="R292" s="33" t="s">
        <v>225</v>
      </c>
      <c r="S292" s="33" t="s">
        <v>225</v>
      </c>
      <c r="T292" s="33" t="s">
        <v>225</v>
      </c>
      <c r="U292" s="33" t="s">
        <v>225</v>
      </c>
      <c r="V292" s="33" t="s">
        <v>225</v>
      </c>
      <c r="W292" s="33" t="s">
        <v>711</v>
      </c>
      <c r="X292" s="33" t="s">
        <v>225</v>
      </c>
      <c r="Y292" s="33">
        <v>42916.617361111108</v>
      </c>
      <c r="Z292" s="33">
        <v>42916.617361111108</v>
      </c>
      <c r="AA292" s="13">
        <v>0</v>
      </c>
      <c r="AB292" s="13">
        <v>0</v>
      </c>
      <c r="AC292" s="13">
        <f>SUMIF(Tableau_Liste_UO[[Code UO]:[Code UO]],Tableau_Liste_KPI[[#This Row],[Code UO]], Tableau_Liste_UO[RAF])</f>
        <v>0</v>
      </c>
      <c r="AD292" s="13" t="e">
        <f>SUMIF(Tableau_Liste_UO[[Code UO]:[Code UO]],Tableau_Liste_KPI[[#This Row],[Code UO]], #REF!)</f>
        <v>#REF!</v>
      </c>
      <c r="AE292" s="34" t="s">
        <v>225</v>
      </c>
      <c r="AF292" s="34" t="s">
        <v>225</v>
      </c>
      <c r="AG292" s="34" t="s">
        <v>225</v>
      </c>
      <c r="AH292" s="34"/>
      <c r="AI292" s="35" t="e">
        <f>IF(Tableau_Liste_KPI[[#This Row],[Charge commandée]]="","",IF(Tableau_Liste_KPI[[#This Row],[Total]]&gt;Tableau_Liste_KPI[[#This Row],[Charge commandée]],"KO",""))</f>
        <v>#REF!</v>
      </c>
      <c r="AJ292" s="35" t="e">
        <f>IF(Tableau_Liste_KPI[[#This Row],[KPI Charges]]="KO",Tableau_Liste_KPI[[#This Row],[Charge commandée]]-Tableau_Liste_KPI[[#This Row],[Total]],"")</f>
        <v>#REF!</v>
      </c>
    </row>
    <row r="293" spans="1:36" ht="12" x14ac:dyDescent="0.2">
      <c r="A293" s="12" t="s">
        <v>137</v>
      </c>
      <c r="B293" s="12" t="s">
        <v>275</v>
      </c>
      <c r="C293" s="12" t="s">
        <v>259</v>
      </c>
      <c r="D293" s="12" t="s">
        <v>33</v>
      </c>
      <c r="E293" s="12" t="s">
        <v>99</v>
      </c>
      <c r="F293" s="12" t="s">
        <v>34</v>
      </c>
      <c r="G293" s="12" t="s">
        <v>714</v>
      </c>
      <c r="H293" s="6">
        <v>42884.490277777775</v>
      </c>
      <c r="I293" s="6">
        <v>42884.491898148146</v>
      </c>
      <c r="J293" s="6">
        <v>42895.580243055556</v>
      </c>
      <c r="K293" s="69">
        <v>42913.626655092594</v>
      </c>
      <c r="L293" s="13" t="s">
        <v>225</v>
      </c>
      <c r="M293" s="13">
        <v>4</v>
      </c>
      <c r="N293" s="13">
        <v>6</v>
      </c>
      <c r="O293" s="12">
        <v>0</v>
      </c>
      <c r="P293" s="13">
        <v>12</v>
      </c>
      <c r="Q293" s="13">
        <v>10</v>
      </c>
      <c r="R293" s="33" t="s">
        <v>225</v>
      </c>
      <c r="S293" s="33" t="s">
        <v>225</v>
      </c>
      <c r="T293" s="33">
        <v>42888</v>
      </c>
      <c r="U293" s="33">
        <v>42892.709027777775</v>
      </c>
      <c r="V293" s="33" t="s">
        <v>225</v>
      </c>
      <c r="W293" s="33" t="s">
        <v>711</v>
      </c>
      <c r="X293" s="33" t="s">
        <v>688</v>
      </c>
      <c r="Y293" s="33" t="s">
        <v>225</v>
      </c>
      <c r="Z293" s="33" t="s">
        <v>225</v>
      </c>
      <c r="AA293" s="13">
        <v>635</v>
      </c>
      <c r="AB293" s="13">
        <v>0.7</v>
      </c>
      <c r="AC293" s="13">
        <f>SUMIF(Tableau_Liste_UO[[Code UO]:[Code UO]],Tableau_Liste_KPI[[#This Row],[Code UO]], Tableau_Liste_UO[RAF])</f>
        <v>0</v>
      </c>
      <c r="AD293" s="13" t="e">
        <f>SUMIF(Tableau_Liste_UO[[Code UO]:[Code UO]],Tableau_Liste_KPI[[#This Row],[Code UO]], #REF!)</f>
        <v>#REF!</v>
      </c>
      <c r="AE293" s="34" t="s">
        <v>225</v>
      </c>
      <c r="AF293" s="34" t="s">
        <v>225</v>
      </c>
      <c r="AG293" s="34" t="s">
        <v>225</v>
      </c>
      <c r="AH293" s="34"/>
      <c r="AI293" s="35" t="e">
        <f>IF(Tableau_Liste_KPI[[#This Row],[Charge commandée]]="","",IF(Tableau_Liste_KPI[[#This Row],[Total]]&gt;Tableau_Liste_KPI[[#This Row],[Charge commandée]],"KO",""))</f>
        <v>#REF!</v>
      </c>
      <c r="AJ293" s="35" t="e">
        <f>IF(Tableau_Liste_KPI[[#This Row],[KPI Charges]]="KO",Tableau_Liste_KPI[[#This Row],[Charge commandée]]-Tableau_Liste_KPI[[#This Row],[Total]],"")</f>
        <v>#REF!</v>
      </c>
    </row>
    <row r="294" spans="1:36" ht="12" x14ac:dyDescent="0.2">
      <c r="A294" s="25" t="s">
        <v>138</v>
      </c>
      <c r="B294" s="25" t="s">
        <v>622</v>
      </c>
      <c r="C294" s="12" t="s">
        <v>259</v>
      </c>
      <c r="D294" s="25" t="s">
        <v>37</v>
      </c>
      <c r="E294" s="25" t="s">
        <v>540</v>
      </c>
      <c r="F294" s="25" t="s">
        <v>192</v>
      </c>
      <c r="G294" s="25" t="s">
        <v>695</v>
      </c>
      <c r="H294" s="24">
        <v>42879.726388888892</v>
      </c>
      <c r="I294" s="24">
        <v>42934.646145833336</v>
      </c>
      <c r="J294" s="24">
        <v>43059.735636574071</v>
      </c>
      <c r="K294" s="71">
        <v>43069.476064814815</v>
      </c>
      <c r="L294" s="26" t="s">
        <v>225</v>
      </c>
      <c r="M294" s="26">
        <v>11</v>
      </c>
      <c r="N294" s="26">
        <v>51</v>
      </c>
      <c r="O294" s="25">
        <v>25</v>
      </c>
      <c r="P294" s="26">
        <v>8</v>
      </c>
      <c r="Q294" s="26">
        <v>62</v>
      </c>
      <c r="R294" s="39">
        <v>15</v>
      </c>
      <c r="S294" s="39">
        <v>25</v>
      </c>
      <c r="T294" s="39">
        <v>42948.726388888892</v>
      </c>
      <c r="U294" s="39">
        <v>42975.463194444441</v>
      </c>
      <c r="V294" s="39">
        <v>43055.875</v>
      </c>
      <c r="W294" s="39" t="s">
        <v>692</v>
      </c>
      <c r="X294" s="39" t="s">
        <v>694</v>
      </c>
      <c r="Y294" s="39">
        <v>42991</v>
      </c>
      <c r="Z294" s="39">
        <v>43005</v>
      </c>
      <c r="AA294" s="26">
        <v>7874</v>
      </c>
      <c r="AB294" s="26">
        <v>9.6</v>
      </c>
      <c r="AC294" s="26">
        <f>SUMIF(Tableau_Liste_UO[[Code UO]:[Code UO]],Tableau_Liste_KPI[[#This Row],[Code UO]], Tableau_Liste_UO[RAF])</f>
        <v>0</v>
      </c>
      <c r="AD294" s="26" t="e">
        <f>SUMIF(Tableau_Liste_UO[[Code UO]:[Code UO]],Tableau_Liste_KPI[[#This Row],[Code UO]], #REF!)</f>
        <v>#REF!</v>
      </c>
      <c r="AE294" s="40" t="s">
        <v>721</v>
      </c>
      <c r="AF294" s="40" t="s">
        <v>721</v>
      </c>
      <c r="AG294" s="40" t="s">
        <v>225</v>
      </c>
      <c r="AH294" s="40"/>
      <c r="AI294" s="41" t="e">
        <f>IF(Tableau_Liste_KPI[[#This Row],[Charge commandée]]="","",IF(Tableau_Liste_KPI[[#This Row],[Total]]&gt;Tableau_Liste_KPI[[#This Row],[Charge commandée]],"KO",""))</f>
        <v>#REF!</v>
      </c>
      <c r="AJ294" s="41" t="e">
        <f>IF(Tableau_Liste_KPI[[#This Row],[KPI Charges]]="KO",Tableau_Liste_KPI[[#This Row],[Charge commandée]]-Tableau_Liste_KPI[[#This Row],[Total]],"")</f>
        <v>#REF!</v>
      </c>
    </row>
    <row r="295" spans="1:36" ht="12" x14ac:dyDescent="0.2">
      <c r="A295" s="21" t="s">
        <v>139</v>
      </c>
      <c r="B295" s="21" t="s">
        <v>274</v>
      </c>
      <c r="C295" s="12" t="s">
        <v>656</v>
      </c>
      <c r="D295" s="21" t="s">
        <v>37</v>
      </c>
      <c r="E295" s="21" t="s">
        <v>540</v>
      </c>
      <c r="F295" s="21" t="s">
        <v>43</v>
      </c>
      <c r="G295" s="21" t="s">
        <v>693</v>
      </c>
      <c r="H295" s="22">
        <v>42878.726388888892</v>
      </c>
      <c r="I295" s="22">
        <v>42878.727546296293</v>
      </c>
      <c r="J295" s="22">
        <v>43080.715752314813</v>
      </c>
      <c r="K295" s="70" t="s">
        <v>225</v>
      </c>
      <c r="L295" s="23" t="s">
        <v>225</v>
      </c>
      <c r="M295" s="23">
        <v>2</v>
      </c>
      <c r="N295" s="23">
        <v>88</v>
      </c>
      <c r="O295" s="21">
        <v>45</v>
      </c>
      <c r="P295" s="23">
        <v>14</v>
      </c>
      <c r="Q295" s="23">
        <v>90</v>
      </c>
      <c r="R295" s="36">
        <v>7</v>
      </c>
      <c r="S295" s="36">
        <v>10</v>
      </c>
      <c r="T295" s="36">
        <v>42888.724999999999</v>
      </c>
      <c r="U295" s="36">
        <v>42916.356249999997</v>
      </c>
      <c r="V295" s="36">
        <v>43076.626388888886</v>
      </c>
      <c r="W295" s="36" t="s">
        <v>711</v>
      </c>
      <c r="X295" s="36" t="s">
        <v>225</v>
      </c>
      <c r="Y295" s="36">
        <v>42955</v>
      </c>
      <c r="Z295" s="36">
        <v>42958</v>
      </c>
      <c r="AA295" s="23">
        <v>4127</v>
      </c>
      <c r="AB295" s="23">
        <v>5.0999999999999996</v>
      </c>
      <c r="AC295" s="23">
        <f>SUMIF(Tableau_Liste_UO[[Code UO]:[Code UO]],Tableau_Liste_KPI[[#This Row],[Code UO]], Tableau_Liste_UO[RAF])</f>
        <v>0</v>
      </c>
      <c r="AD295" s="23" t="e">
        <f>SUMIF(Tableau_Liste_UO[[Code UO]:[Code UO]],Tableau_Liste_KPI[[#This Row],[Code UO]], #REF!)</f>
        <v>#REF!</v>
      </c>
      <c r="AE295" s="37" t="s">
        <v>721</v>
      </c>
      <c r="AF295" s="37" t="s">
        <v>721</v>
      </c>
      <c r="AG295" s="37" t="s">
        <v>721</v>
      </c>
      <c r="AH295" s="37"/>
      <c r="AI295" s="38" t="e">
        <f>IF(Tableau_Liste_KPI[[#This Row],[Charge commandée]]="","",IF(Tableau_Liste_KPI[[#This Row],[Total]]&gt;Tableau_Liste_KPI[[#This Row],[Charge commandée]],"KO",""))</f>
        <v>#REF!</v>
      </c>
      <c r="AJ295" s="38" t="e">
        <f>IF(Tableau_Liste_KPI[[#This Row],[KPI Charges]]="KO",Tableau_Liste_KPI[[#This Row],[Charge commandée]]-Tableau_Liste_KPI[[#This Row],[Total]],"")</f>
        <v>#REF!</v>
      </c>
    </row>
    <row r="296" spans="1:36" ht="12" x14ac:dyDescent="0.2">
      <c r="A296" s="12" t="s">
        <v>140</v>
      </c>
      <c r="B296" s="12" t="s">
        <v>273</v>
      </c>
      <c r="C296" s="12" t="s">
        <v>173</v>
      </c>
      <c r="D296" s="12" t="s">
        <v>33</v>
      </c>
      <c r="E296" s="12" t="s">
        <v>99</v>
      </c>
      <c r="F296" s="12" t="s">
        <v>225</v>
      </c>
      <c r="G296" s="12" t="s">
        <v>714</v>
      </c>
      <c r="H296" s="6">
        <v>42871.626388888886</v>
      </c>
      <c r="I296" s="6">
        <v>42873.600115740737</v>
      </c>
      <c r="J296" s="6" t="s">
        <v>225</v>
      </c>
      <c r="K296" s="69" t="s">
        <v>225</v>
      </c>
      <c r="L296" s="13" t="s">
        <v>225</v>
      </c>
      <c r="M296" s="13">
        <v>0</v>
      </c>
      <c r="N296" s="13">
        <v>0</v>
      </c>
      <c r="O296" s="12">
        <v>0</v>
      </c>
      <c r="P296" s="13" t="s">
        <v>225</v>
      </c>
      <c r="Q296" s="13" t="s">
        <v>225</v>
      </c>
      <c r="R296" s="33" t="s">
        <v>225</v>
      </c>
      <c r="S296" s="33" t="s">
        <v>225</v>
      </c>
      <c r="T296" s="33">
        <v>42872</v>
      </c>
      <c r="U296" s="33" t="s">
        <v>225</v>
      </c>
      <c r="V296" s="33" t="s">
        <v>225</v>
      </c>
      <c r="W296" s="33" t="s">
        <v>711</v>
      </c>
      <c r="X296" s="33" t="s">
        <v>225</v>
      </c>
      <c r="Y296" s="33" t="s">
        <v>225</v>
      </c>
      <c r="Z296" s="33" t="s">
        <v>225</v>
      </c>
      <c r="AA296" s="13">
        <v>635</v>
      </c>
      <c r="AB296" s="13">
        <v>0.7</v>
      </c>
      <c r="AC296" s="13">
        <f>SUMIF(Tableau_Liste_UO[[Code UO]:[Code UO]],Tableau_Liste_KPI[[#This Row],[Code UO]], Tableau_Liste_UO[RAF])</f>
        <v>0</v>
      </c>
      <c r="AD296" s="13" t="e">
        <f>SUMIF(Tableau_Liste_UO[[Code UO]:[Code UO]],Tableau_Liste_KPI[[#This Row],[Code UO]], #REF!)</f>
        <v>#REF!</v>
      </c>
      <c r="AE296" s="34" t="s">
        <v>225</v>
      </c>
      <c r="AF296" s="34" t="s">
        <v>225</v>
      </c>
      <c r="AG296" s="34" t="s">
        <v>225</v>
      </c>
      <c r="AH296" s="34"/>
      <c r="AI296" s="35" t="e">
        <f>IF(Tableau_Liste_KPI[[#This Row],[Charge commandée]]="","",IF(Tableau_Liste_KPI[[#This Row],[Total]]&gt;Tableau_Liste_KPI[[#This Row],[Charge commandée]],"KO",""))</f>
        <v>#REF!</v>
      </c>
      <c r="AJ296" s="35" t="e">
        <f>IF(Tableau_Liste_KPI[[#This Row],[KPI Charges]]="KO",Tableau_Liste_KPI[[#This Row],[Charge commandée]]-Tableau_Liste_KPI[[#This Row],[Total]],"")</f>
        <v>#REF!</v>
      </c>
    </row>
    <row r="297" spans="1:36" ht="12" x14ac:dyDescent="0.2">
      <c r="A297" s="32" t="s">
        <v>141</v>
      </c>
      <c r="B297" s="12" t="s">
        <v>272</v>
      </c>
      <c r="C297" s="12" t="s">
        <v>259</v>
      </c>
      <c r="D297" s="12" t="s">
        <v>37</v>
      </c>
      <c r="E297" s="12" t="s">
        <v>540</v>
      </c>
      <c r="F297" s="12" t="s">
        <v>43</v>
      </c>
      <c r="G297" s="12" t="s">
        <v>693</v>
      </c>
      <c r="H297" s="6">
        <v>42867.57708333333</v>
      </c>
      <c r="I297" s="6">
        <v>42892.724930555552</v>
      </c>
      <c r="J297" s="6">
        <v>42923.644652777781</v>
      </c>
      <c r="K297" s="69">
        <v>42970.447789351849</v>
      </c>
      <c r="L297" s="13" t="s">
        <v>225</v>
      </c>
      <c r="M297" s="13">
        <v>2</v>
      </c>
      <c r="N297" s="13">
        <v>22</v>
      </c>
      <c r="O297" s="12">
        <v>0</v>
      </c>
      <c r="P297" s="13">
        <v>30</v>
      </c>
      <c r="Q297" s="13">
        <v>24</v>
      </c>
      <c r="R297" s="33">
        <v>7</v>
      </c>
      <c r="S297" s="33">
        <v>10</v>
      </c>
      <c r="T297" s="33">
        <v>42907.576388888891</v>
      </c>
      <c r="U297" s="33">
        <v>42902.606249999997</v>
      </c>
      <c r="V297" s="33">
        <v>42936.446527777778</v>
      </c>
      <c r="W297" s="33" t="s">
        <v>688</v>
      </c>
      <c r="X297" s="33" t="s">
        <v>697</v>
      </c>
      <c r="Y297" s="33">
        <v>42901</v>
      </c>
      <c r="Z297" s="33">
        <v>42906</v>
      </c>
      <c r="AA297" s="13">
        <v>4127</v>
      </c>
      <c r="AB297" s="13">
        <v>5.0999999999999996</v>
      </c>
      <c r="AC297" s="13">
        <f>SUMIF(Tableau_Liste_UO[[Code UO]:[Code UO]],Tableau_Liste_KPI[[#This Row],[Code UO]], Tableau_Liste_UO[RAF])</f>
        <v>0</v>
      </c>
      <c r="AD297" s="13" t="e">
        <f>SUMIF(Tableau_Liste_UO[[Code UO]:[Code UO]],Tableau_Liste_KPI[[#This Row],[Code UO]], #REF!)</f>
        <v>#REF!</v>
      </c>
      <c r="AE297" s="34" t="s">
        <v>721</v>
      </c>
      <c r="AF297" s="34" t="s">
        <v>721</v>
      </c>
      <c r="AG297" s="34" t="s">
        <v>225</v>
      </c>
      <c r="AH297" s="34"/>
      <c r="AI297" s="35" t="e">
        <f>IF(Tableau_Liste_KPI[[#This Row],[Charge commandée]]="","",IF(Tableau_Liste_KPI[[#This Row],[Total]]&gt;Tableau_Liste_KPI[[#This Row],[Charge commandée]],"KO",""))</f>
        <v>#REF!</v>
      </c>
      <c r="AJ297" s="35" t="e">
        <f>IF(Tableau_Liste_KPI[[#This Row],[KPI Charges]]="KO",Tableau_Liste_KPI[[#This Row],[Charge commandée]]-Tableau_Liste_KPI[[#This Row],[Total]],"")</f>
        <v>#REF!</v>
      </c>
    </row>
    <row r="298" spans="1:36" ht="12" x14ac:dyDescent="0.2">
      <c r="A298" s="32" t="s">
        <v>142</v>
      </c>
      <c r="B298" s="12" t="s">
        <v>271</v>
      </c>
      <c r="C298" s="12" t="s">
        <v>173</v>
      </c>
      <c r="D298" s="12" t="s">
        <v>37</v>
      </c>
      <c r="E298" s="12" t="s">
        <v>540</v>
      </c>
      <c r="F298" s="12" t="s">
        <v>43</v>
      </c>
      <c r="G298" s="12" t="s">
        <v>693</v>
      </c>
      <c r="H298" s="6">
        <v>42867.469444444447</v>
      </c>
      <c r="I298" s="6">
        <v>42867.469687500001</v>
      </c>
      <c r="J298" s="6" t="s">
        <v>225</v>
      </c>
      <c r="K298" s="69" t="s">
        <v>225</v>
      </c>
      <c r="L298" s="13" t="s">
        <v>225</v>
      </c>
      <c r="M298" s="13">
        <v>1</v>
      </c>
      <c r="N298" s="13">
        <v>0</v>
      </c>
      <c r="O298" s="12">
        <v>15</v>
      </c>
      <c r="P298" s="13" t="s">
        <v>225</v>
      </c>
      <c r="Q298" s="13">
        <v>1</v>
      </c>
      <c r="R298" s="33">
        <v>7</v>
      </c>
      <c r="S298" s="33">
        <v>10</v>
      </c>
      <c r="T298" s="33">
        <v>42916.467361111114</v>
      </c>
      <c r="U298" s="33" t="s">
        <v>225</v>
      </c>
      <c r="V298" s="33" t="s">
        <v>225</v>
      </c>
      <c r="W298" s="33" t="s">
        <v>711</v>
      </c>
      <c r="X298" s="33" t="s">
        <v>225</v>
      </c>
      <c r="Y298" s="33">
        <v>42900</v>
      </c>
      <c r="Z298" s="33">
        <v>42905</v>
      </c>
      <c r="AA298" s="13">
        <v>4127</v>
      </c>
      <c r="AB298" s="13">
        <v>5.0999999999999996</v>
      </c>
      <c r="AC298" s="13">
        <f>SUMIF(Tableau_Liste_UO[[Code UO]:[Code UO]],Tableau_Liste_KPI[[#This Row],[Code UO]], Tableau_Liste_UO[RAF])</f>
        <v>0</v>
      </c>
      <c r="AD298" s="13" t="e">
        <f>SUMIF(Tableau_Liste_UO[[Code UO]:[Code UO]],Tableau_Liste_KPI[[#This Row],[Code UO]], #REF!)</f>
        <v>#REF!</v>
      </c>
      <c r="AE298" s="34" t="s">
        <v>225</v>
      </c>
      <c r="AF298" s="34" t="s">
        <v>225</v>
      </c>
      <c r="AG298" s="34" t="s">
        <v>225</v>
      </c>
      <c r="AH298" s="34"/>
      <c r="AI298" s="35" t="e">
        <f>IF(Tableau_Liste_KPI[[#This Row],[Charge commandée]]="","",IF(Tableau_Liste_KPI[[#This Row],[Total]]&gt;Tableau_Liste_KPI[[#This Row],[Charge commandée]],"KO",""))</f>
        <v>#REF!</v>
      </c>
      <c r="AJ298" s="35" t="e">
        <f>IF(Tableau_Liste_KPI[[#This Row],[KPI Charges]]="KO",Tableau_Liste_KPI[[#This Row],[Charge commandée]]-Tableau_Liste_KPI[[#This Row],[Total]],"")</f>
        <v>#REF!</v>
      </c>
    </row>
    <row r="299" spans="1:36" ht="12" x14ac:dyDescent="0.2">
      <c r="A299" s="12" t="s">
        <v>143</v>
      </c>
      <c r="B299" s="5" t="s">
        <v>267</v>
      </c>
      <c r="C299" s="12" t="s">
        <v>259</v>
      </c>
      <c r="D299" s="12" t="s">
        <v>37</v>
      </c>
      <c r="E299" s="12" t="s">
        <v>540</v>
      </c>
      <c r="F299" s="12" t="s">
        <v>114</v>
      </c>
      <c r="G299" s="12" t="s">
        <v>705</v>
      </c>
      <c r="H299" s="8">
        <v>42864.491666666669</v>
      </c>
      <c r="I299" s="8">
        <v>42864.492592592593</v>
      </c>
      <c r="J299" s="8">
        <v>42899.678888888891</v>
      </c>
      <c r="K299" s="74">
        <v>42899.6796412037</v>
      </c>
      <c r="L299" s="14" t="s">
        <v>225</v>
      </c>
      <c r="M299" s="14">
        <v>0</v>
      </c>
      <c r="N299" s="14">
        <v>24</v>
      </c>
      <c r="O299" s="5">
        <v>0</v>
      </c>
      <c r="P299" s="13">
        <v>-1</v>
      </c>
      <c r="Q299" s="13">
        <v>24</v>
      </c>
      <c r="R299" s="33">
        <v>50</v>
      </c>
      <c r="S299" s="33">
        <v>60</v>
      </c>
      <c r="T299" s="33">
        <v>42867.490972222222</v>
      </c>
      <c r="U299" s="33">
        <v>42916.681250000001</v>
      </c>
      <c r="V299" s="33" t="s">
        <v>225</v>
      </c>
      <c r="W299" s="33" t="s">
        <v>711</v>
      </c>
      <c r="X299" s="33" t="s">
        <v>688</v>
      </c>
      <c r="Y299" s="33">
        <v>42937</v>
      </c>
      <c r="Z299" s="33">
        <v>42951</v>
      </c>
      <c r="AA299" s="13">
        <v>16919</v>
      </c>
      <c r="AB299" s="13">
        <v>20.7</v>
      </c>
      <c r="AC299" s="13">
        <f>SUMIF(Tableau_Liste_UO[[Code UO]:[Code UO]],Tableau_Liste_KPI[[#This Row],[Code UO]], Tableau_Liste_UO[RAF])</f>
        <v>0</v>
      </c>
      <c r="AD299" s="13" t="e">
        <f>SUMIF(Tableau_Liste_UO[[Code UO]:[Code UO]],Tableau_Liste_KPI[[#This Row],[Code UO]], #REF!)</f>
        <v>#REF!</v>
      </c>
      <c r="AE299" s="34" t="s">
        <v>225</v>
      </c>
      <c r="AF299" s="34" t="s">
        <v>225</v>
      </c>
      <c r="AG299" s="34" t="s">
        <v>225</v>
      </c>
      <c r="AH299" s="34"/>
      <c r="AI299" s="35" t="e">
        <f>IF(Tableau_Liste_KPI[[#This Row],[Charge commandée]]="","",IF(Tableau_Liste_KPI[[#This Row],[Total]]&gt;Tableau_Liste_KPI[[#This Row],[Charge commandée]],"KO",""))</f>
        <v>#REF!</v>
      </c>
      <c r="AJ299" s="35" t="e">
        <f>IF(Tableau_Liste_KPI[[#This Row],[KPI Charges]]="KO",Tableau_Liste_KPI[[#This Row],[Charge commandée]]-Tableau_Liste_KPI[[#This Row],[Total]],"")</f>
        <v>#REF!</v>
      </c>
    </row>
    <row r="300" spans="1:36" ht="12" x14ac:dyDescent="0.2">
      <c r="A300" s="12" t="s">
        <v>144</v>
      </c>
      <c r="B300" s="12" t="s">
        <v>270</v>
      </c>
      <c r="C300" s="12" t="s">
        <v>174</v>
      </c>
      <c r="D300" s="12" t="s">
        <v>33</v>
      </c>
      <c r="E300" s="12" t="s">
        <v>44</v>
      </c>
      <c r="F300" s="12" t="s">
        <v>43</v>
      </c>
      <c r="G300" s="12" t="s">
        <v>689</v>
      </c>
      <c r="H300" s="6">
        <v>42860.658333333333</v>
      </c>
      <c r="I300" s="6">
        <v>42905.486851851849</v>
      </c>
      <c r="J300" s="6">
        <v>43061.36791666667</v>
      </c>
      <c r="K300" s="69" t="s">
        <v>225</v>
      </c>
      <c r="L300" s="13" t="s">
        <v>225</v>
      </c>
      <c r="M300" s="13">
        <v>2</v>
      </c>
      <c r="N300" s="13">
        <v>1</v>
      </c>
      <c r="O300" s="12">
        <v>97</v>
      </c>
      <c r="P300" s="13">
        <v>29</v>
      </c>
      <c r="Q300" s="13">
        <v>3</v>
      </c>
      <c r="R300" s="33">
        <v>10</v>
      </c>
      <c r="S300" s="33">
        <v>15</v>
      </c>
      <c r="T300" s="33" t="s">
        <v>225</v>
      </c>
      <c r="U300" s="33">
        <v>42908.606249999997</v>
      </c>
      <c r="V300" s="33">
        <v>43039.647916666669</v>
      </c>
      <c r="W300" s="33" t="s">
        <v>688</v>
      </c>
      <c r="X300" s="33" t="s">
        <v>225</v>
      </c>
      <c r="Y300" s="33">
        <v>43060</v>
      </c>
      <c r="Z300" s="33">
        <v>43067</v>
      </c>
      <c r="AA300" s="13">
        <v>912</v>
      </c>
      <c r="AB300" s="13">
        <v>1</v>
      </c>
      <c r="AC300" s="13">
        <f>SUMIF(Tableau_Liste_UO[[Code UO]:[Code UO]],Tableau_Liste_KPI[[#This Row],[Code UO]], Tableau_Liste_UO[RAF])</f>
        <v>0</v>
      </c>
      <c r="AD300" s="13" t="e">
        <f>SUMIF(Tableau_Liste_UO[[Code UO]:[Code UO]],Tableau_Liste_KPI[[#This Row],[Code UO]], #REF!)</f>
        <v>#REF!</v>
      </c>
      <c r="AE300" s="34" t="s">
        <v>225</v>
      </c>
      <c r="AF300" s="34" t="s">
        <v>225</v>
      </c>
      <c r="AG300" s="34" t="s">
        <v>225</v>
      </c>
      <c r="AH300" s="34"/>
      <c r="AI300" s="35" t="e">
        <f>IF(Tableau_Liste_KPI[[#This Row],[Charge commandée]]="","",IF(Tableau_Liste_KPI[[#This Row],[Total]]&gt;Tableau_Liste_KPI[[#This Row],[Charge commandée]],"KO",""))</f>
        <v>#REF!</v>
      </c>
      <c r="AJ300" s="35" t="e">
        <f>IF(Tableau_Liste_KPI[[#This Row],[KPI Charges]]="KO",Tableau_Liste_KPI[[#This Row],[Charge commandée]]-Tableau_Liste_KPI[[#This Row],[Total]],"")</f>
        <v>#REF!</v>
      </c>
    </row>
    <row r="301" spans="1:36" ht="12" x14ac:dyDescent="0.2">
      <c r="A301" s="12" t="s">
        <v>145</v>
      </c>
      <c r="B301" s="12" t="s">
        <v>623</v>
      </c>
      <c r="C301" s="12" t="s">
        <v>259</v>
      </c>
      <c r="D301" s="12" t="s">
        <v>33</v>
      </c>
      <c r="E301" s="12" t="s">
        <v>539</v>
      </c>
      <c r="F301" s="12" t="s">
        <v>43</v>
      </c>
      <c r="G301" s="12" t="s">
        <v>698</v>
      </c>
      <c r="H301" s="6">
        <v>42860.658333333333</v>
      </c>
      <c r="I301" s="6">
        <v>42887.682476851849</v>
      </c>
      <c r="J301" s="6">
        <v>42895.582337962966</v>
      </c>
      <c r="K301" s="69">
        <v>42905.466747685183</v>
      </c>
      <c r="L301" s="13" t="s">
        <v>225</v>
      </c>
      <c r="M301" s="13">
        <v>0</v>
      </c>
      <c r="N301" s="13">
        <v>6</v>
      </c>
      <c r="O301" s="12">
        <v>0</v>
      </c>
      <c r="P301" s="13">
        <v>6</v>
      </c>
      <c r="Q301" s="13">
        <v>6</v>
      </c>
      <c r="R301" s="33">
        <v>5</v>
      </c>
      <c r="S301" s="33">
        <v>8</v>
      </c>
      <c r="T301" s="33" t="s">
        <v>225</v>
      </c>
      <c r="U301" s="33">
        <v>42895.75277777778</v>
      </c>
      <c r="V301" s="33" t="s">
        <v>225</v>
      </c>
      <c r="W301" s="33" t="s">
        <v>688</v>
      </c>
      <c r="X301" s="33" t="s">
        <v>688</v>
      </c>
      <c r="Y301" s="33">
        <v>42894</v>
      </c>
      <c r="Z301" s="33">
        <v>42899</v>
      </c>
      <c r="AA301" s="13">
        <v>1522</v>
      </c>
      <c r="AB301" s="13">
        <v>2</v>
      </c>
      <c r="AC301" s="13">
        <f>SUMIF(Tableau_Liste_UO[[Code UO]:[Code UO]],Tableau_Liste_KPI[[#This Row],[Code UO]], Tableau_Liste_UO[RAF])</f>
        <v>0</v>
      </c>
      <c r="AD301" s="13" t="e">
        <f>SUMIF(Tableau_Liste_UO[[Code UO]:[Code UO]],Tableau_Liste_KPI[[#This Row],[Code UO]], #REF!)</f>
        <v>#REF!</v>
      </c>
      <c r="AE301" s="34" t="s">
        <v>721</v>
      </c>
      <c r="AF301" s="34" t="s">
        <v>225</v>
      </c>
      <c r="AG301" s="34" t="s">
        <v>225</v>
      </c>
      <c r="AH301" s="34"/>
      <c r="AI301" s="35" t="e">
        <f>IF(Tableau_Liste_KPI[[#This Row],[Charge commandée]]="","",IF(Tableau_Liste_KPI[[#This Row],[Total]]&gt;Tableau_Liste_KPI[[#This Row],[Charge commandée]],"KO",""))</f>
        <v>#REF!</v>
      </c>
      <c r="AJ301" s="35" t="e">
        <f>IF(Tableau_Liste_KPI[[#This Row],[KPI Charges]]="KO",Tableau_Liste_KPI[[#This Row],[Charge commandée]]-Tableau_Liste_KPI[[#This Row],[Total]],"")</f>
        <v>#REF!</v>
      </c>
    </row>
    <row r="302" spans="1:36" ht="12" x14ac:dyDescent="0.2">
      <c r="A302" s="12" t="s">
        <v>146</v>
      </c>
      <c r="B302" s="12" t="s">
        <v>624</v>
      </c>
      <c r="C302" s="12" t="s">
        <v>259</v>
      </c>
      <c r="D302" s="12" t="s">
        <v>33</v>
      </c>
      <c r="E302" s="12" t="s">
        <v>538</v>
      </c>
      <c r="F302" s="12" t="s">
        <v>43</v>
      </c>
      <c r="G302" s="12" t="s">
        <v>696</v>
      </c>
      <c r="H302" s="6">
        <v>42860.657638888886</v>
      </c>
      <c r="I302" s="6">
        <v>42860.658229166664</v>
      </c>
      <c r="J302" s="6">
        <v>42886.435995370368</v>
      </c>
      <c r="K302" s="69">
        <v>42887.682280092595</v>
      </c>
      <c r="L302" s="13" t="s">
        <v>225</v>
      </c>
      <c r="M302" s="13">
        <v>2</v>
      </c>
      <c r="N302" s="13">
        <v>15</v>
      </c>
      <c r="O302" s="12">
        <v>0</v>
      </c>
      <c r="P302" s="13">
        <v>1</v>
      </c>
      <c r="Q302" s="13">
        <v>17</v>
      </c>
      <c r="R302" s="33">
        <v>10</v>
      </c>
      <c r="S302" s="33">
        <v>15</v>
      </c>
      <c r="T302" s="33" t="s">
        <v>225</v>
      </c>
      <c r="U302" s="33">
        <v>42874.415277777778</v>
      </c>
      <c r="V302" s="33" t="s">
        <v>225</v>
      </c>
      <c r="W302" s="33" t="s">
        <v>711</v>
      </c>
      <c r="X302" s="33" t="s">
        <v>688</v>
      </c>
      <c r="Y302" s="33">
        <v>42877</v>
      </c>
      <c r="Z302" s="33">
        <v>42885</v>
      </c>
      <c r="AA302" s="13">
        <v>3424</v>
      </c>
      <c r="AB302" s="13">
        <v>5</v>
      </c>
      <c r="AC302" s="13">
        <f>SUMIF(Tableau_Liste_UO[[Code UO]:[Code UO]],Tableau_Liste_KPI[[#This Row],[Code UO]], Tableau_Liste_UO[RAF])</f>
        <v>0</v>
      </c>
      <c r="AD302" s="13" t="e">
        <f>SUMIF(Tableau_Liste_UO[[Code UO]:[Code UO]],Tableau_Liste_KPI[[#This Row],[Code UO]], #REF!)</f>
        <v>#REF!</v>
      </c>
      <c r="AE302" s="34" t="s">
        <v>721</v>
      </c>
      <c r="AF302" s="34" t="s">
        <v>721</v>
      </c>
      <c r="AG302" s="34" t="s">
        <v>225</v>
      </c>
      <c r="AH302" s="34"/>
      <c r="AI302" s="35" t="e">
        <f>IF(Tableau_Liste_KPI[[#This Row],[Charge commandée]]="","",IF(Tableau_Liste_KPI[[#This Row],[Total]]&gt;Tableau_Liste_KPI[[#This Row],[Charge commandée]],"KO",""))</f>
        <v>#REF!</v>
      </c>
      <c r="AJ302" s="35" t="e">
        <f>IF(Tableau_Liste_KPI[[#This Row],[KPI Charges]]="KO",Tableau_Liste_KPI[[#This Row],[Charge commandée]]-Tableau_Liste_KPI[[#This Row],[Total]],"")</f>
        <v>#REF!</v>
      </c>
    </row>
    <row r="303" spans="1:36" ht="12" x14ac:dyDescent="0.2">
      <c r="A303" s="12" t="s">
        <v>147</v>
      </c>
      <c r="B303" s="12" t="s">
        <v>269</v>
      </c>
      <c r="C303" s="12" t="s">
        <v>259</v>
      </c>
      <c r="D303" s="12" t="s">
        <v>37</v>
      </c>
      <c r="E303" s="12" t="s">
        <v>540</v>
      </c>
      <c r="F303" s="12" t="s">
        <v>43</v>
      </c>
      <c r="G303" s="12" t="s">
        <v>693</v>
      </c>
      <c r="H303" s="6">
        <v>42860.645138888889</v>
      </c>
      <c r="I303" s="6">
        <v>42860.647094907406</v>
      </c>
      <c r="J303" s="6">
        <v>42866.482986111114</v>
      </c>
      <c r="K303" s="69">
        <v>42970.619560185187</v>
      </c>
      <c r="L303" s="13" t="s">
        <v>225</v>
      </c>
      <c r="M303" s="13">
        <v>2</v>
      </c>
      <c r="N303" s="13">
        <v>2</v>
      </c>
      <c r="O303" s="12">
        <v>0</v>
      </c>
      <c r="P303" s="13">
        <v>70</v>
      </c>
      <c r="Q303" s="13">
        <v>4</v>
      </c>
      <c r="R303" s="33">
        <v>7</v>
      </c>
      <c r="S303" s="33">
        <v>10</v>
      </c>
      <c r="T303" s="33">
        <v>42873.643750000003</v>
      </c>
      <c r="U303" s="33">
        <v>42873.412499999999</v>
      </c>
      <c r="V303" s="33" t="s">
        <v>225</v>
      </c>
      <c r="W303" s="33" t="s">
        <v>711</v>
      </c>
      <c r="X303" s="33" t="s">
        <v>697</v>
      </c>
      <c r="Y303" s="33">
        <v>42872</v>
      </c>
      <c r="Z303" s="33">
        <v>42877</v>
      </c>
      <c r="AA303" s="13">
        <v>4127</v>
      </c>
      <c r="AB303" s="13">
        <v>5.0999999999999996</v>
      </c>
      <c r="AC303" s="13">
        <f>SUMIF(Tableau_Liste_UO[[Code UO]:[Code UO]],Tableau_Liste_KPI[[#This Row],[Code UO]], Tableau_Liste_UO[RAF])</f>
        <v>0</v>
      </c>
      <c r="AD303" s="13" t="e">
        <f>SUMIF(Tableau_Liste_UO[[Code UO]:[Code UO]],Tableau_Liste_KPI[[#This Row],[Code UO]], #REF!)</f>
        <v>#REF!</v>
      </c>
      <c r="AE303" s="34" t="s">
        <v>225</v>
      </c>
      <c r="AF303" s="34" t="s">
        <v>225</v>
      </c>
      <c r="AG303" s="34" t="s">
        <v>225</v>
      </c>
      <c r="AH303" s="34"/>
      <c r="AI303" s="35" t="e">
        <f>IF(Tableau_Liste_KPI[[#This Row],[Charge commandée]]="","",IF(Tableau_Liste_KPI[[#This Row],[Total]]&gt;Tableau_Liste_KPI[[#This Row],[Charge commandée]],"KO",""))</f>
        <v>#REF!</v>
      </c>
      <c r="AJ303" s="35" t="e">
        <f>IF(Tableau_Liste_KPI[[#This Row],[KPI Charges]]="KO",Tableau_Liste_KPI[[#This Row],[Charge commandée]]-Tableau_Liste_KPI[[#This Row],[Total]],"")</f>
        <v>#REF!</v>
      </c>
    </row>
    <row r="304" spans="1:36" ht="12" x14ac:dyDescent="0.2">
      <c r="A304" s="12" t="s">
        <v>148</v>
      </c>
      <c r="B304" s="12" t="s">
        <v>268</v>
      </c>
      <c r="C304" s="12" t="s">
        <v>173</v>
      </c>
      <c r="D304" s="12" t="s">
        <v>37</v>
      </c>
      <c r="E304" s="12" t="s">
        <v>63</v>
      </c>
      <c r="F304" s="12" t="s">
        <v>225</v>
      </c>
      <c r="G304" s="12" t="s">
        <v>715</v>
      </c>
      <c r="H304" s="6">
        <v>42860.317361111112</v>
      </c>
      <c r="I304" s="6">
        <v>42860.318460648145</v>
      </c>
      <c r="J304" s="6" t="s">
        <v>225</v>
      </c>
      <c r="K304" s="69" t="s">
        <v>225</v>
      </c>
      <c r="L304" s="13" t="s">
        <v>225</v>
      </c>
      <c r="M304" s="13">
        <v>0</v>
      </c>
      <c r="N304" s="13">
        <v>3</v>
      </c>
      <c r="O304" s="12">
        <v>0</v>
      </c>
      <c r="P304" s="13" t="s">
        <v>225</v>
      </c>
      <c r="Q304" s="13">
        <v>3</v>
      </c>
      <c r="R304" s="33" t="s">
        <v>225</v>
      </c>
      <c r="S304" s="33" t="s">
        <v>225</v>
      </c>
      <c r="T304" s="33">
        <v>42867.316666666666</v>
      </c>
      <c r="U304" s="33">
        <v>42879.517361111109</v>
      </c>
      <c r="V304" s="33" t="s">
        <v>225</v>
      </c>
      <c r="W304" s="33" t="s">
        <v>711</v>
      </c>
      <c r="X304" s="33" t="s">
        <v>225</v>
      </c>
      <c r="Y304" s="33" t="s">
        <v>225</v>
      </c>
      <c r="Z304" s="33" t="s">
        <v>225</v>
      </c>
      <c r="AA304" s="13" t="s">
        <v>225</v>
      </c>
      <c r="AB304" s="13" t="s">
        <v>225</v>
      </c>
      <c r="AC304" s="13">
        <f>SUMIF(Tableau_Liste_UO[[Code UO]:[Code UO]],Tableau_Liste_KPI[[#This Row],[Code UO]], Tableau_Liste_UO[RAF])</f>
        <v>0</v>
      </c>
      <c r="AD304" s="13" t="e">
        <f>SUMIF(Tableau_Liste_UO[[Code UO]:[Code UO]],Tableau_Liste_KPI[[#This Row],[Code UO]], #REF!)</f>
        <v>#REF!</v>
      </c>
      <c r="AE304" s="34" t="s">
        <v>225</v>
      </c>
      <c r="AF304" s="34" t="s">
        <v>225</v>
      </c>
      <c r="AG304" s="34" t="s">
        <v>225</v>
      </c>
      <c r="AH304" s="34"/>
      <c r="AI304" s="35" t="str">
        <f>IF(Tableau_Liste_KPI[[#This Row],[Charge commandée]]="","",IF(Tableau_Liste_KPI[[#This Row],[Total]]&gt;Tableau_Liste_KPI[[#This Row],[Charge commandée]],"KO",""))</f>
        <v/>
      </c>
      <c r="AJ304" s="35" t="str">
        <f>IF(Tableau_Liste_KPI[[#This Row],[KPI Charges]]="KO",Tableau_Liste_KPI[[#This Row],[Charge commandée]]-Tableau_Liste_KPI[[#This Row],[Total]],"")</f>
        <v/>
      </c>
    </row>
    <row r="305" spans="1:36" ht="12" x14ac:dyDescent="0.2">
      <c r="A305" s="12" t="s">
        <v>149</v>
      </c>
      <c r="B305" s="12" t="s">
        <v>267</v>
      </c>
      <c r="C305" s="12" t="s">
        <v>259</v>
      </c>
      <c r="D305" s="12" t="s">
        <v>37</v>
      </c>
      <c r="E305" s="12" t="s">
        <v>63</v>
      </c>
      <c r="F305" s="12" t="s">
        <v>43</v>
      </c>
      <c r="G305" s="12" t="s">
        <v>700</v>
      </c>
      <c r="H305" s="6">
        <v>42857.586111111108</v>
      </c>
      <c r="I305" s="6">
        <v>42857.680381944447</v>
      </c>
      <c r="J305" s="6">
        <v>42864.498726851853</v>
      </c>
      <c r="K305" s="69">
        <v>42864.559293981481</v>
      </c>
      <c r="L305" s="13" t="s">
        <v>225</v>
      </c>
      <c r="M305" s="13">
        <v>4</v>
      </c>
      <c r="N305" s="13">
        <v>1</v>
      </c>
      <c r="O305" s="12">
        <v>0</v>
      </c>
      <c r="P305" s="13">
        <v>-1</v>
      </c>
      <c r="Q305" s="13">
        <v>5</v>
      </c>
      <c r="R305" s="33">
        <v>2</v>
      </c>
      <c r="S305" s="33">
        <v>5</v>
      </c>
      <c r="T305" s="33">
        <v>42860.585416666669</v>
      </c>
      <c r="U305" s="33">
        <v>42863.519444444442</v>
      </c>
      <c r="V305" s="33" t="s">
        <v>225</v>
      </c>
      <c r="W305" s="33" t="s">
        <v>711</v>
      </c>
      <c r="X305" s="33" t="s">
        <v>711</v>
      </c>
      <c r="Y305" s="33">
        <v>42859</v>
      </c>
      <c r="Z305" s="33">
        <v>42865</v>
      </c>
      <c r="AA305" s="13">
        <v>825</v>
      </c>
      <c r="AB305" s="13">
        <v>1</v>
      </c>
      <c r="AC305" s="13">
        <f>SUMIF(Tableau_Liste_UO[[Code UO]:[Code UO]],Tableau_Liste_KPI[[#This Row],[Code UO]], Tableau_Liste_UO[RAF])</f>
        <v>0</v>
      </c>
      <c r="AD305" s="13" t="e">
        <f>SUMIF(Tableau_Liste_UO[[Code UO]:[Code UO]],Tableau_Liste_KPI[[#This Row],[Code UO]], #REF!)</f>
        <v>#REF!</v>
      </c>
      <c r="AE305" s="34" t="s">
        <v>721</v>
      </c>
      <c r="AF305" s="34" t="s">
        <v>225</v>
      </c>
      <c r="AG305" s="34" t="s">
        <v>225</v>
      </c>
      <c r="AH305" s="34"/>
      <c r="AI305" s="35" t="e">
        <f>IF(Tableau_Liste_KPI[[#This Row],[Charge commandée]]="","",IF(Tableau_Liste_KPI[[#This Row],[Total]]&gt;Tableau_Liste_KPI[[#This Row],[Charge commandée]],"KO",""))</f>
        <v>#REF!</v>
      </c>
      <c r="AJ305" s="35" t="e">
        <f>IF(Tableau_Liste_KPI[[#This Row],[KPI Charges]]="KO",Tableau_Liste_KPI[[#This Row],[Charge commandée]]-Tableau_Liste_KPI[[#This Row],[Total]],"")</f>
        <v>#REF!</v>
      </c>
    </row>
    <row r="306" spans="1:36" ht="12" x14ac:dyDescent="0.2">
      <c r="A306" s="12" t="s">
        <v>150</v>
      </c>
      <c r="B306" s="12" t="s">
        <v>266</v>
      </c>
      <c r="C306" s="12" t="s">
        <v>259</v>
      </c>
      <c r="D306" s="12" t="s">
        <v>33</v>
      </c>
      <c r="E306" s="12" t="s">
        <v>44</v>
      </c>
      <c r="F306" s="12" t="s">
        <v>43</v>
      </c>
      <c r="G306" s="12" t="s">
        <v>689</v>
      </c>
      <c r="H306" s="6">
        <v>42857.409722222219</v>
      </c>
      <c r="I306" s="6">
        <v>42915.737685185188</v>
      </c>
      <c r="J306" s="6">
        <v>42991.443182870367</v>
      </c>
      <c r="K306" s="69">
        <v>43003.53230324074</v>
      </c>
      <c r="L306" s="13" t="s">
        <v>225</v>
      </c>
      <c r="M306" s="13">
        <v>3</v>
      </c>
      <c r="N306" s="13">
        <v>2</v>
      </c>
      <c r="O306" s="12">
        <v>44</v>
      </c>
      <c r="P306" s="13">
        <v>9</v>
      </c>
      <c r="Q306" s="13">
        <v>5</v>
      </c>
      <c r="R306" s="33">
        <v>10</v>
      </c>
      <c r="S306" s="33">
        <v>15</v>
      </c>
      <c r="T306" s="33" t="s">
        <v>225</v>
      </c>
      <c r="U306" s="33">
        <v>42929.638194444444</v>
      </c>
      <c r="V306" s="33" t="s">
        <v>225</v>
      </c>
      <c r="W306" s="33" t="s">
        <v>688</v>
      </c>
      <c r="X306" s="33" t="s">
        <v>690</v>
      </c>
      <c r="Y306" s="33">
        <v>42996</v>
      </c>
      <c r="Z306" s="33">
        <v>43003</v>
      </c>
      <c r="AA306" s="13">
        <v>912</v>
      </c>
      <c r="AB306" s="13">
        <v>1</v>
      </c>
      <c r="AC306" s="13">
        <f>SUMIF(Tableau_Liste_UO[[Code UO]:[Code UO]],Tableau_Liste_KPI[[#This Row],[Code UO]], Tableau_Liste_UO[RAF])</f>
        <v>0</v>
      </c>
      <c r="AD306" s="13" t="e">
        <f>SUMIF(Tableau_Liste_UO[[Code UO]:[Code UO]],Tableau_Liste_KPI[[#This Row],[Code UO]], #REF!)</f>
        <v>#REF!</v>
      </c>
      <c r="AE306" s="34" t="s">
        <v>225</v>
      </c>
      <c r="AF306" s="34" t="s">
        <v>225</v>
      </c>
      <c r="AG306" s="34" t="s">
        <v>225</v>
      </c>
      <c r="AH306" s="34"/>
      <c r="AI306" s="35" t="e">
        <f>IF(Tableau_Liste_KPI[[#This Row],[Charge commandée]]="","",IF(Tableau_Liste_KPI[[#This Row],[Total]]&gt;Tableau_Liste_KPI[[#This Row],[Charge commandée]],"KO",""))</f>
        <v>#REF!</v>
      </c>
      <c r="AJ306" s="35" t="e">
        <f>IF(Tableau_Liste_KPI[[#This Row],[KPI Charges]]="KO",Tableau_Liste_KPI[[#This Row],[Charge commandée]]-Tableau_Liste_KPI[[#This Row],[Total]],"")</f>
        <v>#REF!</v>
      </c>
    </row>
    <row r="307" spans="1:36" ht="12" x14ac:dyDescent="0.2">
      <c r="A307" s="12" t="s">
        <v>151</v>
      </c>
      <c r="B307" s="12" t="s">
        <v>625</v>
      </c>
      <c r="C307" s="12" t="s">
        <v>259</v>
      </c>
      <c r="D307" s="12" t="s">
        <v>33</v>
      </c>
      <c r="E307" s="12" t="s">
        <v>539</v>
      </c>
      <c r="F307" s="12" t="s">
        <v>43</v>
      </c>
      <c r="G307" s="12" t="s">
        <v>698</v>
      </c>
      <c r="H307" s="6">
        <v>42857.409722222219</v>
      </c>
      <c r="I307" s="6">
        <v>42901.710925925923</v>
      </c>
      <c r="J307" s="6">
        <v>42901.733611111114</v>
      </c>
      <c r="K307" s="69">
        <v>42915.738958333335</v>
      </c>
      <c r="L307" s="13" t="s">
        <v>225</v>
      </c>
      <c r="M307" s="13">
        <v>0</v>
      </c>
      <c r="N307" s="13">
        <v>-1</v>
      </c>
      <c r="O307" s="12">
        <v>0</v>
      </c>
      <c r="P307" s="13">
        <v>10</v>
      </c>
      <c r="Q307" s="13">
        <v>-1</v>
      </c>
      <c r="R307" s="33">
        <v>5</v>
      </c>
      <c r="S307" s="33">
        <v>8</v>
      </c>
      <c r="T307" s="33" t="s">
        <v>225</v>
      </c>
      <c r="U307" s="33">
        <v>42894.732638888891</v>
      </c>
      <c r="V307" s="33" t="s">
        <v>225</v>
      </c>
      <c r="W307" s="33" t="s">
        <v>688</v>
      </c>
      <c r="X307" s="33" t="s">
        <v>688</v>
      </c>
      <c r="Y307" s="33">
        <v>42908</v>
      </c>
      <c r="Z307" s="33">
        <v>42913</v>
      </c>
      <c r="AA307" s="13">
        <v>1522</v>
      </c>
      <c r="AB307" s="13">
        <v>2</v>
      </c>
      <c r="AC307" s="13">
        <f>SUMIF(Tableau_Liste_UO[[Code UO]:[Code UO]],Tableau_Liste_KPI[[#This Row],[Code UO]], Tableau_Liste_UO[RAF])</f>
        <v>0</v>
      </c>
      <c r="AD307" s="13" t="e">
        <f>SUMIF(Tableau_Liste_UO[[Code UO]:[Code UO]],Tableau_Liste_KPI[[#This Row],[Code UO]], #REF!)</f>
        <v>#REF!</v>
      </c>
      <c r="AE307" s="34" t="s">
        <v>225</v>
      </c>
      <c r="AF307" s="34" t="s">
        <v>225</v>
      </c>
      <c r="AG307" s="34" t="s">
        <v>225</v>
      </c>
      <c r="AH307" s="34"/>
      <c r="AI307" s="35" t="e">
        <f>IF(Tableau_Liste_KPI[[#This Row],[Charge commandée]]="","",IF(Tableau_Liste_KPI[[#This Row],[Total]]&gt;Tableau_Liste_KPI[[#This Row],[Charge commandée]],"KO",""))</f>
        <v>#REF!</v>
      </c>
      <c r="AJ307" s="35" t="e">
        <f>IF(Tableau_Liste_KPI[[#This Row],[KPI Charges]]="KO",Tableau_Liste_KPI[[#This Row],[Charge commandée]]-Tableau_Liste_KPI[[#This Row],[Total]],"")</f>
        <v>#REF!</v>
      </c>
    </row>
    <row r="308" spans="1:36" ht="12" x14ac:dyDescent="0.2">
      <c r="A308" s="32" t="s">
        <v>152</v>
      </c>
      <c r="B308" s="12" t="s">
        <v>626</v>
      </c>
      <c r="C308" s="12" t="s">
        <v>259</v>
      </c>
      <c r="D308" s="12" t="s">
        <v>33</v>
      </c>
      <c r="E308" s="12" t="s">
        <v>538</v>
      </c>
      <c r="F308" s="12" t="s">
        <v>43</v>
      </c>
      <c r="G308" s="12" t="s">
        <v>696</v>
      </c>
      <c r="H308" s="11">
        <v>42857.40902777778</v>
      </c>
      <c r="I308" s="11">
        <v>42857.409525462965</v>
      </c>
      <c r="J308" s="11">
        <v>42901.732349537036</v>
      </c>
      <c r="K308" s="73">
        <v>42905.490393518521</v>
      </c>
      <c r="L308" s="15" t="s">
        <v>225</v>
      </c>
      <c r="M308" s="15">
        <v>0</v>
      </c>
      <c r="N308" s="15">
        <v>26</v>
      </c>
      <c r="O308" s="10">
        <v>0</v>
      </c>
      <c r="P308" s="13">
        <v>6</v>
      </c>
      <c r="Q308" s="13">
        <v>26</v>
      </c>
      <c r="R308" s="33">
        <v>10</v>
      </c>
      <c r="S308" s="33">
        <v>15</v>
      </c>
      <c r="T308" s="33" t="s">
        <v>225</v>
      </c>
      <c r="U308" s="33">
        <v>42865.634027777778</v>
      </c>
      <c r="V308" s="33" t="s">
        <v>225</v>
      </c>
      <c r="W308" s="33" t="s">
        <v>711</v>
      </c>
      <c r="X308" s="33" t="s">
        <v>688</v>
      </c>
      <c r="Y308" s="33">
        <v>42872</v>
      </c>
      <c r="Z308" s="33">
        <v>42879</v>
      </c>
      <c r="AA308" s="13">
        <v>3424</v>
      </c>
      <c r="AB308" s="13">
        <v>5</v>
      </c>
      <c r="AC308" s="13">
        <f>SUMIF(Tableau_Liste_UO[[Code UO]:[Code UO]],Tableau_Liste_KPI[[#This Row],[Code UO]], Tableau_Liste_UO[RAF])</f>
        <v>0</v>
      </c>
      <c r="AD308" s="13" t="e">
        <f>SUMIF(Tableau_Liste_UO[[Code UO]:[Code UO]],Tableau_Liste_KPI[[#This Row],[Code UO]], #REF!)</f>
        <v>#REF!</v>
      </c>
      <c r="AE308" s="34" t="s">
        <v>721</v>
      </c>
      <c r="AF308" s="34" t="s">
        <v>721</v>
      </c>
      <c r="AG308" s="34" t="s">
        <v>225</v>
      </c>
      <c r="AH308" s="34"/>
      <c r="AI308" s="35" t="e">
        <f>IF(Tableau_Liste_KPI[[#This Row],[Charge commandée]]="","",IF(Tableau_Liste_KPI[[#This Row],[Total]]&gt;Tableau_Liste_KPI[[#This Row],[Charge commandée]],"KO",""))</f>
        <v>#REF!</v>
      </c>
      <c r="AJ308" s="35" t="e">
        <f>IF(Tableau_Liste_KPI[[#This Row],[KPI Charges]]="KO",Tableau_Liste_KPI[[#This Row],[Charge commandée]]-Tableau_Liste_KPI[[#This Row],[Total]],"")</f>
        <v>#REF!</v>
      </c>
    </row>
    <row r="309" spans="1:36" ht="12" x14ac:dyDescent="0.2">
      <c r="A309" s="12" t="s">
        <v>235</v>
      </c>
      <c r="B309" s="12" t="s">
        <v>265</v>
      </c>
      <c r="C309" s="12" t="s">
        <v>656</v>
      </c>
      <c r="D309" s="12" t="s">
        <v>33</v>
      </c>
      <c r="E309" s="12" t="s">
        <v>44</v>
      </c>
      <c r="F309" s="12" t="s">
        <v>34</v>
      </c>
      <c r="G309" s="12" t="s">
        <v>689</v>
      </c>
      <c r="H309" s="6">
        <v>42853.651388888888</v>
      </c>
      <c r="I309" s="6">
        <v>43014.389745370368</v>
      </c>
      <c r="J309" s="6">
        <v>43032.313703703701</v>
      </c>
      <c r="K309" s="69" t="s">
        <v>225</v>
      </c>
      <c r="L309" s="13" t="s">
        <v>225</v>
      </c>
      <c r="M309" s="13">
        <v>0</v>
      </c>
      <c r="N309" s="13">
        <v>11</v>
      </c>
      <c r="O309" s="12">
        <v>17</v>
      </c>
      <c r="P309" s="13">
        <v>25</v>
      </c>
      <c r="Q309" s="13">
        <v>11</v>
      </c>
      <c r="R309" s="33">
        <v>10</v>
      </c>
      <c r="S309" s="33">
        <v>15</v>
      </c>
      <c r="T309" s="33" t="s">
        <v>225</v>
      </c>
      <c r="U309" s="33">
        <v>43028.475694444445</v>
      </c>
      <c r="V309" s="33">
        <v>43038.642361111109</v>
      </c>
      <c r="W309" s="33" t="s">
        <v>703</v>
      </c>
      <c r="X309" s="33" t="s">
        <v>225</v>
      </c>
      <c r="Y309" s="33">
        <v>43054</v>
      </c>
      <c r="Z309" s="33">
        <v>43061</v>
      </c>
      <c r="AA309" s="13">
        <v>912</v>
      </c>
      <c r="AB309" s="13">
        <v>1</v>
      </c>
      <c r="AC309" s="13">
        <f>SUMIF(Tableau_Liste_UO[[Code UO]:[Code UO]],Tableau_Liste_KPI[[#This Row],[Code UO]], Tableau_Liste_UO[RAF])</f>
        <v>0</v>
      </c>
      <c r="AD309" s="13" t="e">
        <f>SUMIF(Tableau_Liste_UO[[Code UO]:[Code UO]],Tableau_Liste_KPI[[#This Row],[Code UO]], #REF!)</f>
        <v>#REF!</v>
      </c>
      <c r="AE309" s="34" t="s">
        <v>721</v>
      </c>
      <c r="AF309" s="34" t="s">
        <v>225</v>
      </c>
      <c r="AG309" s="34" t="s">
        <v>721</v>
      </c>
      <c r="AH309" s="34"/>
      <c r="AI309" s="35" t="e">
        <f>IF(Tableau_Liste_KPI[[#This Row],[Charge commandée]]="","",IF(Tableau_Liste_KPI[[#This Row],[Total]]&gt;Tableau_Liste_KPI[[#This Row],[Charge commandée]],"KO",""))</f>
        <v>#REF!</v>
      </c>
      <c r="AJ309" s="35" t="e">
        <f>IF(Tableau_Liste_KPI[[#This Row],[KPI Charges]]="KO",Tableau_Liste_KPI[[#This Row],[Charge commandée]]-Tableau_Liste_KPI[[#This Row],[Total]],"")</f>
        <v>#REF!</v>
      </c>
    </row>
    <row r="310" spans="1:36" ht="12" x14ac:dyDescent="0.2">
      <c r="A310" s="12" t="s">
        <v>217</v>
      </c>
      <c r="B310" s="12" t="s">
        <v>627</v>
      </c>
      <c r="C310" s="12" t="s">
        <v>174</v>
      </c>
      <c r="D310" s="12" t="s">
        <v>33</v>
      </c>
      <c r="E310" s="12" t="s">
        <v>539</v>
      </c>
      <c r="F310" s="12" t="s">
        <v>34</v>
      </c>
      <c r="G310" s="12" t="s">
        <v>699</v>
      </c>
      <c r="H310" s="6">
        <v>42853.651388888888</v>
      </c>
      <c r="I310" s="6">
        <v>42990.668067129627</v>
      </c>
      <c r="J310" s="6">
        <v>43032.312060185184</v>
      </c>
      <c r="K310" s="69" t="s">
        <v>225</v>
      </c>
      <c r="L310" s="13" t="s">
        <v>225</v>
      </c>
      <c r="M310" s="13">
        <v>0</v>
      </c>
      <c r="N310" s="13">
        <v>20</v>
      </c>
      <c r="O310" s="12">
        <v>10</v>
      </c>
      <c r="P310" s="13">
        <v>42</v>
      </c>
      <c r="Q310" s="13">
        <v>20</v>
      </c>
      <c r="R310" s="33">
        <v>8</v>
      </c>
      <c r="S310" s="33">
        <v>11</v>
      </c>
      <c r="T310" s="33" t="s">
        <v>225</v>
      </c>
      <c r="U310" s="33">
        <v>43007.741666666669</v>
      </c>
      <c r="V310" s="33">
        <v>43039.643055555556</v>
      </c>
      <c r="W310" s="33" t="s">
        <v>690</v>
      </c>
      <c r="X310" s="33" t="s">
        <v>225</v>
      </c>
      <c r="Y310" s="33">
        <v>43014</v>
      </c>
      <c r="Z310" s="33">
        <v>43019</v>
      </c>
      <c r="AA310" s="13">
        <v>3044</v>
      </c>
      <c r="AB310" s="13">
        <v>4</v>
      </c>
      <c r="AC310" s="13">
        <f>SUMIF(Tableau_Liste_UO[[Code UO]:[Code UO]],Tableau_Liste_KPI[[#This Row],[Code UO]], Tableau_Liste_UO[RAF])</f>
        <v>0</v>
      </c>
      <c r="AD310" s="13" t="e">
        <f>SUMIF(Tableau_Liste_UO[[Code UO]:[Code UO]],Tableau_Liste_KPI[[#This Row],[Code UO]], #REF!)</f>
        <v>#REF!</v>
      </c>
      <c r="AE310" s="34" t="s">
        <v>721</v>
      </c>
      <c r="AF310" s="34" t="s">
        <v>721</v>
      </c>
      <c r="AG310" s="34" t="s">
        <v>225</v>
      </c>
      <c r="AH310" s="34"/>
      <c r="AI310" s="35" t="e">
        <f>IF(Tableau_Liste_KPI[[#This Row],[Charge commandée]]="","",IF(Tableau_Liste_KPI[[#This Row],[Total]]&gt;Tableau_Liste_KPI[[#This Row],[Charge commandée]],"KO",""))</f>
        <v>#REF!</v>
      </c>
      <c r="AJ310" s="35" t="e">
        <f>IF(Tableau_Liste_KPI[[#This Row],[KPI Charges]]="KO",Tableau_Liste_KPI[[#This Row],[Charge commandée]]-Tableau_Liste_KPI[[#This Row],[Total]],"")</f>
        <v>#REF!</v>
      </c>
    </row>
    <row r="311" spans="1:36" ht="12" x14ac:dyDescent="0.2">
      <c r="A311" s="32" t="s">
        <v>153</v>
      </c>
      <c r="B311" s="12" t="s">
        <v>628</v>
      </c>
      <c r="C311" s="12" t="s">
        <v>259</v>
      </c>
      <c r="D311" s="12" t="s">
        <v>33</v>
      </c>
      <c r="E311" s="12" t="s">
        <v>538</v>
      </c>
      <c r="F311" s="12" t="s">
        <v>34</v>
      </c>
      <c r="G311" s="12" t="s">
        <v>686</v>
      </c>
      <c r="H311" s="6">
        <v>42853.650694444441</v>
      </c>
      <c r="I311" s="6">
        <v>42853.651296296295</v>
      </c>
      <c r="J311" s="6">
        <v>42943.4528125</v>
      </c>
      <c r="K311" s="69">
        <v>42997.685219907406</v>
      </c>
      <c r="L311" s="13" t="s">
        <v>225</v>
      </c>
      <c r="M311" s="13">
        <v>2</v>
      </c>
      <c r="N311" s="13">
        <v>44</v>
      </c>
      <c r="O311" s="12">
        <v>13</v>
      </c>
      <c r="P311" s="13">
        <v>37</v>
      </c>
      <c r="Q311" s="13">
        <v>46</v>
      </c>
      <c r="R311" s="33">
        <v>16</v>
      </c>
      <c r="S311" s="33">
        <v>24</v>
      </c>
      <c r="T311" s="33" t="s">
        <v>225</v>
      </c>
      <c r="U311" s="33">
        <v>42881.632638888892</v>
      </c>
      <c r="V311" s="33" t="s">
        <v>225</v>
      </c>
      <c r="W311" s="33" t="s">
        <v>687</v>
      </c>
      <c r="X311" s="33" t="s">
        <v>690</v>
      </c>
      <c r="Y311" s="33">
        <v>42899</v>
      </c>
      <c r="Z311" s="33">
        <v>42909</v>
      </c>
      <c r="AA311" s="13">
        <v>6088</v>
      </c>
      <c r="AB311" s="13">
        <v>8.1</v>
      </c>
      <c r="AC311" s="13">
        <f>SUMIF(Tableau_Liste_UO[[Code UO]:[Code UO]],Tableau_Liste_KPI[[#This Row],[Code UO]], Tableau_Liste_UO[RAF])</f>
        <v>0</v>
      </c>
      <c r="AD311" s="13" t="e">
        <f>SUMIF(Tableau_Liste_UO[[Code UO]:[Code UO]],Tableau_Liste_KPI[[#This Row],[Code UO]], #REF!)</f>
        <v>#REF!</v>
      </c>
      <c r="AE311" s="34" t="s">
        <v>721</v>
      </c>
      <c r="AF311" s="34" t="s">
        <v>721</v>
      </c>
      <c r="AG311" s="34" t="s">
        <v>225</v>
      </c>
      <c r="AH311" s="34"/>
      <c r="AI311" s="35" t="e">
        <f>IF(Tableau_Liste_KPI[[#This Row],[Charge commandée]]="","",IF(Tableau_Liste_KPI[[#This Row],[Total]]&gt;Tableau_Liste_KPI[[#This Row],[Charge commandée]],"KO",""))</f>
        <v>#REF!</v>
      </c>
      <c r="AJ311" s="35" t="e">
        <f>IF(Tableau_Liste_KPI[[#This Row],[KPI Charges]]="KO",Tableau_Liste_KPI[[#This Row],[Charge commandée]]-Tableau_Liste_KPI[[#This Row],[Total]],"")</f>
        <v>#REF!</v>
      </c>
    </row>
    <row r="312" spans="1:36" ht="12" x14ac:dyDescent="0.2">
      <c r="A312" s="25" t="s">
        <v>154</v>
      </c>
      <c r="B312" s="25" t="s">
        <v>629</v>
      </c>
      <c r="C312" s="12" t="s">
        <v>259</v>
      </c>
      <c r="D312" s="25" t="s">
        <v>33</v>
      </c>
      <c r="E312" s="25" t="s">
        <v>538</v>
      </c>
      <c r="F312" s="25" t="s">
        <v>43</v>
      </c>
      <c r="G312" s="25" t="s">
        <v>696</v>
      </c>
      <c r="H312" s="24">
        <v>42850.75277777778</v>
      </c>
      <c r="I312" s="24">
        <v>42850.75335648148</v>
      </c>
      <c r="J312" s="24">
        <v>42871.582268518519</v>
      </c>
      <c r="K312" s="71">
        <v>42905.692303240743</v>
      </c>
      <c r="L312" s="26" t="s">
        <v>225</v>
      </c>
      <c r="M312" s="26">
        <v>2</v>
      </c>
      <c r="N312" s="26">
        <v>12</v>
      </c>
      <c r="O312" s="25">
        <v>0</v>
      </c>
      <c r="P312" s="26">
        <v>23</v>
      </c>
      <c r="Q312" s="26">
        <v>14</v>
      </c>
      <c r="R312" s="39">
        <v>10</v>
      </c>
      <c r="S312" s="39">
        <v>15</v>
      </c>
      <c r="T312" s="39" t="s">
        <v>225</v>
      </c>
      <c r="U312" s="39">
        <v>42859.404861111114</v>
      </c>
      <c r="V312" s="39" t="s">
        <v>225</v>
      </c>
      <c r="W312" s="39" t="s">
        <v>687</v>
      </c>
      <c r="X312" s="39" t="s">
        <v>688</v>
      </c>
      <c r="Y312" s="39">
        <v>42866</v>
      </c>
      <c r="Z312" s="39">
        <v>42873</v>
      </c>
      <c r="AA312" s="26">
        <v>3424</v>
      </c>
      <c r="AB312" s="26">
        <v>5</v>
      </c>
      <c r="AC312" s="26">
        <f>SUMIF(Tableau_Liste_UO[[Code UO]:[Code UO]],Tableau_Liste_KPI[[#This Row],[Code UO]], Tableau_Liste_UO[RAF])</f>
        <v>0</v>
      </c>
      <c r="AD312" s="26" t="e">
        <f>SUMIF(Tableau_Liste_UO[[Code UO]:[Code UO]],Tableau_Liste_KPI[[#This Row],[Code UO]], #REF!)</f>
        <v>#REF!</v>
      </c>
      <c r="AE312" s="40" t="s">
        <v>721</v>
      </c>
      <c r="AF312" s="40" t="s">
        <v>225</v>
      </c>
      <c r="AG312" s="40" t="s">
        <v>225</v>
      </c>
      <c r="AH312" s="40"/>
      <c r="AI312" s="41" t="e">
        <f>IF(Tableau_Liste_KPI[[#This Row],[Charge commandée]]="","",IF(Tableau_Liste_KPI[[#This Row],[Total]]&gt;Tableau_Liste_KPI[[#This Row],[Charge commandée]],"KO",""))</f>
        <v>#REF!</v>
      </c>
      <c r="AJ312" s="41" t="e">
        <f>IF(Tableau_Liste_KPI[[#This Row],[KPI Charges]]="KO",Tableau_Liste_KPI[[#This Row],[Charge commandée]]-Tableau_Liste_KPI[[#This Row],[Total]],"")</f>
        <v>#REF!</v>
      </c>
    </row>
    <row r="313" spans="1:36" ht="12" x14ac:dyDescent="0.2">
      <c r="A313" s="12" t="s">
        <v>155</v>
      </c>
      <c r="B313" s="12" t="s">
        <v>630</v>
      </c>
      <c r="C313" s="12" t="s">
        <v>259</v>
      </c>
      <c r="D313" s="12" t="s">
        <v>33</v>
      </c>
      <c r="E313" s="12" t="s">
        <v>539</v>
      </c>
      <c r="F313" s="12" t="s">
        <v>34</v>
      </c>
      <c r="G313" s="12" t="s">
        <v>726</v>
      </c>
      <c r="H313" s="6">
        <v>42850.752083333333</v>
      </c>
      <c r="I313" s="6">
        <v>42850.752372685187</v>
      </c>
      <c r="J313" s="6" t="s">
        <v>225</v>
      </c>
      <c r="K313" s="69">
        <v>43045.631481481483</v>
      </c>
      <c r="L313" s="13" t="s">
        <v>225</v>
      </c>
      <c r="M313" s="13">
        <v>4</v>
      </c>
      <c r="N313" s="13">
        <v>17</v>
      </c>
      <c r="O313" s="12">
        <v>0</v>
      </c>
      <c r="P313" s="13" t="s">
        <v>225</v>
      </c>
      <c r="Q313" s="13">
        <v>21</v>
      </c>
      <c r="R313" s="33" t="s">
        <v>225</v>
      </c>
      <c r="S313" s="33" t="s">
        <v>225</v>
      </c>
      <c r="T313" s="33" t="s">
        <v>225</v>
      </c>
      <c r="U313" s="33">
        <v>42865.620833333334</v>
      </c>
      <c r="V313" s="33" t="s">
        <v>225</v>
      </c>
      <c r="W313" s="33" t="s">
        <v>687</v>
      </c>
      <c r="X313" s="33" t="s">
        <v>694</v>
      </c>
      <c r="Y313" s="33" t="s">
        <v>225</v>
      </c>
      <c r="Z313" s="33" t="s">
        <v>225</v>
      </c>
      <c r="AA313" s="13" t="s">
        <v>225</v>
      </c>
      <c r="AB313" s="13" t="s">
        <v>225</v>
      </c>
      <c r="AC313" s="13">
        <f>SUMIF(Tableau_Liste_UO[[Code UO]:[Code UO]],Tableau_Liste_KPI[[#This Row],[Code UO]], Tableau_Liste_UO[RAF])</f>
        <v>0</v>
      </c>
      <c r="AD313" s="13" t="e">
        <f>SUMIF(Tableau_Liste_UO[[Code UO]:[Code UO]],Tableau_Liste_KPI[[#This Row],[Code UO]], #REF!)</f>
        <v>#REF!</v>
      </c>
      <c r="AE313" s="34" t="s">
        <v>225</v>
      </c>
      <c r="AF313" s="34" t="s">
        <v>225</v>
      </c>
      <c r="AG313" s="34" t="s">
        <v>225</v>
      </c>
      <c r="AH313" s="34"/>
      <c r="AI313" s="35" t="str">
        <f>IF(Tableau_Liste_KPI[[#This Row],[Charge commandée]]="","",IF(Tableau_Liste_KPI[[#This Row],[Total]]&gt;Tableau_Liste_KPI[[#This Row],[Charge commandée]],"KO",""))</f>
        <v/>
      </c>
      <c r="AJ313" s="35" t="str">
        <f>IF(Tableau_Liste_KPI[[#This Row],[KPI Charges]]="KO",Tableau_Liste_KPI[[#This Row],[Charge commandée]]-Tableau_Liste_KPI[[#This Row],[Total]],"")</f>
        <v/>
      </c>
    </row>
    <row r="314" spans="1:36" ht="12" x14ac:dyDescent="0.2">
      <c r="A314" s="12" t="s">
        <v>156</v>
      </c>
      <c r="B314" s="12" t="s">
        <v>630</v>
      </c>
      <c r="C314" s="12" t="s">
        <v>173</v>
      </c>
      <c r="D314" s="12" t="s">
        <v>33</v>
      </c>
      <c r="E314" s="12" t="s">
        <v>539</v>
      </c>
      <c r="F314" s="12" t="s">
        <v>34</v>
      </c>
      <c r="G314" s="12" t="s">
        <v>699</v>
      </c>
      <c r="H314" s="6">
        <v>42850.750694444447</v>
      </c>
      <c r="I314" s="6">
        <v>42850.753969907404</v>
      </c>
      <c r="J314" s="6" t="s">
        <v>225</v>
      </c>
      <c r="K314" s="69" t="s">
        <v>225</v>
      </c>
      <c r="L314" s="13" t="s">
        <v>225</v>
      </c>
      <c r="M314" s="13">
        <v>0</v>
      </c>
      <c r="N314" s="13">
        <v>0</v>
      </c>
      <c r="O314" s="12">
        <v>0</v>
      </c>
      <c r="P314" s="13" t="s">
        <v>225</v>
      </c>
      <c r="Q314" s="13" t="s">
        <v>225</v>
      </c>
      <c r="R314" s="33">
        <v>8</v>
      </c>
      <c r="S314" s="33">
        <v>11</v>
      </c>
      <c r="T314" s="33" t="s">
        <v>225</v>
      </c>
      <c r="U314" s="33" t="s">
        <v>225</v>
      </c>
      <c r="V314" s="33" t="s">
        <v>225</v>
      </c>
      <c r="W314" s="33" t="s">
        <v>687</v>
      </c>
      <c r="X314" s="33" t="s">
        <v>225</v>
      </c>
      <c r="Y314" s="33">
        <v>42864</v>
      </c>
      <c r="Z314" s="33">
        <v>42867</v>
      </c>
      <c r="AA314" s="13">
        <v>3044</v>
      </c>
      <c r="AB314" s="13">
        <v>4</v>
      </c>
      <c r="AC314" s="13">
        <f>SUMIF(Tableau_Liste_UO[[Code UO]:[Code UO]],Tableau_Liste_KPI[[#This Row],[Code UO]], Tableau_Liste_UO[RAF])</f>
        <v>0</v>
      </c>
      <c r="AD314" s="13" t="e">
        <f>SUMIF(Tableau_Liste_UO[[Code UO]:[Code UO]],Tableau_Liste_KPI[[#This Row],[Code UO]], #REF!)</f>
        <v>#REF!</v>
      </c>
      <c r="AE314" s="34" t="s">
        <v>225</v>
      </c>
      <c r="AF314" s="34" t="s">
        <v>225</v>
      </c>
      <c r="AG314" s="34" t="s">
        <v>225</v>
      </c>
      <c r="AH314" s="34"/>
      <c r="AI314" s="35" t="e">
        <f>IF(Tableau_Liste_KPI[[#This Row],[Charge commandée]]="","",IF(Tableau_Liste_KPI[[#This Row],[Total]]&gt;Tableau_Liste_KPI[[#This Row],[Charge commandée]],"KO",""))</f>
        <v>#REF!</v>
      </c>
      <c r="AJ314" s="35" t="e">
        <f>IF(Tableau_Liste_KPI[[#This Row],[KPI Charges]]="KO",Tableau_Liste_KPI[[#This Row],[Charge commandée]]-Tableau_Liste_KPI[[#This Row],[Total]],"")</f>
        <v>#REF!</v>
      </c>
    </row>
    <row r="315" spans="1:36" ht="12" x14ac:dyDescent="0.2">
      <c r="A315" s="32" t="s">
        <v>157</v>
      </c>
      <c r="B315" s="12" t="s">
        <v>631</v>
      </c>
      <c r="C315" s="12" t="s">
        <v>259</v>
      </c>
      <c r="D315" s="12" t="s">
        <v>33</v>
      </c>
      <c r="E315" s="12" t="s">
        <v>538</v>
      </c>
      <c r="F315" s="12" t="s">
        <v>34</v>
      </c>
      <c r="G315" s="12" t="s">
        <v>727</v>
      </c>
      <c r="H315" s="6">
        <v>42850.746527777781</v>
      </c>
      <c r="I315" s="6">
        <v>42850.746701388889</v>
      </c>
      <c r="J315" s="6">
        <v>42997.679328703707</v>
      </c>
      <c r="K315" s="69">
        <v>42997.680358796293</v>
      </c>
      <c r="L315" s="13" t="s">
        <v>225</v>
      </c>
      <c r="M315" s="13">
        <v>2</v>
      </c>
      <c r="N315" s="13">
        <v>47</v>
      </c>
      <c r="O315" s="12">
        <v>51</v>
      </c>
      <c r="P315" s="13">
        <v>-1</v>
      </c>
      <c r="Q315" s="13">
        <v>49</v>
      </c>
      <c r="R315" s="33" t="s">
        <v>225</v>
      </c>
      <c r="S315" s="33" t="s">
        <v>225</v>
      </c>
      <c r="T315" s="33" t="s">
        <v>225</v>
      </c>
      <c r="U315" s="33">
        <v>42877.40902777778</v>
      </c>
      <c r="V315" s="33" t="s">
        <v>225</v>
      </c>
      <c r="W315" s="33" t="s">
        <v>687</v>
      </c>
      <c r="X315" s="33" t="s">
        <v>690</v>
      </c>
      <c r="Y315" s="33" t="s">
        <v>225</v>
      </c>
      <c r="Z315" s="33" t="s">
        <v>225</v>
      </c>
      <c r="AA315" s="13" t="s">
        <v>225</v>
      </c>
      <c r="AB315" s="13" t="s">
        <v>225</v>
      </c>
      <c r="AC315" s="13">
        <f>SUMIF(Tableau_Liste_UO[[Code UO]:[Code UO]],Tableau_Liste_KPI[[#This Row],[Code UO]], Tableau_Liste_UO[RAF])</f>
        <v>0</v>
      </c>
      <c r="AD315" s="13" t="e">
        <f>SUMIF(Tableau_Liste_UO[[Code UO]:[Code UO]],Tableau_Liste_KPI[[#This Row],[Code UO]], #REF!)</f>
        <v>#REF!</v>
      </c>
      <c r="AE315" s="34" t="s">
        <v>225</v>
      </c>
      <c r="AF315" s="34" t="s">
        <v>225</v>
      </c>
      <c r="AG315" s="34" t="s">
        <v>225</v>
      </c>
      <c r="AH315" s="34"/>
      <c r="AI315" s="35" t="str">
        <f>IF(Tableau_Liste_KPI[[#This Row],[Charge commandée]]="","",IF(Tableau_Liste_KPI[[#This Row],[Total]]&gt;Tableau_Liste_KPI[[#This Row],[Charge commandée]],"KO",""))</f>
        <v/>
      </c>
      <c r="AJ315" s="35" t="str">
        <f>IF(Tableau_Liste_KPI[[#This Row],[KPI Charges]]="KO",Tableau_Liste_KPI[[#This Row],[Charge commandée]]-Tableau_Liste_KPI[[#This Row],[Total]],"")</f>
        <v/>
      </c>
    </row>
    <row r="316" spans="1:36" ht="12" x14ac:dyDescent="0.2">
      <c r="A316" s="32" t="s">
        <v>158</v>
      </c>
      <c r="B316" s="12" t="s">
        <v>264</v>
      </c>
      <c r="C316" s="12" t="s">
        <v>259</v>
      </c>
      <c r="D316" s="12" t="s">
        <v>33</v>
      </c>
      <c r="E316" s="12" t="s">
        <v>44</v>
      </c>
      <c r="F316" s="12" t="s">
        <v>43</v>
      </c>
      <c r="G316" s="12" t="s">
        <v>689</v>
      </c>
      <c r="H316" s="6">
        <v>42844.438194444447</v>
      </c>
      <c r="I316" s="6">
        <v>42928.659548611111</v>
      </c>
      <c r="J316" s="6">
        <v>42963.421643518515</v>
      </c>
      <c r="K316" s="69">
        <v>42997.686168981483</v>
      </c>
      <c r="L316" s="13" t="s">
        <v>225</v>
      </c>
      <c r="M316" s="13">
        <v>0</v>
      </c>
      <c r="N316" s="13">
        <v>-2</v>
      </c>
      <c r="O316" s="12">
        <v>22</v>
      </c>
      <c r="P316" s="13">
        <v>24</v>
      </c>
      <c r="Q316" s="13">
        <v>-2</v>
      </c>
      <c r="R316" s="33">
        <v>10</v>
      </c>
      <c r="S316" s="33">
        <v>15</v>
      </c>
      <c r="T316" s="33" t="s">
        <v>225</v>
      </c>
      <c r="U316" s="33">
        <v>42929.65902777778</v>
      </c>
      <c r="V316" s="33" t="s">
        <v>225</v>
      </c>
      <c r="W316" s="33" t="s">
        <v>692</v>
      </c>
      <c r="X316" s="33" t="s">
        <v>690</v>
      </c>
      <c r="Y316" s="33">
        <v>42977</v>
      </c>
      <c r="Z316" s="33">
        <v>42984</v>
      </c>
      <c r="AA316" s="13">
        <v>912</v>
      </c>
      <c r="AB316" s="13">
        <v>1</v>
      </c>
      <c r="AC316" s="13">
        <f>SUMIF(Tableau_Liste_UO[[Code UO]:[Code UO]],Tableau_Liste_KPI[[#This Row],[Code UO]], Tableau_Liste_UO[RAF])</f>
        <v>0</v>
      </c>
      <c r="AD316" s="13" t="e">
        <f>SUMIF(Tableau_Liste_UO[[Code UO]:[Code UO]],Tableau_Liste_KPI[[#This Row],[Code UO]], #REF!)</f>
        <v>#REF!</v>
      </c>
      <c r="AE316" s="34" t="s">
        <v>225</v>
      </c>
      <c r="AF316" s="34" t="s">
        <v>225</v>
      </c>
      <c r="AG316" s="34" t="s">
        <v>225</v>
      </c>
      <c r="AH316" s="34"/>
      <c r="AI316" s="35" t="e">
        <f>IF(Tableau_Liste_KPI[[#This Row],[Charge commandée]]="","",IF(Tableau_Liste_KPI[[#This Row],[Total]]&gt;Tableau_Liste_KPI[[#This Row],[Charge commandée]],"KO",""))</f>
        <v>#REF!</v>
      </c>
      <c r="AJ316" s="35" t="e">
        <f>IF(Tableau_Liste_KPI[[#This Row],[KPI Charges]]="KO",Tableau_Liste_KPI[[#This Row],[Charge commandée]]-Tableau_Liste_KPI[[#This Row],[Total]],"")</f>
        <v>#REF!</v>
      </c>
    </row>
    <row r="317" spans="1:36" ht="12" x14ac:dyDescent="0.2">
      <c r="A317" s="12" t="s">
        <v>159</v>
      </c>
      <c r="B317" s="12" t="s">
        <v>632</v>
      </c>
      <c r="C317" s="12" t="s">
        <v>259</v>
      </c>
      <c r="D317" s="12" t="s">
        <v>33</v>
      </c>
      <c r="E317" s="12" t="s">
        <v>539</v>
      </c>
      <c r="F317" s="12" t="s">
        <v>43</v>
      </c>
      <c r="G317" s="12" t="s">
        <v>726</v>
      </c>
      <c r="H317" s="6">
        <v>42844.4375</v>
      </c>
      <c r="I317" s="6">
        <v>42922.635879629626</v>
      </c>
      <c r="J317" s="6">
        <v>42923.415150462963</v>
      </c>
      <c r="K317" s="69">
        <v>42969.701956018522</v>
      </c>
      <c r="L317" s="13" t="s">
        <v>225</v>
      </c>
      <c r="M317" s="13">
        <v>0</v>
      </c>
      <c r="N317" s="13">
        <v>1</v>
      </c>
      <c r="O317" s="12">
        <v>0</v>
      </c>
      <c r="P317" s="13">
        <v>29</v>
      </c>
      <c r="Q317" s="13">
        <v>1</v>
      </c>
      <c r="R317" s="33" t="s">
        <v>225</v>
      </c>
      <c r="S317" s="33" t="s">
        <v>225</v>
      </c>
      <c r="T317" s="33" t="s">
        <v>225</v>
      </c>
      <c r="U317" s="33">
        <v>42923.648611111108</v>
      </c>
      <c r="V317" s="33" t="s">
        <v>225</v>
      </c>
      <c r="W317" s="33" t="s">
        <v>692</v>
      </c>
      <c r="X317" s="33" t="s">
        <v>697</v>
      </c>
      <c r="Y317" s="33" t="s">
        <v>225</v>
      </c>
      <c r="Z317" s="33" t="s">
        <v>225</v>
      </c>
      <c r="AA317" s="13" t="s">
        <v>225</v>
      </c>
      <c r="AB317" s="13" t="s">
        <v>225</v>
      </c>
      <c r="AC317" s="13">
        <f>SUMIF(Tableau_Liste_UO[[Code UO]:[Code UO]],Tableau_Liste_KPI[[#This Row],[Code UO]], Tableau_Liste_UO[RAF])</f>
        <v>0</v>
      </c>
      <c r="AD317" s="13" t="e">
        <f>SUMIF(Tableau_Liste_UO[[Code UO]:[Code UO]],Tableau_Liste_KPI[[#This Row],[Code UO]], #REF!)</f>
        <v>#REF!</v>
      </c>
      <c r="AE317" s="34" t="s">
        <v>225</v>
      </c>
      <c r="AF317" s="34" t="s">
        <v>225</v>
      </c>
      <c r="AG317" s="34" t="s">
        <v>225</v>
      </c>
      <c r="AH317" s="34"/>
      <c r="AI317" s="35" t="str">
        <f>IF(Tableau_Liste_KPI[[#This Row],[Charge commandée]]="","",IF(Tableau_Liste_KPI[[#This Row],[Total]]&gt;Tableau_Liste_KPI[[#This Row],[Charge commandée]],"KO",""))</f>
        <v/>
      </c>
      <c r="AJ317" s="35" t="str">
        <f>IF(Tableau_Liste_KPI[[#This Row],[KPI Charges]]="KO",Tableau_Liste_KPI[[#This Row],[Charge commandée]]-Tableau_Liste_KPI[[#This Row],[Total]],"")</f>
        <v/>
      </c>
    </row>
    <row r="318" spans="1:36" ht="12" x14ac:dyDescent="0.2">
      <c r="A318" s="12" t="s">
        <v>160</v>
      </c>
      <c r="B318" s="12" t="s">
        <v>633</v>
      </c>
      <c r="C318" s="12" t="s">
        <v>259</v>
      </c>
      <c r="D318" s="12" t="s">
        <v>33</v>
      </c>
      <c r="E318" s="12" t="s">
        <v>538</v>
      </c>
      <c r="F318" s="12" t="s">
        <v>43</v>
      </c>
      <c r="G318" s="12" t="s">
        <v>696</v>
      </c>
      <c r="H318" s="6">
        <v>42844.436805555553</v>
      </c>
      <c r="I318" s="6">
        <v>42844.441504629627</v>
      </c>
      <c r="J318" s="6">
        <v>42915.513923611114</v>
      </c>
      <c r="K318" s="69">
        <v>42915.61478009259</v>
      </c>
      <c r="L318" s="13" t="s">
        <v>225</v>
      </c>
      <c r="M318" s="13">
        <v>4</v>
      </c>
      <c r="N318" s="13">
        <v>25</v>
      </c>
      <c r="O318" s="12">
        <v>14</v>
      </c>
      <c r="P318" s="13">
        <v>4</v>
      </c>
      <c r="Q318" s="13">
        <v>29</v>
      </c>
      <c r="R318" s="33">
        <v>10</v>
      </c>
      <c r="S318" s="33">
        <v>15</v>
      </c>
      <c r="T318" s="33" t="s">
        <v>225</v>
      </c>
      <c r="U318" s="33">
        <v>42880.578472222223</v>
      </c>
      <c r="V318" s="33" t="s">
        <v>225</v>
      </c>
      <c r="W318" s="33" t="s">
        <v>687</v>
      </c>
      <c r="X318" s="33" t="s">
        <v>688</v>
      </c>
      <c r="Y318" s="33">
        <v>42881</v>
      </c>
      <c r="Z318" s="33">
        <v>42888</v>
      </c>
      <c r="AA318" s="13">
        <v>3424</v>
      </c>
      <c r="AB318" s="13">
        <v>5</v>
      </c>
      <c r="AC318" s="13">
        <f>SUMIF(Tableau_Liste_UO[[Code UO]:[Code UO]],Tableau_Liste_KPI[[#This Row],[Code UO]], Tableau_Liste_UO[RAF])</f>
        <v>0</v>
      </c>
      <c r="AD318" s="13" t="e">
        <f>SUMIF(Tableau_Liste_UO[[Code UO]:[Code UO]],Tableau_Liste_KPI[[#This Row],[Code UO]], #REF!)</f>
        <v>#REF!</v>
      </c>
      <c r="AE318" s="34" t="s">
        <v>721</v>
      </c>
      <c r="AF318" s="34" t="s">
        <v>721</v>
      </c>
      <c r="AG318" s="34" t="s">
        <v>225</v>
      </c>
      <c r="AH318" s="34"/>
      <c r="AI318" s="35" t="e">
        <f>IF(Tableau_Liste_KPI[[#This Row],[Charge commandée]]="","",IF(Tableau_Liste_KPI[[#This Row],[Total]]&gt;Tableau_Liste_KPI[[#This Row],[Charge commandée]],"KO",""))</f>
        <v>#REF!</v>
      </c>
      <c r="AJ318" s="35" t="e">
        <f>IF(Tableau_Liste_KPI[[#This Row],[KPI Charges]]="KO",Tableau_Liste_KPI[[#This Row],[Charge commandée]]-Tableau_Liste_KPI[[#This Row],[Total]],"")</f>
        <v>#REF!</v>
      </c>
    </row>
    <row r="319" spans="1:36" ht="12" x14ac:dyDescent="0.2">
      <c r="A319" s="12" t="s">
        <v>161</v>
      </c>
      <c r="B319" s="12" t="s">
        <v>263</v>
      </c>
      <c r="C319" s="12" t="s">
        <v>259</v>
      </c>
      <c r="D319" s="12" t="s">
        <v>33</v>
      </c>
      <c r="E319" s="12" t="s">
        <v>44</v>
      </c>
      <c r="F319" s="12" t="s">
        <v>43</v>
      </c>
      <c r="G319" s="12" t="s">
        <v>689</v>
      </c>
      <c r="H319" s="6">
        <v>42838.427083333336</v>
      </c>
      <c r="I319" s="6">
        <v>42887.689768518518</v>
      </c>
      <c r="J319" s="6">
        <v>42970.368067129632</v>
      </c>
      <c r="K319" s="69">
        <v>42982.579351851855</v>
      </c>
      <c r="L319" s="13" t="s">
        <v>225</v>
      </c>
      <c r="M319" s="13">
        <v>0</v>
      </c>
      <c r="N319" s="13">
        <v>16</v>
      </c>
      <c r="O319" s="12">
        <v>33</v>
      </c>
      <c r="P319" s="13">
        <v>13</v>
      </c>
      <c r="Q319" s="13">
        <v>16</v>
      </c>
      <c r="R319" s="33">
        <v>10</v>
      </c>
      <c r="S319" s="33">
        <v>15</v>
      </c>
      <c r="T319" s="33" t="s">
        <v>225</v>
      </c>
      <c r="U319" s="33">
        <v>42894.75</v>
      </c>
      <c r="V319" s="33" t="s">
        <v>225</v>
      </c>
      <c r="W319" s="33" t="s">
        <v>688</v>
      </c>
      <c r="X319" s="33" t="s">
        <v>690</v>
      </c>
      <c r="Y319" s="33">
        <v>42950</v>
      </c>
      <c r="Z319" s="33">
        <v>42957</v>
      </c>
      <c r="AA319" s="13">
        <v>912</v>
      </c>
      <c r="AB319" s="13">
        <v>1</v>
      </c>
      <c r="AC319" s="13">
        <f>SUMIF(Tableau_Liste_UO[[Code UO]:[Code UO]],Tableau_Liste_KPI[[#This Row],[Code UO]], Tableau_Liste_UO[RAF])</f>
        <v>0</v>
      </c>
      <c r="AD319" s="13" t="e">
        <f>SUMIF(Tableau_Liste_UO[[Code UO]:[Code UO]],Tableau_Liste_KPI[[#This Row],[Code UO]], #REF!)</f>
        <v>#REF!</v>
      </c>
      <c r="AE319" s="34" t="s">
        <v>721</v>
      </c>
      <c r="AF319" s="34" t="s">
        <v>721</v>
      </c>
      <c r="AG319" s="34" t="s">
        <v>225</v>
      </c>
      <c r="AH319" s="34"/>
      <c r="AI319" s="35" t="e">
        <f>IF(Tableau_Liste_KPI[[#This Row],[Charge commandée]]="","",IF(Tableau_Liste_KPI[[#This Row],[Total]]&gt;Tableau_Liste_KPI[[#This Row],[Charge commandée]],"KO",""))</f>
        <v>#REF!</v>
      </c>
      <c r="AJ319" s="35" t="e">
        <f>IF(Tableau_Liste_KPI[[#This Row],[KPI Charges]]="KO",Tableau_Liste_KPI[[#This Row],[Charge commandée]]-Tableau_Liste_KPI[[#This Row],[Total]],"")</f>
        <v>#REF!</v>
      </c>
    </row>
    <row r="320" spans="1:36" ht="12" x14ac:dyDescent="0.2">
      <c r="A320" s="32" t="s">
        <v>162</v>
      </c>
      <c r="B320" s="12" t="s">
        <v>634</v>
      </c>
      <c r="C320" s="12" t="s">
        <v>259</v>
      </c>
      <c r="D320" s="12" t="s">
        <v>33</v>
      </c>
      <c r="E320" s="12" t="s">
        <v>539</v>
      </c>
      <c r="F320" s="12" t="s">
        <v>43</v>
      </c>
      <c r="G320" s="12" t="s">
        <v>698</v>
      </c>
      <c r="H320" s="11">
        <v>42838.427083333336</v>
      </c>
      <c r="I320" s="11">
        <v>42864.720914351848</v>
      </c>
      <c r="J320" s="11">
        <v>42886.680983796294</v>
      </c>
      <c r="K320" s="73">
        <v>42920.635648148149</v>
      </c>
      <c r="L320" s="15" t="s">
        <v>225</v>
      </c>
      <c r="M320" s="15">
        <v>2</v>
      </c>
      <c r="N320" s="15">
        <v>14</v>
      </c>
      <c r="O320" s="10">
        <v>0</v>
      </c>
      <c r="P320" s="13">
        <v>24</v>
      </c>
      <c r="Q320" s="13">
        <v>16</v>
      </c>
      <c r="R320" s="33">
        <v>5</v>
      </c>
      <c r="S320" s="33">
        <v>8</v>
      </c>
      <c r="T320" s="33" t="s">
        <v>225</v>
      </c>
      <c r="U320" s="33">
        <v>42872.486111111109</v>
      </c>
      <c r="V320" s="33" t="s">
        <v>225</v>
      </c>
      <c r="W320" s="33" t="s">
        <v>711</v>
      </c>
      <c r="X320" s="33" t="s">
        <v>692</v>
      </c>
      <c r="Y320" s="33">
        <v>42871</v>
      </c>
      <c r="Z320" s="33">
        <v>42874</v>
      </c>
      <c r="AA320" s="13">
        <v>1522</v>
      </c>
      <c r="AB320" s="13">
        <v>2</v>
      </c>
      <c r="AC320" s="13">
        <f>SUMIF(Tableau_Liste_UO[[Code UO]:[Code UO]],Tableau_Liste_KPI[[#This Row],[Code UO]], Tableau_Liste_UO[RAF])</f>
        <v>0</v>
      </c>
      <c r="AD320" s="13" t="e">
        <f>SUMIF(Tableau_Liste_UO[[Code UO]:[Code UO]],Tableau_Liste_KPI[[#This Row],[Code UO]], #REF!)</f>
        <v>#REF!</v>
      </c>
      <c r="AE320" s="34" t="s">
        <v>721</v>
      </c>
      <c r="AF320" s="34" t="s">
        <v>721</v>
      </c>
      <c r="AG320" s="34" t="s">
        <v>225</v>
      </c>
      <c r="AH320" s="34"/>
      <c r="AI320" s="35" t="e">
        <f>IF(Tableau_Liste_KPI[[#This Row],[Charge commandée]]="","",IF(Tableau_Liste_KPI[[#This Row],[Total]]&gt;Tableau_Liste_KPI[[#This Row],[Charge commandée]],"KO",""))</f>
        <v>#REF!</v>
      </c>
      <c r="AJ320" s="35" t="e">
        <f>IF(Tableau_Liste_KPI[[#This Row],[KPI Charges]]="KO",Tableau_Liste_KPI[[#This Row],[Charge commandée]]-Tableau_Liste_KPI[[#This Row],[Total]],"")</f>
        <v>#REF!</v>
      </c>
    </row>
    <row r="321" spans="1:36" ht="12" x14ac:dyDescent="0.2">
      <c r="A321" s="21" t="s">
        <v>163</v>
      </c>
      <c r="B321" s="21" t="s">
        <v>635</v>
      </c>
      <c r="C321" s="12" t="s">
        <v>259</v>
      </c>
      <c r="D321" s="21" t="s">
        <v>33</v>
      </c>
      <c r="E321" s="21" t="s">
        <v>538</v>
      </c>
      <c r="F321" s="21" t="s">
        <v>43</v>
      </c>
      <c r="G321" s="21" t="s">
        <v>727</v>
      </c>
      <c r="H321" s="22">
        <v>42838.425694444442</v>
      </c>
      <c r="I321" s="22">
        <v>42838.42900462963</v>
      </c>
      <c r="J321" s="22">
        <v>42871.58185185185</v>
      </c>
      <c r="K321" s="70">
        <v>42871.738935185182</v>
      </c>
      <c r="L321" s="23" t="s">
        <v>225</v>
      </c>
      <c r="M321" s="23">
        <v>0</v>
      </c>
      <c r="N321" s="23">
        <v>20</v>
      </c>
      <c r="O321" s="21">
        <v>0</v>
      </c>
      <c r="P321" s="23">
        <v>-1</v>
      </c>
      <c r="Q321" s="23">
        <v>20</v>
      </c>
      <c r="R321" s="36" t="s">
        <v>225</v>
      </c>
      <c r="S321" s="36" t="s">
        <v>225</v>
      </c>
      <c r="T321" s="36" t="s">
        <v>225</v>
      </c>
      <c r="U321" s="36">
        <v>42846.594444444447</v>
      </c>
      <c r="V321" s="36" t="s">
        <v>225</v>
      </c>
      <c r="W321" s="36" t="s">
        <v>687</v>
      </c>
      <c r="X321" s="36" t="s">
        <v>711</v>
      </c>
      <c r="Y321" s="36" t="s">
        <v>225</v>
      </c>
      <c r="Z321" s="36" t="s">
        <v>225</v>
      </c>
      <c r="AA321" s="23" t="s">
        <v>225</v>
      </c>
      <c r="AB321" s="23" t="s">
        <v>225</v>
      </c>
      <c r="AC321" s="23">
        <f>SUMIF(Tableau_Liste_UO[[Code UO]:[Code UO]],Tableau_Liste_KPI[[#This Row],[Code UO]], Tableau_Liste_UO[RAF])</f>
        <v>0</v>
      </c>
      <c r="AD321" s="23" t="e">
        <f>SUMIF(Tableau_Liste_UO[[Code UO]:[Code UO]],Tableau_Liste_KPI[[#This Row],[Code UO]], #REF!)</f>
        <v>#REF!</v>
      </c>
      <c r="AE321" s="37" t="s">
        <v>225</v>
      </c>
      <c r="AF321" s="37" t="s">
        <v>225</v>
      </c>
      <c r="AG321" s="37" t="s">
        <v>225</v>
      </c>
      <c r="AH321" s="37"/>
      <c r="AI321" s="38" t="str">
        <f>IF(Tableau_Liste_KPI[[#This Row],[Charge commandée]]="","",IF(Tableau_Liste_KPI[[#This Row],[Total]]&gt;Tableau_Liste_KPI[[#This Row],[Charge commandée]],"KO",""))</f>
        <v/>
      </c>
      <c r="AJ321" s="38" t="str">
        <f>IF(Tableau_Liste_KPI[[#This Row],[KPI Charges]]="KO",Tableau_Liste_KPI[[#This Row],[Charge commandée]]-Tableau_Liste_KPI[[#This Row],[Total]],"")</f>
        <v/>
      </c>
    </row>
    <row r="322" spans="1:36" ht="12" x14ac:dyDescent="0.2">
      <c r="A322" s="12" t="s">
        <v>164</v>
      </c>
      <c r="B322" s="12" t="s">
        <v>262</v>
      </c>
      <c r="C322" s="12" t="s">
        <v>259</v>
      </c>
      <c r="D322" s="12" t="s">
        <v>33</v>
      </c>
      <c r="E322" s="12" t="s">
        <v>44</v>
      </c>
      <c r="F322" s="12" t="s">
        <v>225</v>
      </c>
      <c r="G322" s="12" t="s">
        <v>689</v>
      </c>
      <c r="H322" s="6">
        <v>42830.730555555558</v>
      </c>
      <c r="I322" s="6">
        <v>42979.572662037041</v>
      </c>
      <c r="J322" s="6">
        <v>42979.573310185187</v>
      </c>
      <c r="K322" s="69">
        <v>42979.573414351849</v>
      </c>
      <c r="L322" s="13" t="s">
        <v>225</v>
      </c>
      <c r="M322" s="13">
        <v>0</v>
      </c>
      <c r="N322" s="13">
        <v>-1</v>
      </c>
      <c r="O322" s="12">
        <v>0</v>
      </c>
      <c r="P322" s="13">
        <v>-1</v>
      </c>
      <c r="Q322" s="13">
        <v>-1</v>
      </c>
      <c r="R322" s="33">
        <v>10</v>
      </c>
      <c r="S322" s="33">
        <v>15</v>
      </c>
      <c r="T322" s="33" t="s">
        <v>225</v>
      </c>
      <c r="U322" s="33">
        <v>42979</v>
      </c>
      <c r="V322" s="33" t="s">
        <v>225</v>
      </c>
      <c r="W322" s="33" t="s">
        <v>690</v>
      </c>
      <c r="X322" s="33" t="s">
        <v>690</v>
      </c>
      <c r="Y322" s="33">
        <v>42993</v>
      </c>
      <c r="Z322" s="33">
        <v>43000</v>
      </c>
      <c r="AA322" s="13">
        <v>912</v>
      </c>
      <c r="AB322" s="13">
        <v>1</v>
      </c>
      <c r="AC322" s="13">
        <f>SUMIF(Tableau_Liste_UO[[Code UO]:[Code UO]],Tableau_Liste_KPI[[#This Row],[Code UO]], Tableau_Liste_UO[RAF])</f>
        <v>0</v>
      </c>
      <c r="AD322" s="13" t="e">
        <f>SUMIF(Tableau_Liste_UO[[Code UO]:[Code UO]],Tableau_Liste_KPI[[#This Row],[Code UO]], #REF!)</f>
        <v>#REF!</v>
      </c>
      <c r="AE322" s="34" t="s">
        <v>225</v>
      </c>
      <c r="AF322" s="34" t="s">
        <v>225</v>
      </c>
      <c r="AG322" s="34" t="s">
        <v>225</v>
      </c>
      <c r="AH322" s="34"/>
      <c r="AI322" s="35" t="e">
        <f>IF(Tableau_Liste_KPI[[#This Row],[Charge commandée]]="","",IF(Tableau_Liste_KPI[[#This Row],[Total]]&gt;Tableau_Liste_KPI[[#This Row],[Charge commandée]],"KO",""))</f>
        <v>#REF!</v>
      </c>
      <c r="AJ322" s="35" t="e">
        <f>IF(Tableau_Liste_KPI[[#This Row],[KPI Charges]]="KO",Tableau_Liste_KPI[[#This Row],[Charge commandée]]-Tableau_Liste_KPI[[#This Row],[Total]],"")</f>
        <v>#REF!</v>
      </c>
    </row>
    <row r="323" spans="1:36" ht="12" x14ac:dyDescent="0.2">
      <c r="A323" s="12" t="s">
        <v>165</v>
      </c>
      <c r="B323" s="12" t="s">
        <v>636</v>
      </c>
      <c r="C323" s="12" t="s">
        <v>259</v>
      </c>
      <c r="D323" s="12" t="s">
        <v>33</v>
      </c>
      <c r="E323" s="12" t="s">
        <v>538</v>
      </c>
      <c r="F323" s="12" t="s">
        <v>43</v>
      </c>
      <c r="G323" s="12" t="s">
        <v>727</v>
      </c>
      <c r="H323" s="6">
        <v>42830.728472222225</v>
      </c>
      <c r="I323" s="6">
        <v>42830.730462962965</v>
      </c>
      <c r="J323" s="6">
        <v>42886.64434027778</v>
      </c>
      <c r="K323" s="69">
        <v>42893.433217592596</v>
      </c>
      <c r="L323" s="13" t="s">
        <v>225</v>
      </c>
      <c r="M323" s="13">
        <v>13</v>
      </c>
      <c r="N323" s="13">
        <v>24</v>
      </c>
      <c r="O323" s="12">
        <v>0</v>
      </c>
      <c r="P323" s="13">
        <v>5</v>
      </c>
      <c r="Q323" s="13">
        <v>37</v>
      </c>
      <c r="R323" s="33" t="s">
        <v>225</v>
      </c>
      <c r="S323" s="33" t="s">
        <v>225</v>
      </c>
      <c r="T323" s="33" t="s">
        <v>225</v>
      </c>
      <c r="U323" s="33">
        <v>42857.581250000003</v>
      </c>
      <c r="V323" s="33" t="s">
        <v>225</v>
      </c>
      <c r="W323" s="33" t="s">
        <v>687</v>
      </c>
      <c r="X323" s="33" t="s">
        <v>688</v>
      </c>
      <c r="Y323" s="33" t="s">
        <v>225</v>
      </c>
      <c r="Z323" s="33" t="s">
        <v>225</v>
      </c>
      <c r="AA323" s="13" t="s">
        <v>225</v>
      </c>
      <c r="AB323" s="13" t="s">
        <v>225</v>
      </c>
      <c r="AC323" s="13">
        <f>SUMIF(Tableau_Liste_UO[[Code UO]:[Code UO]],Tableau_Liste_KPI[[#This Row],[Code UO]], Tableau_Liste_UO[RAF])</f>
        <v>0</v>
      </c>
      <c r="AD323" s="13" t="e">
        <f>SUMIF(Tableau_Liste_UO[[Code UO]:[Code UO]],Tableau_Liste_KPI[[#This Row],[Code UO]], #REF!)</f>
        <v>#REF!</v>
      </c>
      <c r="AE323" s="34" t="s">
        <v>225</v>
      </c>
      <c r="AF323" s="34" t="s">
        <v>225</v>
      </c>
      <c r="AG323" s="34" t="s">
        <v>225</v>
      </c>
      <c r="AH323" s="34"/>
      <c r="AI323" s="35" t="str">
        <f>IF(Tableau_Liste_KPI[[#This Row],[Charge commandée]]="","",IF(Tableau_Liste_KPI[[#This Row],[Total]]&gt;Tableau_Liste_KPI[[#This Row],[Charge commandée]],"KO",""))</f>
        <v/>
      </c>
      <c r="AJ323" s="35" t="str">
        <f>IF(Tableau_Liste_KPI[[#This Row],[KPI Charges]]="KO",Tableau_Liste_KPI[[#This Row],[Charge commandée]]-Tableau_Liste_KPI[[#This Row],[Total]],"")</f>
        <v/>
      </c>
    </row>
    <row r="324" spans="1:36" ht="12" x14ac:dyDescent="0.2">
      <c r="A324" s="63" t="s">
        <v>166</v>
      </c>
      <c r="B324" s="25" t="s">
        <v>637</v>
      </c>
      <c r="C324" s="12" t="s">
        <v>259</v>
      </c>
      <c r="D324" s="25" t="s">
        <v>33</v>
      </c>
      <c r="E324" s="25" t="s">
        <v>539</v>
      </c>
      <c r="F324" s="25" t="s">
        <v>43</v>
      </c>
      <c r="G324" s="25" t="s">
        <v>698</v>
      </c>
      <c r="H324" s="24">
        <v>42830.727777777778</v>
      </c>
      <c r="I324" s="24">
        <v>42885.473136574074</v>
      </c>
      <c r="J324" s="24">
        <v>42915.612164351849</v>
      </c>
      <c r="K324" s="71">
        <v>42997.686921296299</v>
      </c>
      <c r="L324" s="26" t="s">
        <v>225</v>
      </c>
      <c r="M324" s="26">
        <v>2</v>
      </c>
      <c r="N324" s="26">
        <v>21</v>
      </c>
      <c r="O324" s="25">
        <v>0</v>
      </c>
      <c r="P324" s="26">
        <v>55</v>
      </c>
      <c r="Q324" s="26">
        <v>23</v>
      </c>
      <c r="R324" s="39">
        <v>5</v>
      </c>
      <c r="S324" s="39">
        <v>8</v>
      </c>
      <c r="T324" s="39" t="s">
        <v>225</v>
      </c>
      <c r="U324" s="39">
        <v>42895.40625</v>
      </c>
      <c r="V324" s="39" t="s">
        <v>225</v>
      </c>
      <c r="W324" s="39" t="s">
        <v>711</v>
      </c>
      <c r="X324" s="39" t="s">
        <v>690</v>
      </c>
      <c r="Y324" s="39">
        <v>42892</v>
      </c>
      <c r="Z324" s="39">
        <v>42895</v>
      </c>
      <c r="AA324" s="26">
        <v>1522</v>
      </c>
      <c r="AB324" s="26">
        <v>2</v>
      </c>
      <c r="AC324" s="26">
        <f>SUMIF(Tableau_Liste_UO[[Code UO]:[Code UO]],Tableau_Liste_KPI[[#This Row],[Code UO]], Tableau_Liste_UO[RAF])</f>
        <v>0</v>
      </c>
      <c r="AD324" s="26" t="e">
        <f>SUMIF(Tableau_Liste_UO[[Code UO]:[Code UO]],Tableau_Liste_KPI[[#This Row],[Code UO]], #REF!)</f>
        <v>#REF!</v>
      </c>
      <c r="AE324" s="40" t="s">
        <v>721</v>
      </c>
      <c r="AF324" s="40" t="s">
        <v>721</v>
      </c>
      <c r="AG324" s="40" t="s">
        <v>225</v>
      </c>
      <c r="AH324" s="40"/>
      <c r="AI324" s="41" t="e">
        <f>IF(Tableau_Liste_KPI[[#This Row],[Charge commandée]]="","",IF(Tableau_Liste_KPI[[#This Row],[Total]]&gt;Tableau_Liste_KPI[[#This Row],[Charge commandée]],"KO",""))</f>
        <v>#REF!</v>
      </c>
      <c r="AJ324" s="41" t="e">
        <f>IF(Tableau_Liste_KPI[[#This Row],[KPI Charges]]="KO",Tableau_Liste_KPI[[#This Row],[Charge commandée]]-Tableau_Liste_KPI[[#This Row],[Total]],"")</f>
        <v>#REF!</v>
      </c>
    </row>
    <row r="325" spans="1:36" ht="12" x14ac:dyDescent="0.2">
      <c r="A325" s="63" t="s">
        <v>167</v>
      </c>
      <c r="B325" s="25" t="s">
        <v>261</v>
      </c>
      <c r="C325" s="12" t="s">
        <v>173</v>
      </c>
      <c r="D325" s="25" t="s">
        <v>33</v>
      </c>
      <c r="E325" s="25" t="s">
        <v>542</v>
      </c>
      <c r="F325" s="25" t="s">
        <v>43</v>
      </c>
      <c r="G325" s="25" t="s">
        <v>717</v>
      </c>
      <c r="H325" s="24">
        <v>42830.708333333336</v>
      </c>
      <c r="I325" s="24">
        <v>42830.727337962962</v>
      </c>
      <c r="J325" s="24" t="s">
        <v>225</v>
      </c>
      <c r="K325" s="69" t="s">
        <v>225</v>
      </c>
      <c r="L325" s="13" t="s">
        <v>225</v>
      </c>
      <c r="M325" s="13">
        <v>0</v>
      </c>
      <c r="N325" s="13">
        <v>0</v>
      </c>
      <c r="O325" s="12">
        <v>0</v>
      </c>
      <c r="P325" s="13" t="s">
        <v>225</v>
      </c>
      <c r="Q325" s="13" t="s">
        <v>225</v>
      </c>
      <c r="R325" s="33" t="s">
        <v>225</v>
      </c>
      <c r="S325" s="33" t="s">
        <v>225</v>
      </c>
      <c r="T325" s="33" t="s">
        <v>225</v>
      </c>
      <c r="U325" s="33" t="s">
        <v>225</v>
      </c>
      <c r="V325" s="33" t="s">
        <v>225</v>
      </c>
      <c r="W325" s="33" t="s">
        <v>687</v>
      </c>
      <c r="X325" s="33" t="s">
        <v>225</v>
      </c>
      <c r="Y325" s="33" t="s">
        <v>225</v>
      </c>
      <c r="Z325" s="33" t="s">
        <v>225</v>
      </c>
      <c r="AA325" s="13">
        <v>720</v>
      </c>
      <c r="AB325" s="13">
        <v>1</v>
      </c>
      <c r="AC325" s="13">
        <f>SUMIF(Tableau_Liste_UO[[Code UO]:[Code UO]],Tableau_Liste_KPI[[#This Row],[Code UO]], Tableau_Liste_UO[RAF])</f>
        <v>0</v>
      </c>
      <c r="AD325" s="13" t="e">
        <f>SUMIF(Tableau_Liste_UO[[Code UO]:[Code UO]],Tableau_Liste_KPI[[#This Row],[Code UO]], #REF!)</f>
        <v>#REF!</v>
      </c>
      <c r="AE325" s="34" t="s">
        <v>225</v>
      </c>
      <c r="AF325" s="34" t="s">
        <v>225</v>
      </c>
      <c r="AG325" s="34" t="s">
        <v>225</v>
      </c>
      <c r="AH325" s="34"/>
      <c r="AI325" s="35" t="e">
        <f>IF(Tableau_Liste_KPI[[#This Row],[Charge commandée]]="","",IF(Tableau_Liste_KPI[[#This Row],[Total]]&gt;Tableau_Liste_KPI[[#This Row],[Charge commandée]],"KO",""))</f>
        <v>#REF!</v>
      </c>
      <c r="AJ325" s="35" t="e">
        <f>IF(Tableau_Liste_KPI[[#This Row],[KPI Charges]]="KO",Tableau_Liste_KPI[[#This Row],[Charge commandée]]-Tableau_Liste_KPI[[#This Row],[Total]],"")</f>
        <v>#REF!</v>
      </c>
    </row>
    <row r="326" spans="1:36" ht="12" x14ac:dyDescent="0.2">
      <c r="A326" s="63" t="s">
        <v>168</v>
      </c>
      <c r="B326" s="25" t="s">
        <v>260</v>
      </c>
      <c r="C326" s="12" t="s">
        <v>259</v>
      </c>
      <c r="D326" s="25" t="s">
        <v>33</v>
      </c>
      <c r="E326" s="25" t="s">
        <v>44</v>
      </c>
      <c r="F326" s="25" t="s">
        <v>34</v>
      </c>
      <c r="G326" s="25" t="s">
        <v>689</v>
      </c>
      <c r="H326" s="24">
        <v>42825.718055555553</v>
      </c>
      <c r="I326" s="24">
        <v>42955.469907407409</v>
      </c>
      <c r="J326" s="24">
        <v>42957.632337962961</v>
      </c>
      <c r="K326" s="71">
        <v>42964.582754629628</v>
      </c>
      <c r="L326" s="26" t="s">
        <v>225</v>
      </c>
      <c r="M326" s="26">
        <v>0</v>
      </c>
      <c r="N326" s="26">
        <v>2</v>
      </c>
      <c r="O326" s="25">
        <v>0</v>
      </c>
      <c r="P326" s="26">
        <v>4</v>
      </c>
      <c r="Q326" s="26">
        <v>2</v>
      </c>
      <c r="R326" s="39">
        <v>10</v>
      </c>
      <c r="S326" s="39">
        <v>15</v>
      </c>
      <c r="T326" s="39" t="s">
        <v>225</v>
      </c>
      <c r="U326" s="39">
        <v>42958</v>
      </c>
      <c r="V326" s="39" t="s">
        <v>225</v>
      </c>
      <c r="W326" s="39" t="s">
        <v>697</v>
      </c>
      <c r="X326" s="39" t="s">
        <v>697</v>
      </c>
      <c r="Y326" s="39">
        <v>42970</v>
      </c>
      <c r="Z326" s="39">
        <v>42977</v>
      </c>
      <c r="AA326" s="26">
        <v>912</v>
      </c>
      <c r="AB326" s="26">
        <v>1</v>
      </c>
      <c r="AC326" s="26">
        <f>SUMIF(Tableau_Liste_UO[[Code UO]:[Code UO]],Tableau_Liste_KPI[[#This Row],[Code UO]], Tableau_Liste_UO[RAF])</f>
        <v>0</v>
      </c>
      <c r="AD326" s="26" t="e">
        <f>SUMIF(Tableau_Liste_UO[[Code UO]:[Code UO]],Tableau_Liste_KPI[[#This Row],[Code UO]], #REF!)</f>
        <v>#REF!</v>
      </c>
      <c r="AE326" s="40" t="s">
        <v>225</v>
      </c>
      <c r="AF326" s="40" t="s">
        <v>225</v>
      </c>
      <c r="AG326" s="40" t="s">
        <v>225</v>
      </c>
      <c r="AH326" s="40"/>
      <c r="AI326" s="41" t="e">
        <f>IF(Tableau_Liste_KPI[[#This Row],[Charge commandée]]="","",IF(Tableau_Liste_KPI[[#This Row],[Total]]&gt;Tableau_Liste_KPI[[#This Row],[Charge commandée]],"KO",""))</f>
        <v>#REF!</v>
      </c>
      <c r="AJ326" s="41" t="e">
        <f>IF(Tableau_Liste_KPI[[#This Row],[KPI Charges]]="KO",Tableau_Liste_KPI[[#This Row],[Charge commandée]]-Tableau_Liste_KPI[[#This Row],[Total]],"")</f>
        <v>#REF!</v>
      </c>
    </row>
    <row r="327" spans="1:36" ht="12" x14ac:dyDescent="0.2">
      <c r="A327" s="63" t="s">
        <v>169</v>
      </c>
      <c r="B327" s="25" t="s">
        <v>638</v>
      </c>
      <c r="C327" s="12" t="s">
        <v>259</v>
      </c>
      <c r="D327" s="25" t="s">
        <v>33</v>
      </c>
      <c r="E327" s="25" t="s">
        <v>539</v>
      </c>
      <c r="F327" s="25" t="s">
        <v>34</v>
      </c>
      <c r="G327" s="25" t="s">
        <v>726</v>
      </c>
      <c r="H327" s="24">
        <v>42825.717361111114</v>
      </c>
      <c r="I327" s="24">
        <v>42922.640451388892</v>
      </c>
      <c r="J327" s="24">
        <v>42934.702407407407</v>
      </c>
      <c r="K327" s="71">
        <v>42934.702766203707</v>
      </c>
      <c r="L327" s="26" t="s">
        <v>225</v>
      </c>
      <c r="M327" s="26">
        <v>0</v>
      </c>
      <c r="N327" s="26">
        <v>6</v>
      </c>
      <c r="O327" s="25">
        <v>0</v>
      </c>
      <c r="P327" s="26">
        <v>-1</v>
      </c>
      <c r="Q327" s="26">
        <v>6</v>
      </c>
      <c r="R327" s="39" t="s">
        <v>225</v>
      </c>
      <c r="S327" s="39" t="s">
        <v>225</v>
      </c>
      <c r="T327" s="39" t="s">
        <v>225</v>
      </c>
      <c r="U327" s="39">
        <v>42926.679861111108</v>
      </c>
      <c r="V327" s="39" t="s">
        <v>225</v>
      </c>
      <c r="W327" s="39" t="s">
        <v>692</v>
      </c>
      <c r="X327" s="39" t="s">
        <v>692</v>
      </c>
      <c r="Y327" s="39" t="s">
        <v>225</v>
      </c>
      <c r="Z327" s="39" t="s">
        <v>225</v>
      </c>
      <c r="AA327" s="26" t="s">
        <v>225</v>
      </c>
      <c r="AB327" s="26" t="s">
        <v>225</v>
      </c>
      <c r="AC327" s="26">
        <f>SUMIF(Tableau_Liste_UO[[Code UO]:[Code UO]],Tableau_Liste_KPI[[#This Row],[Code UO]], Tableau_Liste_UO[RAF])</f>
        <v>0</v>
      </c>
      <c r="AD327" s="26" t="e">
        <f>SUMIF(Tableau_Liste_UO[[Code UO]:[Code UO]],Tableau_Liste_KPI[[#This Row],[Code UO]], #REF!)</f>
        <v>#REF!</v>
      </c>
      <c r="AE327" s="40" t="s">
        <v>225</v>
      </c>
      <c r="AF327" s="40" t="s">
        <v>225</v>
      </c>
      <c r="AG327" s="40" t="s">
        <v>225</v>
      </c>
      <c r="AH327" s="40"/>
      <c r="AI327" s="41" t="str">
        <f>IF(Tableau_Liste_KPI[[#This Row],[Charge commandée]]="","",IF(Tableau_Liste_KPI[[#This Row],[Total]]&gt;Tableau_Liste_KPI[[#This Row],[Charge commandée]],"KO",""))</f>
        <v/>
      </c>
      <c r="AJ327" s="41" t="str">
        <f>IF(Tableau_Liste_KPI[[#This Row],[KPI Charges]]="KO",Tableau_Liste_KPI[[#This Row],[Charge commandée]]-Tableau_Liste_KPI[[#This Row],[Total]],"")</f>
        <v/>
      </c>
    </row>
    <row r="328" spans="1:36" ht="12" x14ac:dyDescent="0.2">
      <c r="A328" s="63" t="s">
        <v>170</v>
      </c>
      <c r="B328" s="25" t="s">
        <v>639</v>
      </c>
      <c r="C328" s="12" t="s">
        <v>259</v>
      </c>
      <c r="D328" s="25" t="s">
        <v>33</v>
      </c>
      <c r="E328" s="25" t="s">
        <v>538</v>
      </c>
      <c r="F328" s="25" t="s">
        <v>34</v>
      </c>
      <c r="G328" s="25" t="s">
        <v>686</v>
      </c>
      <c r="H328" s="24">
        <v>42825.71597222222</v>
      </c>
      <c r="I328" s="24">
        <v>42828.421979166669</v>
      </c>
      <c r="J328" s="24">
        <v>42874.689791666664</v>
      </c>
      <c r="K328" s="72">
        <v>42888.565069444441</v>
      </c>
      <c r="L328" s="47" t="s">
        <v>225</v>
      </c>
      <c r="M328" s="47">
        <v>15</v>
      </c>
      <c r="N328" s="47">
        <v>17</v>
      </c>
      <c r="O328" s="45">
        <v>0</v>
      </c>
      <c r="P328" s="47">
        <v>9</v>
      </c>
      <c r="Q328" s="47">
        <v>32</v>
      </c>
      <c r="R328" s="48">
        <v>16</v>
      </c>
      <c r="S328" s="48">
        <v>24</v>
      </c>
      <c r="T328" s="48" t="s">
        <v>225</v>
      </c>
      <c r="U328" s="48">
        <v>42853.579861111109</v>
      </c>
      <c r="V328" s="48" t="s">
        <v>225</v>
      </c>
      <c r="W328" s="48" t="s">
        <v>687</v>
      </c>
      <c r="X328" s="48" t="s">
        <v>688</v>
      </c>
      <c r="Y328" s="48">
        <v>42851</v>
      </c>
      <c r="Z328" s="48">
        <v>42865</v>
      </c>
      <c r="AA328" s="47">
        <v>6088</v>
      </c>
      <c r="AB328" s="47">
        <v>8.1</v>
      </c>
      <c r="AC328" s="47">
        <f>SUMIF(Tableau_Liste_UO[[Code UO]:[Code UO]],Tableau_Liste_KPI[[#This Row],[Code UO]], Tableau_Liste_UO[RAF])</f>
        <v>0</v>
      </c>
      <c r="AD328" s="47" t="e">
        <f>SUMIF(Tableau_Liste_UO[[Code UO]:[Code UO]],Tableau_Liste_KPI[[#This Row],[Code UO]], #REF!)</f>
        <v>#REF!</v>
      </c>
      <c r="AE328" s="49" t="s">
        <v>721</v>
      </c>
      <c r="AF328" s="49" t="s">
        <v>721</v>
      </c>
      <c r="AG328" s="49" t="s">
        <v>225</v>
      </c>
      <c r="AH328" s="49"/>
      <c r="AI328" s="50" t="e">
        <f>IF(Tableau_Liste_KPI[[#This Row],[Charge commandée]]="","",IF(Tableau_Liste_KPI[[#This Row],[Total]]&gt;Tableau_Liste_KPI[[#This Row],[Charge commandée]],"KO",""))</f>
        <v>#REF!</v>
      </c>
      <c r="AJ328" s="50" t="e">
        <f>IF(Tableau_Liste_KPI[[#This Row],[KPI Charges]]="KO",Tableau_Liste_KPI[[#This Row],[Charge commandée]]-Tableau_Liste_KPI[[#This Row],[Total]],"")</f>
        <v>#REF!</v>
      </c>
    </row>
    <row r="329" spans="1:36" ht="12" x14ac:dyDescent="0.2">
      <c r="A329" s="51">
        <f>SUBTOTAL(103,Tableau_Liste_KPI[Code UO])</f>
        <v>327</v>
      </c>
      <c r="B329" s="51"/>
      <c r="C329" s="51">
        <f>SUBTOTAL(103,Tableau_Liste_KPI[Statut])</f>
        <v>327</v>
      </c>
      <c r="D329" s="51"/>
      <c r="E329" s="51"/>
      <c r="F329" s="51"/>
      <c r="G329" s="51"/>
      <c r="H329" s="51">
        <f>SUBTOTAL(103,Tableau_Liste_KPI[Date ouverture])</f>
        <v>327</v>
      </c>
      <c r="I329" s="51">
        <f>SUBTOTAL(103,Tableau_Liste_KPI[Date Initialisé])</f>
        <v>327</v>
      </c>
      <c r="J329" s="51">
        <f>SUBTOTAL(103,Tableau_Liste_KPI[Date A valider])</f>
        <v>327</v>
      </c>
      <c r="K329" s="75"/>
      <c r="L329" s="51"/>
      <c r="M329" s="51"/>
      <c r="N329" s="51">
        <f>SUBTOTAL(101,Tableau_Liste_KPI[Nb de jours En cours])</f>
        <v>16.691131498470948</v>
      </c>
      <c r="O329" s="51">
        <f>SUBTOTAL(102,Tableau_Liste_KPI[Nb de jours Suspend])</f>
        <v>327</v>
      </c>
      <c r="P329" s="51">
        <f>SUBTOTAL(102,Tableau_Liste_KPI[Nb de jour A valider])</f>
        <v>131</v>
      </c>
      <c r="Q329" s="51">
        <f>SUBTOTAL(102,Tableau_Liste_KPI[DEFF])</f>
        <v>261</v>
      </c>
      <c r="R329" s="60"/>
      <c r="S329" s="60"/>
      <c r="T329" s="60"/>
      <c r="U329" s="60"/>
      <c r="V329" s="60"/>
      <c r="W329" s="60"/>
      <c r="X329" s="60"/>
      <c r="Y329" s="60"/>
      <c r="Z329" s="60">
        <f>SUBTOTAL(103,Tableau_Liste_KPI[Date fin max])</f>
        <v>327</v>
      </c>
      <c r="AA329" s="51">
        <f>SUBTOTAL(109,Tableau_Liste_KPI[Montant commande])</f>
        <v>1386624</v>
      </c>
      <c r="AB329" s="51">
        <f>SUBTOTAL(109,Tableau_Liste_KPI[Charge commandée])</f>
        <v>1804.2999999999993</v>
      </c>
      <c r="AC329" s="51">
        <f>SUBTOTAL(109,Tableau_Liste_KPI[RAF])</f>
        <v>0.5</v>
      </c>
      <c r="AD329" s="51" t="e">
        <f>SUBTOTAL(109,Tableau_Liste_KPI[Total])</f>
        <v>#REF!</v>
      </c>
      <c r="AE329" s="61">
        <f>SUBTOTAL(109,Tableau_Liste_KPI[NB jours hors délais moy])</f>
        <v>0</v>
      </c>
      <c r="AF329" s="51">
        <f>SUBTOTAL(103,Tableau_Liste_KPI[NB jours hors délais max])</f>
        <v>327</v>
      </c>
      <c r="AG329" s="51">
        <f>SUBTOTAL(103,Tableau_Liste_KPI[Depassement date moy])</f>
        <v>327</v>
      </c>
      <c r="AH329" s="61"/>
      <c r="AI329" s="51"/>
      <c r="AJ329" s="51"/>
    </row>
    <row r="331" spans="1:36" x14ac:dyDescent="0.2">
      <c r="C331" s="62"/>
      <c r="D331" s="56"/>
      <c r="E331" s="56"/>
      <c r="F331" s="56"/>
      <c r="G331" s="56"/>
    </row>
    <row r="332" spans="1:36" x14ac:dyDescent="0.2">
      <c r="C332" s="62"/>
      <c r="D332" s="56"/>
      <c r="E332" s="56"/>
      <c r="F332" s="56"/>
      <c r="G332" s="56"/>
    </row>
    <row r="333" spans="1:36" x14ac:dyDescent="0.2">
      <c r="C333" s="62"/>
      <c r="D333" s="56"/>
      <c r="E333" s="56"/>
      <c r="F333" s="56"/>
      <c r="G333" s="56"/>
    </row>
    <row r="334" spans="1:36" x14ac:dyDescent="0.2">
      <c r="C334" s="62"/>
      <c r="D334" s="56"/>
      <c r="E334" s="56"/>
      <c r="F334" s="56"/>
      <c r="G334" s="56"/>
    </row>
    <row r="335" spans="1:36" x14ac:dyDescent="0.2">
      <c r="C335" s="62"/>
      <c r="D335" s="56"/>
      <c r="E335" s="56"/>
      <c r="F335" s="56"/>
      <c r="G335" s="56"/>
    </row>
    <row r="336" spans="1:36" x14ac:dyDescent="0.2">
      <c r="C336" s="62"/>
      <c r="D336" s="56"/>
      <c r="E336" s="56"/>
      <c r="F336" s="56"/>
      <c r="G336" s="56"/>
    </row>
    <row r="337" spans="3:7" x14ac:dyDescent="0.2">
      <c r="C337" s="62"/>
      <c r="D337" s="56"/>
      <c r="E337" s="56"/>
      <c r="F337" s="56"/>
      <c r="G337" s="56"/>
    </row>
    <row r="338" spans="3:7" x14ac:dyDescent="0.2">
      <c r="C338" s="62"/>
      <c r="D338" s="56"/>
      <c r="E338" s="56"/>
      <c r="F338" s="56"/>
      <c r="G338" s="56"/>
    </row>
    <row r="339" spans="3:7" x14ac:dyDescent="0.2">
      <c r="C339" s="62"/>
      <c r="D339" s="56"/>
      <c r="E339" s="56"/>
      <c r="F339" s="56"/>
      <c r="G339" s="56"/>
    </row>
    <row r="340" spans="3:7" x14ac:dyDescent="0.2">
      <c r="C340" s="62"/>
      <c r="D340" s="56"/>
      <c r="E340" s="56"/>
      <c r="F340" s="56"/>
      <c r="G340" s="56"/>
    </row>
    <row r="341" spans="3:7" x14ac:dyDescent="0.2">
      <c r="C341" s="62"/>
      <c r="D341" s="56"/>
      <c r="E341" s="56"/>
      <c r="F341" s="56"/>
      <c r="G341" s="56"/>
    </row>
    <row r="342" spans="3:7" x14ac:dyDescent="0.2">
      <c r="C342" s="62"/>
      <c r="D342" s="56"/>
      <c r="E342" s="56"/>
      <c r="F342" s="56"/>
      <c r="G342" s="56"/>
    </row>
    <row r="343" spans="3:7" x14ac:dyDescent="0.2">
      <c r="C343" s="62"/>
      <c r="D343" s="56"/>
      <c r="E343" s="56"/>
      <c r="F343" s="56"/>
      <c r="G343" s="56"/>
    </row>
    <row r="344" spans="3:7" x14ac:dyDescent="0.2">
      <c r="C344" s="62"/>
      <c r="D344" s="56"/>
      <c r="E344" s="56"/>
      <c r="F344" s="56"/>
      <c r="G344" s="56"/>
    </row>
    <row r="345" spans="3:7" x14ac:dyDescent="0.2">
      <c r="C345" s="62"/>
      <c r="D345" s="56"/>
      <c r="E345" s="56"/>
      <c r="F345" s="56"/>
      <c r="G345" s="56"/>
    </row>
    <row r="346" spans="3:7" x14ac:dyDescent="0.2">
      <c r="C346" s="62"/>
      <c r="D346" s="56"/>
      <c r="E346" s="56"/>
      <c r="F346" s="56"/>
      <c r="G346" s="56"/>
    </row>
    <row r="347" spans="3:7" x14ac:dyDescent="0.2">
      <c r="C347" s="62"/>
      <c r="D347" s="56"/>
      <c r="E347" s="56"/>
      <c r="F347" s="56"/>
      <c r="G347" s="56"/>
    </row>
    <row r="348" spans="3:7" x14ac:dyDescent="0.2">
      <c r="C348" s="62"/>
      <c r="D348" s="56"/>
      <c r="E348" s="56"/>
      <c r="F348" s="56"/>
      <c r="G348" s="56"/>
    </row>
    <row r="349" spans="3:7" x14ac:dyDescent="0.2">
      <c r="C349" s="62"/>
      <c r="D349" s="56"/>
      <c r="E349" s="56"/>
      <c r="F349" s="56"/>
      <c r="G349" s="56"/>
    </row>
    <row r="350" spans="3:7" x14ac:dyDescent="0.2">
      <c r="C350" s="62"/>
      <c r="D350" s="56"/>
      <c r="E350" s="56"/>
      <c r="F350" s="56"/>
      <c r="G350" s="56"/>
    </row>
    <row r="351" spans="3:7" x14ac:dyDescent="0.2">
      <c r="C351" s="62"/>
      <c r="D351" s="56"/>
      <c r="E351" s="56"/>
      <c r="F351" s="56"/>
      <c r="G351" s="56"/>
    </row>
    <row r="352" spans="3:7" x14ac:dyDescent="0.2">
      <c r="C352" s="62"/>
      <c r="D352" s="56"/>
      <c r="E352" s="56"/>
      <c r="F352" s="56"/>
      <c r="G352" s="56"/>
    </row>
    <row r="353" spans="3:7" x14ac:dyDescent="0.2">
      <c r="C353" s="62"/>
      <c r="D353" s="56"/>
      <c r="E353" s="56"/>
      <c r="F353" s="56"/>
      <c r="G353" s="56"/>
    </row>
    <row r="354" spans="3:7" x14ac:dyDescent="0.2">
      <c r="C354" s="62"/>
      <c r="D354" s="56"/>
      <c r="E354" s="56"/>
      <c r="F354" s="56"/>
      <c r="G354" s="56"/>
    </row>
    <row r="355" spans="3:7" x14ac:dyDescent="0.2">
      <c r="C355" s="62"/>
      <c r="D355" s="56"/>
      <c r="E355" s="56"/>
      <c r="F355" s="56"/>
      <c r="G355" s="56"/>
    </row>
    <row r="356" spans="3:7" x14ac:dyDescent="0.2">
      <c r="C356" s="62"/>
      <c r="D356" s="56"/>
      <c r="E356" s="56"/>
      <c r="F356" s="56"/>
      <c r="G356" s="56"/>
    </row>
    <row r="357" spans="3:7" x14ac:dyDescent="0.2">
      <c r="C357" s="62"/>
      <c r="D357" s="56"/>
      <c r="E357" s="56"/>
      <c r="F357" s="56"/>
      <c r="G357" s="56"/>
    </row>
    <row r="358" spans="3:7" x14ac:dyDescent="0.2">
      <c r="C358" s="62"/>
      <c r="D358" s="56"/>
      <c r="E358" s="56"/>
      <c r="F358" s="56"/>
      <c r="G358" s="56"/>
    </row>
    <row r="359" spans="3:7" x14ac:dyDescent="0.2">
      <c r="C359" s="62"/>
      <c r="D359" s="56"/>
      <c r="E359" s="56"/>
      <c r="F359" s="56"/>
      <c r="G359" s="56"/>
    </row>
    <row r="360" spans="3:7" x14ac:dyDescent="0.2">
      <c r="C360" s="62"/>
      <c r="D360" s="56"/>
      <c r="E360" s="56"/>
      <c r="F360" s="56"/>
      <c r="G360" s="56"/>
    </row>
    <row r="361" spans="3:7" x14ac:dyDescent="0.2">
      <c r="C361" s="62"/>
      <c r="D361" s="56"/>
      <c r="E361" s="56"/>
      <c r="F361" s="56"/>
      <c r="G361" s="56"/>
    </row>
    <row r="362" spans="3:7" x14ac:dyDescent="0.2">
      <c r="C362" s="62"/>
      <c r="D362" s="56"/>
      <c r="E362" s="56"/>
      <c r="F362" s="56"/>
      <c r="G362" s="56"/>
    </row>
    <row r="363" spans="3:7" x14ac:dyDescent="0.2">
      <c r="C363" s="62"/>
      <c r="D363" s="56"/>
      <c r="E363" s="56"/>
      <c r="F363" s="56"/>
      <c r="G363" s="56"/>
    </row>
    <row r="364" spans="3:7" x14ac:dyDescent="0.2">
      <c r="C364" s="62"/>
      <c r="D364" s="56"/>
      <c r="E364" s="56"/>
      <c r="F364" s="56"/>
      <c r="G364" s="56"/>
    </row>
    <row r="365" spans="3:7" x14ac:dyDescent="0.2">
      <c r="C365" s="62"/>
      <c r="D365" s="56"/>
      <c r="E365" s="56"/>
      <c r="F365" s="56"/>
      <c r="G365" s="56"/>
    </row>
    <row r="366" spans="3:7" x14ac:dyDescent="0.2">
      <c r="C366" s="62"/>
      <c r="D366" s="56"/>
      <c r="E366" s="56"/>
      <c r="F366" s="56"/>
      <c r="G366" s="56"/>
    </row>
    <row r="367" spans="3:7" x14ac:dyDescent="0.2">
      <c r="C367" s="62"/>
      <c r="D367" s="56"/>
      <c r="E367" s="56"/>
      <c r="F367" s="56"/>
      <c r="G367" s="56"/>
    </row>
    <row r="368" spans="3:7" x14ac:dyDescent="0.2">
      <c r="C368" s="62"/>
      <c r="D368" s="56"/>
      <c r="E368" s="56"/>
      <c r="F368" s="56"/>
      <c r="G368" s="56"/>
    </row>
    <row r="369" spans="3:7" x14ac:dyDescent="0.2">
      <c r="C369" s="62"/>
      <c r="D369" s="56"/>
      <c r="E369" s="56"/>
      <c r="F369" s="56"/>
      <c r="G369" s="56"/>
    </row>
    <row r="370" spans="3:7" x14ac:dyDescent="0.2">
      <c r="C370" s="62"/>
      <c r="D370" s="56"/>
      <c r="E370" s="56"/>
      <c r="F370" s="56"/>
      <c r="G370" s="56"/>
    </row>
    <row r="371" spans="3:7" x14ac:dyDescent="0.2">
      <c r="C371" s="62"/>
      <c r="D371" s="56"/>
      <c r="E371" s="56"/>
      <c r="F371" s="56"/>
      <c r="G371" s="56"/>
    </row>
    <row r="372" spans="3:7" x14ac:dyDescent="0.2">
      <c r="C372" s="62"/>
      <c r="D372" s="56"/>
      <c r="E372" s="56"/>
      <c r="F372" s="56"/>
      <c r="G372" s="56"/>
    </row>
    <row r="373" spans="3:7" x14ac:dyDescent="0.2">
      <c r="C373" s="62"/>
      <c r="D373" s="56"/>
      <c r="E373" s="56"/>
      <c r="F373" s="56"/>
      <c r="G373" s="56"/>
    </row>
    <row r="374" spans="3:7" x14ac:dyDescent="0.2">
      <c r="C374" s="62"/>
      <c r="D374" s="56"/>
      <c r="E374" s="56"/>
      <c r="F374" s="56"/>
      <c r="G374" s="56"/>
    </row>
    <row r="375" spans="3:7" x14ac:dyDescent="0.2">
      <c r="C375" s="62"/>
      <c r="D375" s="56"/>
      <c r="E375" s="56"/>
      <c r="F375" s="56"/>
      <c r="G375" s="56"/>
    </row>
    <row r="376" spans="3:7" x14ac:dyDescent="0.2">
      <c r="C376" s="62"/>
      <c r="D376" s="56"/>
      <c r="E376" s="56"/>
      <c r="F376" s="56"/>
      <c r="G376" s="56"/>
    </row>
    <row r="377" spans="3:7" x14ac:dyDescent="0.2">
      <c r="C377" s="62"/>
      <c r="D377" s="56"/>
      <c r="E377" s="56"/>
      <c r="F377" s="56"/>
      <c r="G377" s="56"/>
    </row>
    <row r="378" spans="3:7" x14ac:dyDescent="0.2">
      <c r="C378" s="62"/>
      <c r="D378" s="56"/>
      <c r="E378" s="56"/>
      <c r="F378" s="56"/>
      <c r="G378" s="56"/>
    </row>
    <row r="379" spans="3:7" x14ac:dyDescent="0.2">
      <c r="C379" s="62"/>
      <c r="D379" s="56"/>
      <c r="E379" s="56"/>
      <c r="F379" s="56"/>
      <c r="G379" s="56"/>
    </row>
    <row r="380" spans="3:7" x14ac:dyDescent="0.2">
      <c r="C380" s="62"/>
      <c r="D380" s="56"/>
      <c r="E380" s="56"/>
      <c r="F380" s="56"/>
      <c r="G380" s="56"/>
    </row>
    <row r="381" spans="3:7" x14ac:dyDescent="0.2">
      <c r="C381" s="62"/>
      <c r="D381" s="56"/>
      <c r="E381" s="56"/>
      <c r="F381" s="56"/>
      <c r="G381" s="56"/>
    </row>
    <row r="382" spans="3:7" x14ac:dyDescent="0.2">
      <c r="C382" s="62"/>
      <c r="D382" s="56"/>
      <c r="E382" s="56"/>
      <c r="F382" s="56"/>
      <c r="G382" s="56"/>
    </row>
    <row r="383" spans="3:7" x14ac:dyDescent="0.2">
      <c r="C383" s="62"/>
      <c r="D383" s="56"/>
      <c r="E383" s="56"/>
      <c r="F383" s="56"/>
      <c r="G383" s="56"/>
    </row>
    <row r="384" spans="3:7" x14ac:dyDescent="0.2">
      <c r="C384" s="62"/>
      <c r="D384" s="56"/>
      <c r="E384" s="56"/>
      <c r="F384" s="56"/>
      <c r="G384" s="56"/>
    </row>
    <row r="385" spans="3:7" x14ac:dyDescent="0.2">
      <c r="C385" s="62"/>
      <c r="D385" s="56"/>
      <c r="E385" s="56"/>
      <c r="F385" s="56"/>
      <c r="G385" s="56"/>
    </row>
    <row r="386" spans="3:7" x14ac:dyDescent="0.2">
      <c r="C386" s="62"/>
      <c r="D386" s="56"/>
      <c r="E386" s="56"/>
      <c r="F386" s="56"/>
      <c r="G386" s="56"/>
    </row>
    <row r="387" spans="3:7" x14ac:dyDescent="0.2">
      <c r="C387" s="62"/>
      <c r="D387" s="56"/>
      <c r="E387" s="56"/>
      <c r="F387" s="56"/>
      <c r="G387" s="56"/>
    </row>
    <row r="388" spans="3:7" x14ac:dyDescent="0.2">
      <c r="C388" s="62"/>
      <c r="D388" s="56"/>
      <c r="E388" s="56"/>
      <c r="F388" s="56"/>
      <c r="G388" s="56"/>
    </row>
    <row r="389" spans="3:7" x14ac:dyDescent="0.2">
      <c r="C389" s="62"/>
      <c r="D389" s="56"/>
      <c r="E389" s="56"/>
      <c r="F389" s="56"/>
      <c r="G389" s="56"/>
    </row>
    <row r="390" spans="3:7" x14ac:dyDescent="0.2">
      <c r="C390" s="62"/>
      <c r="D390" s="56"/>
      <c r="E390" s="56"/>
      <c r="F390" s="56"/>
      <c r="G390" s="56"/>
    </row>
    <row r="391" spans="3:7" x14ac:dyDescent="0.2">
      <c r="C391" s="62"/>
      <c r="D391" s="56"/>
      <c r="E391" s="56"/>
      <c r="F391" s="56"/>
      <c r="G391" s="56"/>
    </row>
    <row r="392" spans="3:7" x14ac:dyDescent="0.2">
      <c r="C392" s="62"/>
      <c r="D392" s="56"/>
      <c r="E392" s="56"/>
      <c r="F392" s="56"/>
      <c r="G392" s="56"/>
    </row>
    <row r="393" spans="3:7" x14ac:dyDescent="0.2">
      <c r="C393" s="62"/>
      <c r="D393" s="56"/>
      <c r="E393" s="56"/>
      <c r="F393" s="56"/>
      <c r="G393" s="56"/>
    </row>
    <row r="394" spans="3:7" x14ac:dyDescent="0.2">
      <c r="C394" s="62"/>
      <c r="D394" s="56"/>
      <c r="E394" s="56"/>
      <c r="F394" s="56"/>
      <c r="G394" s="56"/>
    </row>
    <row r="395" spans="3:7" x14ac:dyDescent="0.2">
      <c r="C395" s="62"/>
      <c r="D395" s="56"/>
      <c r="E395" s="56"/>
      <c r="F395" s="56"/>
      <c r="G395" s="56"/>
    </row>
    <row r="396" spans="3:7" x14ac:dyDescent="0.2">
      <c r="C396" s="62"/>
      <c r="D396" s="56"/>
      <c r="E396" s="56"/>
      <c r="F396" s="56"/>
      <c r="G396" s="56"/>
    </row>
    <row r="397" spans="3:7" x14ac:dyDescent="0.2">
      <c r="C397" s="62"/>
      <c r="D397" s="56"/>
      <c r="E397" s="56"/>
      <c r="F397" s="56"/>
      <c r="G397" s="56"/>
    </row>
    <row r="398" spans="3:7" x14ac:dyDescent="0.2">
      <c r="C398" s="62"/>
      <c r="D398" s="56"/>
      <c r="E398" s="56"/>
      <c r="F398" s="56"/>
      <c r="G398" s="56"/>
    </row>
    <row r="399" spans="3:7" x14ac:dyDescent="0.2">
      <c r="C399" s="62"/>
      <c r="D399" s="56"/>
      <c r="E399" s="56"/>
      <c r="F399" s="56"/>
      <c r="G399" s="56"/>
    </row>
    <row r="400" spans="3:7" x14ac:dyDescent="0.2">
      <c r="C400" s="62"/>
      <c r="D400" s="56"/>
      <c r="E400" s="56"/>
      <c r="F400" s="56"/>
      <c r="G400" s="56"/>
    </row>
    <row r="401" spans="3:7" x14ac:dyDescent="0.2">
      <c r="C401" s="62"/>
      <c r="D401" s="56"/>
      <c r="E401" s="56"/>
      <c r="F401" s="56"/>
      <c r="G401" s="56"/>
    </row>
    <row r="402" spans="3:7" x14ac:dyDescent="0.2">
      <c r="C402" s="62"/>
      <c r="D402" s="56"/>
      <c r="E402" s="56"/>
      <c r="F402" s="56"/>
      <c r="G402" s="56"/>
    </row>
    <row r="403" spans="3:7" x14ac:dyDescent="0.2">
      <c r="C403" s="62"/>
      <c r="D403" s="56"/>
      <c r="E403" s="56"/>
      <c r="F403" s="56"/>
      <c r="G403" s="56"/>
    </row>
    <row r="404" spans="3:7" x14ac:dyDescent="0.2">
      <c r="C404" s="62"/>
      <c r="D404" s="56"/>
      <c r="E404" s="56"/>
      <c r="F404" s="56"/>
      <c r="G404" s="56"/>
    </row>
    <row r="405" spans="3:7" x14ac:dyDescent="0.2">
      <c r="C405" s="62"/>
      <c r="D405" s="56"/>
      <c r="E405" s="56"/>
      <c r="F405" s="56"/>
      <c r="G405" s="56"/>
    </row>
    <row r="406" spans="3:7" x14ac:dyDescent="0.2">
      <c r="C406" s="62"/>
      <c r="D406" s="56"/>
      <c r="E406" s="56"/>
      <c r="F406" s="56"/>
      <c r="G406" s="56"/>
    </row>
    <row r="407" spans="3:7" x14ac:dyDescent="0.2">
      <c r="C407" s="62"/>
      <c r="D407" s="56"/>
      <c r="E407" s="56"/>
      <c r="F407" s="56"/>
      <c r="G407" s="56"/>
    </row>
    <row r="408" spans="3:7" x14ac:dyDescent="0.2">
      <c r="C408" s="62"/>
      <c r="D408" s="56"/>
      <c r="E408" s="56"/>
      <c r="F408" s="56"/>
      <c r="G408" s="56"/>
    </row>
    <row r="409" spans="3:7" x14ac:dyDescent="0.2">
      <c r="C409" s="62"/>
      <c r="D409" s="56"/>
      <c r="E409" s="56"/>
      <c r="F409" s="56"/>
      <c r="G409" s="56"/>
    </row>
    <row r="410" spans="3:7" x14ac:dyDescent="0.2">
      <c r="C410" s="62"/>
      <c r="D410" s="56"/>
      <c r="E410" s="56"/>
      <c r="F410" s="56"/>
      <c r="G410" s="56"/>
    </row>
    <row r="411" spans="3:7" x14ac:dyDescent="0.2">
      <c r="C411" s="62"/>
      <c r="D411" s="56"/>
      <c r="E411" s="56"/>
      <c r="F411" s="56"/>
      <c r="G411" s="56"/>
    </row>
    <row r="412" spans="3:7" x14ac:dyDescent="0.2">
      <c r="C412" s="62"/>
      <c r="D412" s="56"/>
      <c r="E412" s="56"/>
      <c r="F412" s="56"/>
      <c r="G412" s="56"/>
    </row>
    <row r="413" spans="3:7" x14ac:dyDescent="0.2">
      <c r="C413" s="62"/>
      <c r="D413" s="56"/>
      <c r="E413" s="56"/>
      <c r="F413" s="56"/>
      <c r="G413" s="56"/>
    </row>
    <row r="414" spans="3:7" x14ac:dyDescent="0.2">
      <c r="C414" s="62"/>
      <c r="D414" s="56"/>
      <c r="E414" s="56"/>
      <c r="F414" s="56"/>
      <c r="G414" s="56"/>
    </row>
    <row r="415" spans="3:7" x14ac:dyDescent="0.2">
      <c r="C415" s="62"/>
      <c r="D415" s="56"/>
      <c r="E415" s="56"/>
      <c r="F415" s="56"/>
      <c r="G415" s="56"/>
    </row>
    <row r="416" spans="3:7" x14ac:dyDescent="0.2">
      <c r="C416" s="62"/>
      <c r="D416" s="56"/>
      <c r="E416" s="56"/>
      <c r="F416" s="56"/>
      <c r="G416" s="56"/>
    </row>
    <row r="417" spans="3:7" x14ac:dyDescent="0.2">
      <c r="C417" s="62"/>
      <c r="D417" s="56"/>
      <c r="E417" s="56"/>
      <c r="F417" s="56"/>
      <c r="G417" s="56"/>
    </row>
    <row r="418" spans="3:7" x14ac:dyDescent="0.2">
      <c r="C418" s="62"/>
      <c r="D418" s="56"/>
      <c r="E418" s="56"/>
      <c r="F418" s="56"/>
      <c r="G418" s="56"/>
    </row>
    <row r="419" spans="3:7" x14ac:dyDescent="0.2">
      <c r="C419" s="62"/>
      <c r="D419" s="56"/>
      <c r="E419" s="56"/>
      <c r="F419" s="56"/>
      <c r="G419" s="56"/>
    </row>
    <row r="420" spans="3:7" x14ac:dyDescent="0.2">
      <c r="C420" s="62"/>
      <c r="D420" s="56"/>
      <c r="E420" s="56"/>
      <c r="F420" s="56"/>
      <c r="G420" s="56"/>
    </row>
    <row r="421" spans="3:7" x14ac:dyDescent="0.2">
      <c r="C421" s="62"/>
      <c r="D421" s="56"/>
      <c r="E421" s="56"/>
      <c r="F421" s="56"/>
      <c r="G421" s="56"/>
    </row>
    <row r="422" spans="3:7" x14ac:dyDescent="0.2">
      <c r="C422" s="62"/>
      <c r="D422" s="56"/>
      <c r="E422" s="56"/>
      <c r="F422" s="56"/>
      <c r="G422" s="56"/>
    </row>
    <row r="423" spans="3:7" x14ac:dyDescent="0.2">
      <c r="C423" s="62"/>
      <c r="D423" s="56"/>
      <c r="E423" s="56"/>
      <c r="F423" s="56"/>
      <c r="G423" s="56"/>
    </row>
    <row r="424" spans="3:7" x14ac:dyDescent="0.2">
      <c r="C424" s="62"/>
      <c r="D424" s="56"/>
      <c r="E424" s="56"/>
      <c r="F424" s="56"/>
      <c r="G424" s="56"/>
    </row>
    <row r="425" spans="3:7" x14ac:dyDescent="0.2">
      <c r="C425" s="62"/>
      <c r="D425" s="56"/>
      <c r="E425" s="56"/>
      <c r="F425" s="56"/>
      <c r="G425" s="56"/>
    </row>
    <row r="426" spans="3:7" x14ac:dyDescent="0.2">
      <c r="C426" s="62"/>
      <c r="D426" s="56"/>
      <c r="E426" s="56"/>
      <c r="F426" s="56"/>
      <c r="G426" s="56"/>
    </row>
    <row r="427" spans="3:7" x14ac:dyDescent="0.2">
      <c r="C427" s="62"/>
      <c r="D427" s="56"/>
      <c r="E427" s="56"/>
      <c r="F427" s="56"/>
      <c r="G427" s="56"/>
    </row>
    <row r="428" spans="3:7" x14ac:dyDescent="0.2">
      <c r="C428" s="62"/>
      <c r="D428" s="56"/>
      <c r="E428" s="56"/>
      <c r="F428" s="56"/>
      <c r="G428" s="56"/>
    </row>
    <row r="429" spans="3:7" x14ac:dyDescent="0.2">
      <c r="C429" s="62"/>
      <c r="D429" s="56"/>
      <c r="E429" s="56"/>
      <c r="F429" s="56"/>
      <c r="G429" s="56"/>
    </row>
    <row r="430" spans="3:7" x14ac:dyDescent="0.2">
      <c r="C430" s="62"/>
      <c r="D430" s="56"/>
      <c r="E430" s="56"/>
      <c r="F430" s="56"/>
      <c r="G430" s="56"/>
    </row>
    <row r="431" spans="3:7" x14ac:dyDescent="0.2">
      <c r="C431" s="62"/>
      <c r="D431" s="56"/>
      <c r="E431" s="56"/>
      <c r="F431" s="56"/>
      <c r="G431" s="56"/>
    </row>
    <row r="432" spans="3:7" x14ac:dyDescent="0.2">
      <c r="C432" s="62"/>
      <c r="D432" s="56"/>
      <c r="E432" s="56"/>
      <c r="F432" s="56"/>
      <c r="G432" s="56"/>
    </row>
    <row r="433" spans="3:7" x14ac:dyDescent="0.2">
      <c r="C433" s="62"/>
      <c r="D433" s="56"/>
      <c r="E433" s="56"/>
      <c r="F433" s="56"/>
      <c r="G433" s="56"/>
    </row>
    <row r="434" spans="3:7" x14ac:dyDescent="0.2">
      <c r="C434" s="62"/>
      <c r="D434" s="56"/>
      <c r="E434" s="56"/>
      <c r="F434" s="56"/>
      <c r="G434" s="56"/>
    </row>
    <row r="435" spans="3:7" x14ac:dyDescent="0.2">
      <c r="C435" s="62"/>
      <c r="D435" s="56"/>
      <c r="E435" s="56"/>
      <c r="F435" s="56"/>
      <c r="G435" s="56"/>
    </row>
    <row r="436" spans="3:7" x14ac:dyDescent="0.2">
      <c r="C436" s="62"/>
      <c r="D436" s="56"/>
      <c r="E436" s="56"/>
      <c r="F436" s="56"/>
      <c r="G436" s="56"/>
    </row>
    <row r="437" spans="3:7" x14ac:dyDescent="0.2">
      <c r="C437" s="62"/>
      <c r="D437" s="56"/>
      <c r="E437" s="56"/>
      <c r="F437" s="56"/>
      <c r="G437" s="56"/>
    </row>
    <row r="438" spans="3:7" x14ac:dyDescent="0.2">
      <c r="C438" s="62"/>
      <c r="D438" s="56"/>
      <c r="E438" s="56"/>
      <c r="F438" s="56"/>
      <c r="G438" s="56"/>
    </row>
    <row r="439" spans="3:7" x14ac:dyDescent="0.2">
      <c r="C439" s="62"/>
      <c r="D439" s="56"/>
      <c r="E439" s="56"/>
      <c r="F439" s="56"/>
      <c r="G439" s="56"/>
    </row>
    <row r="440" spans="3:7" x14ac:dyDescent="0.2">
      <c r="C440" s="62"/>
      <c r="D440" s="56"/>
      <c r="E440" s="56"/>
      <c r="F440" s="56"/>
      <c r="G440" s="56"/>
    </row>
    <row r="441" spans="3:7" x14ac:dyDescent="0.2">
      <c r="C441" s="62"/>
      <c r="D441" s="56"/>
      <c r="E441" s="56"/>
      <c r="F441" s="56"/>
      <c r="G441" s="56"/>
    </row>
    <row r="442" spans="3:7" x14ac:dyDescent="0.2">
      <c r="C442" s="62"/>
      <c r="D442" s="56"/>
      <c r="E442" s="56"/>
      <c r="F442" s="56"/>
      <c r="G442" s="56"/>
    </row>
    <row r="443" spans="3:7" x14ac:dyDescent="0.2">
      <c r="C443" s="62"/>
      <c r="D443" s="56"/>
      <c r="E443" s="56"/>
      <c r="F443" s="56"/>
      <c r="G443" s="56"/>
    </row>
    <row r="444" spans="3:7" x14ac:dyDescent="0.2">
      <c r="C444" s="62"/>
      <c r="D444" s="56"/>
      <c r="E444" s="56"/>
      <c r="F444" s="56"/>
      <c r="G444" s="56"/>
    </row>
    <row r="445" spans="3:7" x14ac:dyDescent="0.2">
      <c r="C445" s="62"/>
      <c r="D445" s="56"/>
      <c r="E445" s="56"/>
      <c r="F445" s="56"/>
      <c r="G445" s="56"/>
    </row>
    <row r="446" spans="3:7" x14ac:dyDescent="0.2">
      <c r="C446" s="62"/>
      <c r="D446" s="56"/>
      <c r="E446" s="56"/>
      <c r="F446" s="56"/>
      <c r="G446" s="56"/>
    </row>
    <row r="447" spans="3:7" x14ac:dyDescent="0.2">
      <c r="C447" s="62"/>
      <c r="D447" s="56"/>
      <c r="E447" s="56"/>
      <c r="F447" s="56"/>
      <c r="G447" s="56"/>
    </row>
    <row r="448" spans="3:7" x14ac:dyDescent="0.2">
      <c r="C448" s="62"/>
      <c r="D448" s="56"/>
      <c r="E448" s="56"/>
      <c r="F448" s="56"/>
      <c r="G448" s="56"/>
    </row>
    <row r="449" spans="3:7" x14ac:dyDescent="0.2">
      <c r="C449" s="62"/>
      <c r="D449" s="56"/>
      <c r="E449" s="56"/>
      <c r="F449" s="56"/>
      <c r="G449" s="56"/>
    </row>
    <row r="450" spans="3:7" x14ac:dyDescent="0.2">
      <c r="C450" s="62"/>
      <c r="D450" s="56"/>
      <c r="E450" s="56"/>
      <c r="F450" s="56"/>
      <c r="G450" s="56"/>
    </row>
    <row r="451" spans="3:7" x14ac:dyDescent="0.2">
      <c r="C451" s="62"/>
      <c r="D451" s="56"/>
      <c r="E451" s="56"/>
      <c r="F451" s="56"/>
      <c r="G451" s="56"/>
    </row>
    <row r="452" spans="3:7" x14ac:dyDescent="0.2">
      <c r="C452" s="62"/>
      <c r="D452" s="56"/>
      <c r="E452" s="56"/>
      <c r="F452" s="56"/>
      <c r="G452" s="56"/>
    </row>
    <row r="453" spans="3:7" x14ac:dyDescent="0.2">
      <c r="C453" s="62"/>
      <c r="D453" s="56"/>
      <c r="E453" s="56"/>
      <c r="F453" s="56"/>
      <c r="G453" s="56"/>
    </row>
    <row r="454" spans="3:7" x14ac:dyDescent="0.2">
      <c r="C454" s="62"/>
      <c r="D454" s="56"/>
      <c r="E454" s="56"/>
      <c r="F454" s="56"/>
      <c r="G454" s="56"/>
    </row>
    <row r="455" spans="3:7" x14ac:dyDescent="0.2">
      <c r="C455" s="62"/>
      <c r="D455" s="56"/>
      <c r="E455" s="56"/>
      <c r="F455" s="56"/>
      <c r="G455" s="56"/>
    </row>
    <row r="456" spans="3:7" x14ac:dyDescent="0.2">
      <c r="C456" s="62"/>
      <c r="D456" s="56"/>
      <c r="E456" s="56"/>
      <c r="F456" s="56"/>
      <c r="G456" s="56"/>
    </row>
    <row r="457" spans="3:7" x14ac:dyDescent="0.2">
      <c r="C457" s="62"/>
      <c r="D457" s="56"/>
      <c r="E457" s="56"/>
      <c r="F457" s="56"/>
      <c r="G457" s="56"/>
    </row>
    <row r="458" spans="3:7" x14ac:dyDescent="0.2">
      <c r="C458" s="62"/>
      <c r="D458" s="56"/>
      <c r="E458" s="56"/>
      <c r="F458" s="56"/>
      <c r="G458" s="56"/>
    </row>
    <row r="459" spans="3:7" x14ac:dyDescent="0.2">
      <c r="C459" s="62"/>
      <c r="D459" s="56"/>
      <c r="E459" s="56"/>
      <c r="F459" s="56"/>
      <c r="G459" s="56"/>
    </row>
    <row r="460" spans="3:7" x14ac:dyDescent="0.2">
      <c r="C460" s="62"/>
      <c r="D460" s="56"/>
      <c r="E460" s="56"/>
      <c r="F460" s="56"/>
      <c r="G460" s="56"/>
    </row>
    <row r="461" spans="3:7" x14ac:dyDescent="0.2">
      <c r="C461" s="62"/>
      <c r="D461" s="56"/>
      <c r="E461" s="56"/>
      <c r="F461" s="56"/>
      <c r="G461" s="56"/>
    </row>
    <row r="462" spans="3:7" x14ac:dyDescent="0.2">
      <c r="C462" s="62"/>
      <c r="D462" s="56"/>
      <c r="E462" s="56"/>
      <c r="F462" s="56"/>
      <c r="G462" s="56"/>
    </row>
    <row r="463" spans="3:7" x14ac:dyDescent="0.2">
      <c r="C463" s="62"/>
      <c r="D463" s="56"/>
      <c r="E463" s="56"/>
      <c r="F463" s="56"/>
      <c r="G463" s="56"/>
    </row>
    <row r="464" spans="3:7" x14ac:dyDescent="0.2">
      <c r="C464" s="62"/>
      <c r="D464" s="56"/>
      <c r="E464" s="56"/>
      <c r="F464" s="56"/>
      <c r="G464" s="56"/>
    </row>
    <row r="465" spans="3:7" x14ac:dyDescent="0.2">
      <c r="C465" s="62"/>
      <c r="D465" s="56"/>
      <c r="E465" s="56"/>
      <c r="F465" s="56"/>
      <c r="G465" s="56"/>
    </row>
    <row r="466" spans="3:7" x14ac:dyDescent="0.2">
      <c r="C466" s="62"/>
      <c r="D466" s="56"/>
      <c r="E466" s="56"/>
      <c r="F466" s="56"/>
      <c r="G466" s="56"/>
    </row>
    <row r="467" spans="3:7" x14ac:dyDescent="0.2">
      <c r="C467" s="62"/>
      <c r="D467" s="56"/>
      <c r="E467" s="56"/>
      <c r="F467" s="56"/>
      <c r="G467" s="56"/>
    </row>
    <row r="468" spans="3:7" x14ac:dyDescent="0.2">
      <c r="C468" s="62"/>
      <c r="D468" s="56"/>
      <c r="E468" s="56"/>
      <c r="F468" s="56"/>
      <c r="G468" s="56"/>
    </row>
    <row r="469" spans="3:7" x14ac:dyDescent="0.2">
      <c r="C469" s="62"/>
      <c r="D469" s="56"/>
      <c r="E469" s="56"/>
      <c r="F469" s="56"/>
      <c r="G469" s="56"/>
    </row>
    <row r="470" spans="3:7" x14ac:dyDescent="0.2">
      <c r="C470" s="62"/>
      <c r="D470" s="56"/>
      <c r="E470" s="56"/>
      <c r="F470" s="56"/>
      <c r="G470" s="56"/>
    </row>
    <row r="471" spans="3:7" x14ac:dyDescent="0.2">
      <c r="C471" s="62"/>
      <c r="D471" s="56"/>
      <c r="E471" s="56"/>
      <c r="F471" s="56"/>
      <c r="G471" s="56"/>
    </row>
    <row r="472" spans="3:7" x14ac:dyDescent="0.2">
      <c r="C472" s="62"/>
      <c r="D472" s="56"/>
      <c r="E472" s="56"/>
      <c r="F472" s="56"/>
      <c r="G472" s="56"/>
    </row>
    <row r="473" spans="3:7" x14ac:dyDescent="0.2">
      <c r="C473" s="62"/>
      <c r="D473" s="56"/>
      <c r="E473" s="56"/>
      <c r="F473" s="56"/>
      <c r="G473" s="56"/>
    </row>
    <row r="474" spans="3:7" x14ac:dyDescent="0.2">
      <c r="C474" s="62"/>
      <c r="D474" s="56"/>
      <c r="E474" s="56"/>
      <c r="F474" s="56"/>
      <c r="G474" s="56"/>
    </row>
    <row r="475" spans="3:7" x14ac:dyDescent="0.2">
      <c r="C475" s="62"/>
      <c r="D475" s="56"/>
      <c r="E475" s="56"/>
      <c r="F475" s="56"/>
      <c r="G475" s="56"/>
    </row>
    <row r="476" spans="3:7" x14ac:dyDescent="0.2">
      <c r="C476" s="62"/>
      <c r="D476" s="56"/>
      <c r="E476" s="56"/>
      <c r="F476" s="56"/>
      <c r="G476" s="56"/>
    </row>
    <row r="477" spans="3:7" x14ac:dyDescent="0.2">
      <c r="C477" s="62"/>
      <c r="D477" s="56"/>
      <c r="E477" s="56"/>
      <c r="F477" s="56"/>
      <c r="G477" s="56"/>
    </row>
    <row r="478" spans="3:7" x14ac:dyDescent="0.2">
      <c r="C478" s="62"/>
      <c r="D478" s="56"/>
      <c r="E478" s="56"/>
      <c r="F478" s="56"/>
      <c r="G478" s="56"/>
    </row>
    <row r="479" spans="3:7" x14ac:dyDescent="0.2">
      <c r="C479" s="62"/>
      <c r="D479" s="56"/>
      <c r="E479" s="56"/>
      <c r="F479" s="56"/>
      <c r="G479" s="56"/>
    </row>
    <row r="480" spans="3:7" x14ac:dyDescent="0.2">
      <c r="C480" s="62"/>
      <c r="D480" s="56"/>
      <c r="E480" s="56"/>
      <c r="F480" s="56"/>
      <c r="G480" s="56"/>
    </row>
    <row r="481" spans="3:7" x14ac:dyDescent="0.2">
      <c r="C481" s="62"/>
      <c r="D481" s="56"/>
      <c r="E481" s="56"/>
      <c r="F481" s="56"/>
      <c r="G481" s="56"/>
    </row>
    <row r="482" spans="3:7" x14ac:dyDescent="0.2">
      <c r="C482" s="62"/>
      <c r="D482" s="56"/>
      <c r="E482" s="56"/>
      <c r="F482" s="56"/>
      <c r="G482" s="56"/>
    </row>
    <row r="483" spans="3:7" x14ac:dyDescent="0.2">
      <c r="C483" s="62"/>
      <c r="D483" s="56"/>
      <c r="E483" s="56"/>
      <c r="F483" s="56"/>
      <c r="G483" s="56"/>
    </row>
    <row r="484" spans="3:7" x14ac:dyDescent="0.2">
      <c r="C484" s="62"/>
      <c r="D484" s="56"/>
      <c r="E484" s="56"/>
      <c r="F484" s="56"/>
      <c r="G484" s="56"/>
    </row>
    <row r="485" spans="3:7" x14ac:dyDescent="0.2">
      <c r="C485" s="62"/>
      <c r="D485" s="56"/>
      <c r="E485" s="56"/>
      <c r="F485" s="56"/>
      <c r="G485" s="56"/>
    </row>
    <row r="486" spans="3:7" x14ac:dyDescent="0.2">
      <c r="C486" s="62"/>
      <c r="D486" s="56"/>
      <c r="E486" s="56"/>
      <c r="F486" s="56"/>
      <c r="G486" s="56"/>
    </row>
    <row r="487" spans="3:7" x14ac:dyDescent="0.2">
      <c r="C487" s="62"/>
      <c r="D487" s="56"/>
      <c r="E487" s="56"/>
      <c r="F487" s="56"/>
      <c r="G487" s="56"/>
    </row>
    <row r="488" spans="3:7" x14ac:dyDescent="0.2">
      <c r="C488" s="62"/>
      <c r="D488" s="56"/>
      <c r="E488" s="56"/>
      <c r="F488" s="56"/>
      <c r="G488" s="56"/>
    </row>
    <row r="489" spans="3:7" x14ac:dyDescent="0.2">
      <c r="C489" s="62"/>
      <c r="D489" s="56"/>
      <c r="E489" s="56"/>
      <c r="F489" s="56"/>
      <c r="G489" s="56"/>
    </row>
    <row r="490" spans="3:7" x14ac:dyDescent="0.2">
      <c r="C490" s="62"/>
      <c r="D490" s="56"/>
      <c r="E490" s="56"/>
      <c r="F490" s="56"/>
      <c r="G490" s="56"/>
    </row>
    <row r="491" spans="3:7" x14ac:dyDescent="0.2">
      <c r="C491" s="62"/>
      <c r="D491" s="56"/>
      <c r="E491" s="56"/>
      <c r="F491" s="56"/>
      <c r="G491" s="56"/>
    </row>
    <row r="492" spans="3:7" x14ac:dyDescent="0.2">
      <c r="C492" s="62"/>
      <c r="D492" s="56"/>
      <c r="E492" s="56"/>
      <c r="F492" s="56"/>
      <c r="G492" s="56"/>
    </row>
    <row r="493" spans="3:7" x14ac:dyDescent="0.2">
      <c r="C493" s="62"/>
      <c r="D493" s="56"/>
      <c r="E493" s="56"/>
      <c r="F493" s="56"/>
      <c r="G493" s="56"/>
    </row>
    <row r="494" spans="3:7" x14ac:dyDescent="0.2">
      <c r="C494" s="62"/>
      <c r="D494" s="56"/>
      <c r="E494" s="56"/>
      <c r="F494" s="56"/>
      <c r="G494" s="56"/>
    </row>
    <row r="495" spans="3:7" x14ac:dyDescent="0.2">
      <c r="C495" s="62"/>
      <c r="D495" s="56"/>
      <c r="E495" s="56"/>
      <c r="F495" s="56"/>
      <c r="G495" s="56"/>
    </row>
    <row r="496" spans="3:7" x14ac:dyDescent="0.2">
      <c r="C496" s="62"/>
      <c r="D496" s="56"/>
      <c r="E496" s="56"/>
      <c r="F496" s="56"/>
      <c r="G496" s="56"/>
    </row>
    <row r="497" spans="3:7" x14ac:dyDescent="0.2">
      <c r="C497" s="62"/>
      <c r="D497" s="56"/>
      <c r="E497" s="56"/>
      <c r="F497" s="56"/>
      <c r="G497" s="56"/>
    </row>
    <row r="498" spans="3:7" x14ac:dyDescent="0.2">
      <c r="C498" s="62"/>
      <c r="D498" s="56"/>
      <c r="E498" s="56"/>
      <c r="F498" s="56"/>
      <c r="G498" s="56"/>
    </row>
    <row r="499" spans="3:7" x14ac:dyDescent="0.2">
      <c r="C499" s="62"/>
      <c r="D499" s="56"/>
      <c r="E499" s="56"/>
      <c r="F499" s="56"/>
      <c r="G499" s="56"/>
    </row>
    <row r="500" spans="3:7" x14ac:dyDescent="0.2">
      <c r="C500" s="62"/>
      <c r="D500" s="56"/>
      <c r="E500" s="56"/>
      <c r="F500" s="56"/>
      <c r="G500" s="56"/>
    </row>
    <row r="501" spans="3:7" x14ac:dyDescent="0.2">
      <c r="C501" s="62"/>
      <c r="D501" s="56"/>
      <c r="E501" s="56"/>
      <c r="F501" s="56"/>
      <c r="G501" s="56"/>
    </row>
    <row r="502" spans="3:7" x14ac:dyDescent="0.2">
      <c r="C502" s="62"/>
      <c r="D502" s="56"/>
      <c r="E502" s="56"/>
      <c r="F502" s="56"/>
      <c r="G502" s="56"/>
    </row>
    <row r="503" spans="3:7" x14ac:dyDescent="0.2">
      <c r="C503" s="62"/>
      <c r="D503" s="56"/>
      <c r="E503" s="56"/>
      <c r="F503" s="56"/>
      <c r="G503" s="56"/>
    </row>
    <row r="504" spans="3:7" x14ac:dyDescent="0.2">
      <c r="C504" s="62"/>
      <c r="D504" s="56"/>
      <c r="E504" s="56"/>
      <c r="F504" s="56"/>
      <c r="G504" s="56"/>
    </row>
    <row r="505" spans="3:7" x14ac:dyDescent="0.2">
      <c r="C505" s="62"/>
      <c r="D505" s="56"/>
      <c r="E505" s="56"/>
      <c r="F505" s="56"/>
      <c r="G505" s="56"/>
    </row>
  </sheetData>
  <conditionalFormatting sqref="AC330:AC1048576">
    <cfRule type="expression" dxfId="6" priority="33">
      <formula>$AH330="KO"</formula>
    </cfRule>
  </conditionalFormatting>
  <conditionalFormatting sqref="X330:X1048576">
    <cfRule type="expression" dxfId="5" priority="29">
      <formula>$AI330="KO"</formula>
    </cfRule>
  </conditionalFormatting>
  <conditionalFormatting sqref="AE330:AE1048576">
    <cfRule type="expression" dxfId="4" priority="31">
      <formula>$AJ330="KO"</formula>
    </cfRule>
  </conditionalFormatting>
  <conditionalFormatting sqref="A1:A1048576">
    <cfRule type="duplicateValues" dxfId="3" priority="3"/>
  </conditionalFormatting>
  <conditionalFormatting sqref="A1:AJ1048576">
    <cfRule type="expression" dxfId="2" priority="2">
      <formula>OR($C1="Fermé",$C1="Abandonné")</formula>
    </cfRule>
  </conditionalFormatting>
  <conditionalFormatting sqref="AK332:AK1048483">
    <cfRule type="expression" dxfId="1" priority="4033">
      <formula>OR($C402="Fermé",$C402="Abandonné")</formula>
    </cfRule>
  </conditionalFormatting>
  <conditionalFormatting sqref="AK1048484:AK1048576">
    <cfRule type="expression" dxfId="0" priority="4084">
      <formula>OR($C1="Fermé",$C1="Abandonné")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Liste_UO</vt:lpstr>
      <vt:lpstr>KPI</vt:lpstr>
    </vt:vector>
  </TitlesOfParts>
  <Company>CGI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CESAR _KPI_JIRA</dc:title>
  <dc:creator>Aurelien Philippon</dc:creator>
  <dc:description>(c) 2006-2015 Vertex42 LLC. All Rights Reserved.</dc:description>
  <cp:lastModifiedBy>PHILIPPON, Aurélien</cp:lastModifiedBy>
  <cp:lastPrinted>2017-12-01T11:04:10Z</cp:lastPrinted>
  <dcterms:created xsi:type="dcterms:W3CDTF">2010-06-09T16:05:03Z</dcterms:created>
  <dcterms:modified xsi:type="dcterms:W3CDTF">2017-12-27T16:20:42Z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2015 Vertex42 LLC</vt:lpwstr>
  </property>
  <property fmtid="{D5CDD505-2E9C-101B-9397-08002B2CF9AE}" pid="3" name="Version">
    <vt:lpwstr>3.0.2</vt:lpwstr>
  </property>
</Properties>
</file>