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15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SA\Données\"/>
    </mc:Choice>
  </mc:AlternateContent>
  <xr:revisionPtr revIDLastSave="0" documentId="13_ncr:1_{91910F3E-0575-42B5-98DB-6F637B0FE642}" xr6:coauthVersionLast="45" xr6:coauthVersionMax="45" xr10:uidLastSave="{00000000-0000-0000-0000-000000000000}"/>
  <bookViews>
    <workbookView minimized="1" xWindow="2340" yWindow="2340" windowWidth="18000" windowHeight="9480" firstSheet="1" activeTab="2" xr2:uid="{00000000-000D-0000-FFFF-FFFF00000000}"/>
  </bookViews>
  <sheets>
    <sheet name="BASE_ DSA" sheetId="1" state="hidden" r:id="rId1"/>
    <sheet name="Céréale" sheetId="2" r:id="rId2"/>
    <sheet name="Oléagineux" sheetId="3" r:id="rId3"/>
  </sheets>
  <definedNames>
    <definedName name="_xlnm._FilterDatabase" localSheetId="1" hidden="1">Céréale!$A$1:$Y$355</definedName>
    <definedName name="_xlnm._FilterDatabase" localSheetId="2" hidden="1">Oléagineux!$A$1:$Y$354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301" i="3" l="1"/>
  <c r="H965" i="1"/>
  <c r="X85" i="3" l="1"/>
  <c r="Y85" i="3"/>
  <c r="X87" i="3"/>
  <c r="Y87" i="3"/>
  <c r="X88" i="3"/>
  <c r="Y88" i="3"/>
  <c r="X89" i="3"/>
  <c r="Y89" i="3"/>
  <c r="X90" i="3"/>
  <c r="Y90" i="3"/>
  <c r="X91" i="3"/>
  <c r="Y91" i="3"/>
  <c r="X92" i="3"/>
  <c r="Y92" i="3"/>
  <c r="X93" i="3"/>
  <c r="Y93" i="3"/>
  <c r="X94" i="3"/>
  <c r="Y94" i="3"/>
  <c r="X95" i="3"/>
  <c r="Y95" i="3"/>
  <c r="X96" i="3"/>
  <c r="Y96" i="3"/>
  <c r="X97" i="3"/>
  <c r="Y97" i="3"/>
  <c r="X98" i="3"/>
  <c r="Y98" i="3"/>
  <c r="X127" i="3"/>
  <c r="Y127" i="3"/>
  <c r="X129" i="3"/>
  <c r="Y129" i="3"/>
  <c r="X130" i="3"/>
  <c r="Y130" i="3"/>
  <c r="X131" i="3"/>
  <c r="Y131" i="3"/>
  <c r="X133" i="3"/>
  <c r="Y133" i="3"/>
  <c r="X134" i="3"/>
  <c r="Y134" i="3"/>
  <c r="X135" i="3"/>
  <c r="Y135" i="3"/>
  <c r="X136" i="3"/>
  <c r="Y136" i="3"/>
  <c r="X137" i="3"/>
  <c r="Y137" i="3"/>
  <c r="X138" i="3"/>
  <c r="Y138" i="3"/>
  <c r="X139" i="3"/>
  <c r="Y139" i="3"/>
  <c r="X140" i="3"/>
  <c r="Y140" i="3"/>
  <c r="X141" i="3"/>
  <c r="X142" i="3"/>
  <c r="X143" i="3"/>
  <c r="X144" i="3"/>
  <c r="X145" i="3"/>
  <c r="X146" i="3"/>
  <c r="X147" i="3"/>
  <c r="X148" i="3"/>
  <c r="X149" i="3"/>
  <c r="X150" i="3"/>
  <c r="X151" i="3"/>
  <c r="X152" i="3"/>
  <c r="X153" i="3"/>
  <c r="X154" i="3"/>
  <c r="X155" i="3"/>
  <c r="X157" i="3"/>
  <c r="X158" i="3"/>
  <c r="X159" i="3"/>
  <c r="X160" i="3"/>
  <c r="Y160" i="3"/>
  <c r="X161" i="3"/>
  <c r="X162" i="3"/>
  <c r="X163" i="3"/>
  <c r="X164" i="3"/>
  <c r="X165" i="3"/>
  <c r="X166" i="3"/>
  <c r="X167" i="3"/>
  <c r="X168" i="3"/>
  <c r="X169" i="3"/>
  <c r="X170" i="3"/>
  <c r="X171" i="3"/>
  <c r="X172" i="3"/>
  <c r="X173" i="3"/>
  <c r="X174" i="3"/>
  <c r="X175" i="3"/>
  <c r="X176" i="3"/>
  <c r="X177" i="3"/>
  <c r="X178" i="3"/>
  <c r="X179" i="3"/>
  <c r="X180" i="3"/>
  <c r="X181" i="3"/>
  <c r="X182" i="3"/>
  <c r="X183" i="3"/>
  <c r="X184" i="3"/>
  <c r="X185" i="3"/>
  <c r="X186" i="3"/>
  <c r="X187" i="3"/>
  <c r="X188" i="3"/>
  <c r="X189" i="3"/>
  <c r="X190" i="3"/>
  <c r="X191" i="3"/>
  <c r="X192" i="3"/>
  <c r="X193" i="3"/>
  <c r="X194" i="3"/>
  <c r="X195" i="3"/>
  <c r="X196" i="3"/>
  <c r="X197" i="3"/>
  <c r="Y197" i="3"/>
  <c r="X198" i="3"/>
  <c r="Y198" i="3"/>
  <c r="X199" i="3"/>
  <c r="Y199" i="3"/>
  <c r="X200" i="3"/>
  <c r="Y200" i="3"/>
  <c r="X201" i="3"/>
  <c r="X202" i="3"/>
  <c r="Y202" i="3"/>
  <c r="X203" i="3"/>
  <c r="X204" i="3"/>
  <c r="Y204" i="3"/>
  <c r="X205" i="3"/>
  <c r="X206" i="3"/>
  <c r="X207" i="3"/>
  <c r="X208" i="3"/>
  <c r="X209" i="3"/>
  <c r="X210" i="3"/>
  <c r="X211" i="3"/>
  <c r="X212" i="3"/>
  <c r="Y212" i="3"/>
  <c r="X213" i="3"/>
  <c r="X214" i="3"/>
  <c r="X215" i="3"/>
  <c r="X216" i="3"/>
  <c r="Y216" i="3"/>
  <c r="X217" i="3"/>
  <c r="X218" i="3"/>
  <c r="X219" i="3"/>
  <c r="X220" i="3"/>
  <c r="X221" i="3"/>
  <c r="X222" i="3"/>
  <c r="X223" i="3"/>
  <c r="X224" i="3"/>
  <c r="X225" i="3"/>
  <c r="X226" i="3"/>
  <c r="X227" i="3"/>
  <c r="X229" i="3"/>
  <c r="X231" i="3"/>
  <c r="Y231" i="3"/>
  <c r="X232" i="3"/>
  <c r="X233" i="3"/>
  <c r="Y233" i="3"/>
  <c r="X234" i="3"/>
  <c r="X236" i="3"/>
  <c r="Y236" i="3"/>
  <c r="X237" i="3"/>
  <c r="X238" i="3"/>
  <c r="Y238" i="3"/>
  <c r="X239" i="3"/>
  <c r="Y239" i="3"/>
  <c r="X240" i="3"/>
  <c r="X241" i="3"/>
  <c r="X242" i="3"/>
  <c r="X243" i="3"/>
  <c r="X244" i="3"/>
  <c r="X245" i="3"/>
  <c r="X246" i="3"/>
  <c r="X265" i="3"/>
  <c r="Y265" i="3"/>
  <c r="X266" i="3"/>
  <c r="Y266" i="3"/>
  <c r="X267" i="3"/>
  <c r="Y267" i="3"/>
  <c r="X268" i="3"/>
  <c r="Y268" i="3"/>
  <c r="X269" i="3"/>
  <c r="Y269" i="3"/>
  <c r="X270" i="3"/>
  <c r="Y270" i="3"/>
  <c r="X271" i="3"/>
  <c r="Y271" i="3"/>
  <c r="X272" i="3"/>
  <c r="Y272" i="3"/>
  <c r="X273" i="3"/>
  <c r="Y273" i="3"/>
  <c r="X274" i="3"/>
  <c r="Y274" i="3"/>
  <c r="X275" i="3"/>
  <c r="Y275" i="3"/>
  <c r="X276" i="3"/>
  <c r="Y276" i="3"/>
  <c r="X277" i="3"/>
  <c r="Y277" i="3"/>
  <c r="X278" i="3"/>
  <c r="Y278" i="3"/>
  <c r="X279" i="3"/>
  <c r="Y279" i="3"/>
  <c r="X280" i="3"/>
  <c r="Y280" i="3"/>
  <c r="X281" i="3"/>
  <c r="Y281" i="3"/>
  <c r="X282" i="3"/>
  <c r="Y282" i="3"/>
  <c r="X283" i="3"/>
  <c r="X284" i="3"/>
  <c r="X285" i="3"/>
  <c r="X286" i="3"/>
  <c r="X287" i="3"/>
  <c r="X288" i="3"/>
  <c r="X289" i="3"/>
  <c r="X290" i="3"/>
  <c r="X291" i="3"/>
  <c r="X292" i="3"/>
  <c r="X293" i="3"/>
  <c r="X295" i="3"/>
  <c r="X296" i="3"/>
  <c r="X302" i="3"/>
  <c r="X303" i="3"/>
  <c r="X304" i="3"/>
  <c r="X305" i="3"/>
  <c r="X306" i="3"/>
  <c r="X307" i="3"/>
  <c r="X308" i="3"/>
  <c r="X309" i="3"/>
  <c r="X310" i="3"/>
  <c r="X311" i="3"/>
  <c r="X312" i="3"/>
  <c r="X313" i="3"/>
  <c r="X314" i="3"/>
  <c r="X315" i="3"/>
  <c r="X316" i="3"/>
  <c r="X317" i="3"/>
  <c r="X318" i="3"/>
  <c r="X320" i="3"/>
  <c r="X324" i="3"/>
  <c r="X325" i="3"/>
  <c r="X326" i="3"/>
  <c r="X328" i="3"/>
  <c r="X329" i="3"/>
  <c r="W336" i="3" l="1"/>
  <c r="T336" i="3"/>
  <c r="O336" i="3"/>
  <c r="K336" i="3"/>
  <c r="L336" i="3"/>
  <c r="N336" i="3" s="1"/>
  <c r="F336" i="3"/>
  <c r="H336" i="3" s="1"/>
  <c r="C336" i="3"/>
  <c r="U335" i="3"/>
  <c r="W335" i="3" s="1"/>
  <c r="T335" i="3"/>
  <c r="Q335" i="3"/>
  <c r="I335" i="3"/>
  <c r="K335" i="3" s="1"/>
  <c r="L335" i="3"/>
  <c r="N335" i="3" s="1"/>
  <c r="F335" i="3"/>
  <c r="E335" i="3"/>
  <c r="W334" i="3"/>
  <c r="R334" i="3"/>
  <c r="Q334" i="3"/>
  <c r="K334" i="3"/>
  <c r="N334" i="3"/>
  <c r="F334" i="3"/>
  <c r="E334" i="3"/>
  <c r="W333" i="3"/>
  <c r="T333" i="3"/>
  <c r="Q333" i="3"/>
  <c r="K333" i="3"/>
  <c r="L333" i="3"/>
  <c r="N333" i="3" s="1"/>
  <c r="F333" i="3"/>
  <c r="E333" i="3"/>
  <c r="W332" i="3"/>
  <c r="T332" i="3"/>
  <c r="O332" i="3"/>
  <c r="Q332" i="3" s="1"/>
  <c r="K332" i="3"/>
  <c r="L332" i="3"/>
  <c r="N332" i="3" s="1"/>
  <c r="F332" i="3"/>
  <c r="E332" i="3"/>
  <c r="W331" i="3"/>
  <c r="T331" i="3"/>
  <c r="O331" i="3"/>
  <c r="K331" i="3"/>
  <c r="L331" i="3"/>
  <c r="N331" i="3" s="1"/>
  <c r="F331" i="3"/>
  <c r="E331" i="3"/>
  <c r="W330" i="3"/>
  <c r="T330" i="3"/>
  <c r="Q330" i="3"/>
  <c r="I330" i="3"/>
  <c r="L330" i="3"/>
  <c r="F330" i="3"/>
  <c r="C330" i="3"/>
  <c r="T329" i="3"/>
  <c r="Q329" i="3"/>
  <c r="K329" i="3"/>
  <c r="N329" i="3"/>
  <c r="H329" i="3"/>
  <c r="E329" i="3"/>
  <c r="T328" i="3"/>
  <c r="Q328" i="3"/>
  <c r="K328" i="3"/>
  <c r="N328" i="3"/>
  <c r="H328" i="3"/>
  <c r="E328" i="3"/>
  <c r="T327" i="3"/>
  <c r="O327" i="3"/>
  <c r="Q327" i="3" s="1"/>
  <c r="I327" i="3"/>
  <c r="K327" i="3" s="1"/>
  <c r="N327" i="3"/>
  <c r="H327" i="3"/>
  <c r="C327" i="3"/>
  <c r="T326" i="3"/>
  <c r="Q326" i="3"/>
  <c r="K326" i="3"/>
  <c r="N326" i="3"/>
  <c r="H326" i="3"/>
  <c r="E326" i="3"/>
  <c r="T325" i="3"/>
  <c r="Q325" i="3"/>
  <c r="K325" i="3"/>
  <c r="N325" i="3"/>
  <c r="H325" i="3"/>
  <c r="E325" i="3"/>
  <c r="T324" i="3"/>
  <c r="Q324" i="3"/>
  <c r="K324" i="3"/>
  <c r="N324" i="3"/>
  <c r="H324" i="3"/>
  <c r="E324" i="3"/>
  <c r="R323" i="3"/>
  <c r="T323" i="3" s="1"/>
  <c r="Q323" i="3"/>
  <c r="K323" i="3"/>
  <c r="N323" i="3"/>
  <c r="F323" i="3"/>
  <c r="E323" i="3"/>
  <c r="R322" i="3"/>
  <c r="T322" i="3" s="1"/>
  <c r="Q322" i="3"/>
  <c r="K322" i="3"/>
  <c r="N322" i="3"/>
  <c r="F322" i="3"/>
  <c r="X322" i="3" s="1"/>
  <c r="E322" i="3"/>
  <c r="R321" i="3"/>
  <c r="T321" i="3" s="1"/>
  <c r="O321" i="3"/>
  <c r="K321" i="3"/>
  <c r="N321" i="3"/>
  <c r="H321" i="3"/>
  <c r="E321" i="3"/>
  <c r="T320" i="3"/>
  <c r="Q320" i="3"/>
  <c r="K320" i="3"/>
  <c r="N320" i="3"/>
  <c r="H320" i="3"/>
  <c r="E320" i="3"/>
  <c r="T319" i="3"/>
  <c r="Q319" i="3"/>
  <c r="I319" i="3"/>
  <c r="K319" i="3" s="1"/>
  <c r="L319" i="3"/>
  <c r="H319" i="3"/>
  <c r="E319" i="3"/>
  <c r="W318" i="3"/>
  <c r="T318" i="3"/>
  <c r="Q318" i="3"/>
  <c r="K318" i="3"/>
  <c r="N318" i="3"/>
  <c r="H318" i="3"/>
  <c r="E318" i="3"/>
  <c r="W317" i="3"/>
  <c r="T317" i="3"/>
  <c r="Q317" i="3"/>
  <c r="K317" i="3"/>
  <c r="N317" i="3"/>
  <c r="H317" i="3"/>
  <c r="E317" i="3"/>
  <c r="W316" i="3"/>
  <c r="T316" i="3"/>
  <c r="Q316" i="3"/>
  <c r="K316" i="3"/>
  <c r="N316" i="3"/>
  <c r="H316" i="3"/>
  <c r="E316" i="3"/>
  <c r="W315" i="3"/>
  <c r="T315" i="3"/>
  <c r="Q315" i="3"/>
  <c r="K315" i="3"/>
  <c r="N315" i="3"/>
  <c r="H315" i="3"/>
  <c r="E315" i="3"/>
  <c r="W314" i="3"/>
  <c r="T314" i="3"/>
  <c r="Q314" i="3"/>
  <c r="K314" i="3"/>
  <c r="N314" i="3"/>
  <c r="H314" i="3"/>
  <c r="E314" i="3"/>
  <c r="W313" i="3"/>
  <c r="T313" i="3"/>
  <c r="Q313" i="3"/>
  <c r="K313" i="3"/>
  <c r="N313" i="3"/>
  <c r="H313" i="3"/>
  <c r="E313" i="3"/>
  <c r="W312" i="3"/>
  <c r="T312" i="3"/>
  <c r="Q312" i="3"/>
  <c r="K312" i="3"/>
  <c r="N312" i="3"/>
  <c r="H312" i="3"/>
  <c r="E312" i="3"/>
  <c r="Y312" i="3" s="1"/>
  <c r="W311" i="3"/>
  <c r="T311" i="3"/>
  <c r="Q311" i="3"/>
  <c r="K311" i="3"/>
  <c r="N311" i="3"/>
  <c r="H311" i="3"/>
  <c r="E311" i="3"/>
  <c r="W310" i="3"/>
  <c r="T310" i="3"/>
  <c r="Q310" i="3"/>
  <c r="K310" i="3"/>
  <c r="N310" i="3"/>
  <c r="H310" i="3"/>
  <c r="E310" i="3"/>
  <c r="W309" i="3"/>
  <c r="T309" i="3"/>
  <c r="Q309" i="3"/>
  <c r="K309" i="3"/>
  <c r="N309" i="3"/>
  <c r="H309" i="3"/>
  <c r="E309" i="3"/>
  <c r="W308" i="3"/>
  <c r="T308" i="3"/>
  <c r="Q308" i="3"/>
  <c r="K308" i="3"/>
  <c r="N308" i="3"/>
  <c r="H308" i="3"/>
  <c r="E308" i="3"/>
  <c r="W307" i="3"/>
  <c r="T307" i="3"/>
  <c r="Q307" i="3"/>
  <c r="K307" i="3"/>
  <c r="N307" i="3"/>
  <c r="H307" i="3"/>
  <c r="E307" i="3"/>
  <c r="W306" i="3"/>
  <c r="T306" i="3"/>
  <c r="Q306" i="3"/>
  <c r="K306" i="3"/>
  <c r="N306" i="3"/>
  <c r="H306" i="3"/>
  <c r="E306" i="3"/>
  <c r="W305" i="3"/>
  <c r="T305" i="3"/>
  <c r="Q305" i="3"/>
  <c r="K305" i="3"/>
  <c r="N305" i="3"/>
  <c r="H305" i="3"/>
  <c r="E305" i="3"/>
  <c r="W304" i="3"/>
  <c r="T304" i="3"/>
  <c r="Q304" i="3"/>
  <c r="K304" i="3"/>
  <c r="N304" i="3"/>
  <c r="H304" i="3"/>
  <c r="E304" i="3"/>
  <c r="W303" i="3"/>
  <c r="T303" i="3"/>
  <c r="Q303" i="3"/>
  <c r="K303" i="3"/>
  <c r="N303" i="3"/>
  <c r="H303" i="3"/>
  <c r="E303" i="3"/>
  <c r="W302" i="3"/>
  <c r="T302" i="3"/>
  <c r="Q302" i="3"/>
  <c r="K302" i="3"/>
  <c r="N302" i="3"/>
  <c r="H302" i="3"/>
  <c r="E302" i="3"/>
  <c r="W301" i="3"/>
  <c r="T301" i="3"/>
  <c r="Q301" i="3"/>
  <c r="K301" i="3"/>
  <c r="X301" i="3"/>
  <c r="H301" i="3"/>
  <c r="E301" i="3"/>
  <c r="W300" i="3"/>
  <c r="T300" i="3"/>
  <c r="Q300" i="3"/>
  <c r="K300" i="3"/>
  <c r="N300" i="3"/>
  <c r="H300" i="3"/>
  <c r="E300" i="3"/>
  <c r="W299" i="3"/>
  <c r="T299" i="3"/>
  <c r="Q299" i="3"/>
  <c r="K299" i="3"/>
  <c r="N299" i="3"/>
  <c r="H299" i="3"/>
  <c r="E299" i="3"/>
  <c r="W298" i="3"/>
  <c r="T298" i="3"/>
  <c r="Q298" i="3"/>
  <c r="K298" i="3"/>
  <c r="N298" i="3"/>
  <c r="H298" i="3"/>
  <c r="E298" i="3"/>
  <c r="W297" i="3"/>
  <c r="T297" i="3"/>
  <c r="Q297" i="3"/>
  <c r="K297" i="3"/>
  <c r="N297" i="3"/>
  <c r="H297" i="3"/>
  <c r="E297" i="3"/>
  <c r="W296" i="3"/>
  <c r="T296" i="3"/>
  <c r="Q296" i="3"/>
  <c r="K296" i="3"/>
  <c r="N296" i="3"/>
  <c r="H296" i="3"/>
  <c r="E296" i="3"/>
  <c r="W295" i="3"/>
  <c r="T295" i="3"/>
  <c r="Q295" i="3"/>
  <c r="K295" i="3"/>
  <c r="N295" i="3"/>
  <c r="H295" i="3"/>
  <c r="E295" i="3"/>
  <c r="W294" i="3"/>
  <c r="T294" i="3"/>
  <c r="Q294" i="3"/>
  <c r="K294" i="3"/>
  <c r="N294" i="3"/>
  <c r="H294" i="3"/>
  <c r="E294" i="3"/>
  <c r="W293" i="3"/>
  <c r="T293" i="3"/>
  <c r="Q293" i="3"/>
  <c r="K293" i="3"/>
  <c r="N293" i="3"/>
  <c r="H293" i="3"/>
  <c r="E293" i="3"/>
  <c r="W292" i="3"/>
  <c r="T292" i="3"/>
  <c r="Q292" i="3"/>
  <c r="K292" i="3"/>
  <c r="N292" i="3"/>
  <c r="H292" i="3"/>
  <c r="E292" i="3"/>
  <c r="W291" i="3"/>
  <c r="T291" i="3"/>
  <c r="Q291" i="3"/>
  <c r="K291" i="3"/>
  <c r="N291" i="3"/>
  <c r="H291" i="3"/>
  <c r="E291" i="3"/>
  <c r="W290" i="3"/>
  <c r="T290" i="3"/>
  <c r="Q290" i="3"/>
  <c r="K290" i="3"/>
  <c r="N290" i="3"/>
  <c r="H290" i="3"/>
  <c r="E290" i="3"/>
  <c r="W289" i="3"/>
  <c r="T289" i="3"/>
  <c r="Q289" i="3"/>
  <c r="K289" i="3"/>
  <c r="N289" i="3"/>
  <c r="H289" i="3"/>
  <c r="E289" i="3"/>
  <c r="W288" i="3"/>
  <c r="T288" i="3"/>
  <c r="Q288" i="3"/>
  <c r="K288" i="3"/>
  <c r="N288" i="3"/>
  <c r="H288" i="3"/>
  <c r="E288" i="3"/>
  <c r="W287" i="3"/>
  <c r="T287" i="3"/>
  <c r="Q287" i="3"/>
  <c r="K287" i="3"/>
  <c r="N287" i="3"/>
  <c r="H287" i="3"/>
  <c r="E287" i="3"/>
  <c r="W286" i="3"/>
  <c r="T286" i="3"/>
  <c r="Q286" i="3"/>
  <c r="K286" i="3"/>
  <c r="N286" i="3"/>
  <c r="H286" i="3"/>
  <c r="E286" i="3"/>
  <c r="W285" i="3"/>
  <c r="T285" i="3"/>
  <c r="Q285" i="3"/>
  <c r="K285" i="3"/>
  <c r="N285" i="3"/>
  <c r="H285" i="3"/>
  <c r="E285" i="3"/>
  <c r="W284" i="3"/>
  <c r="T284" i="3"/>
  <c r="Q284" i="3"/>
  <c r="K284" i="3"/>
  <c r="N284" i="3"/>
  <c r="H284" i="3"/>
  <c r="E284" i="3"/>
  <c r="W283" i="3"/>
  <c r="T283" i="3"/>
  <c r="Q283" i="3"/>
  <c r="K283" i="3"/>
  <c r="N283" i="3"/>
  <c r="H283" i="3"/>
  <c r="E283" i="3"/>
  <c r="T264" i="3"/>
  <c r="Q264" i="3"/>
  <c r="N264" i="3"/>
  <c r="H264" i="3"/>
  <c r="E264" i="3"/>
  <c r="T263" i="3"/>
  <c r="Q263" i="3"/>
  <c r="K263" i="3"/>
  <c r="N263" i="3"/>
  <c r="H263" i="3"/>
  <c r="E263" i="3"/>
  <c r="T262" i="3"/>
  <c r="Q262" i="3"/>
  <c r="K262" i="3"/>
  <c r="N262" i="3"/>
  <c r="H262" i="3"/>
  <c r="E262" i="3"/>
  <c r="T261" i="3"/>
  <c r="Q261" i="3"/>
  <c r="K261" i="3"/>
  <c r="N261" i="3"/>
  <c r="H261" i="3"/>
  <c r="E261" i="3"/>
  <c r="T260" i="3"/>
  <c r="O260" i="3"/>
  <c r="K260" i="3"/>
  <c r="L260" i="3"/>
  <c r="N260" i="3" s="1"/>
  <c r="F260" i="3"/>
  <c r="H260" i="3" s="1"/>
  <c r="C260" i="3"/>
  <c r="E260" i="3" s="1"/>
  <c r="T259" i="3"/>
  <c r="O259" i="3"/>
  <c r="I259" i="3"/>
  <c r="K259" i="3" s="1"/>
  <c r="L259" i="3"/>
  <c r="F259" i="3"/>
  <c r="H259" i="3" s="1"/>
  <c r="C259" i="3"/>
  <c r="T258" i="3"/>
  <c r="Q258" i="3"/>
  <c r="K258" i="3"/>
  <c r="N258" i="3"/>
  <c r="H258" i="3"/>
  <c r="E258" i="3"/>
  <c r="T257" i="3"/>
  <c r="Q257" i="3"/>
  <c r="K257" i="3"/>
  <c r="N257" i="3"/>
  <c r="F257" i="3"/>
  <c r="H257" i="3" s="1"/>
  <c r="C257" i="3"/>
  <c r="T256" i="3"/>
  <c r="Q256" i="3"/>
  <c r="K256" i="3"/>
  <c r="N256" i="3"/>
  <c r="F256" i="3"/>
  <c r="H256" i="3" s="1"/>
  <c r="C256" i="3"/>
  <c r="E256" i="3" s="1"/>
  <c r="T255" i="3"/>
  <c r="Q255" i="3"/>
  <c r="K255" i="3"/>
  <c r="N255" i="3"/>
  <c r="H255" i="3"/>
  <c r="E255" i="3"/>
  <c r="T254" i="3"/>
  <c r="Q254" i="3"/>
  <c r="K254" i="3"/>
  <c r="N254" i="3"/>
  <c r="H254" i="3"/>
  <c r="E254" i="3"/>
  <c r="R253" i="3"/>
  <c r="Q253" i="3"/>
  <c r="K253" i="3"/>
  <c r="L253" i="3"/>
  <c r="N253" i="3" s="1"/>
  <c r="H253" i="3"/>
  <c r="E253" i="3"/>
  <c r="T252" i="3"/>
  <c r="Q252" i="3"/>
  <c r="K252" i="3"/>
  <c r="N252" i="3"/>
  <c r="H252" i="3"/>
  <c r="E252" i="3"/>
  <c r="T251" i="3"/>
  <c r="Q251" i="3"/>
  <c r="K251" i="3"/>
  <c r="N251" i="3"/>
  <c r="F251" i="3"/>
  <c r="E251" i="3"/>
  <c r="T250" i="3"/>
  <c r="Q250" i="3"/>
  <c r="I250" i="3"/>
  <c r="N250" i="3"/>
  <c r="F250" i="3"/>
  <c r="H250" i="3" s="1"/>
  <c r="E250" i="3"/>
  <c r="T249" i="3"/>
  <c r="Q249" i="3"/>
  <c r="K249" i="3"/>
  <c r="N249" i="3"/>
  <c r="H249" i="3"/>
  <c r="E249" i="3"/>
  <c r="T248" i="3"/>
  <c r="Q248" i="3"/>
  <c r="K248" i="3"/>
  <c r="N248" i="3"/>
  <c r="H248" i="3"/>
  <c r="E248" i="3"/>
  <c r="T247" i="3"/>
  <c r="Q247" i="3"/>
  <c r="K247" i="3"/>
  <c r="N247" i="3"/>
  <c r="F247" i="3"/>
  <c r="H247" i="3" s="1"/>
  <c r="C247" i="3"/>
  <c r="W246" i="3"/>
  <c r="T246" i="3"/>
  <c r="P246" i="3"/>
  <c r="M246" i="3"/>
  <c r="G246" i="3"/>
  <c r="D246" i="3"/>
  <c r="T245" i="3"/>
  <c r="Y245" i="3" s="1"/>
  <c r="P245" i="3"/>
  <c r="M245" i="3"/>
  <c r="G245" i="3"/>
  <c r="D245" i="3"/>
  <c r="W244" i="3"/>
  <c r="T244" i="3"/>
  <c r="P244" i="3"/>
  <c r="M244" i="3"/>
  <c r="G244" i="3"/>
  <c r="D244" i="3"/>
  <c r="W243" i="3"/>
  <c r="P243" i="3"/>
  <c r="K243" i="3"/>
  <c r="M243" i="3"/>
  <c r="G243" i="3"/>
  <c r="D243" i="3"/>
  <c r="W242" i="3"/>
  <c r="T242" i="3"/>
  <c r="P242" i="3"/>
  <c r="K242" i="3"/>
  <c r="M242" i="3"/>
  <c r="G242" i="3"/>
  <c r="D242" i="3"/>
  <c r="W241" i="3"/>
  <c r="T241" i="3"/>
  <c r="P241" i="3"/>
  <c r="K241" i="3"/>
  <c r="M241" i="3"/>
  <c r="G241" i="3"/>
  <c r="D241" i="3"/>
  <c r="W240" i="3"/>
  <c r="P240" i="3"/>
  <c r="K240" i="3"/>
  <c r="M240" i="3"/>
  <c r="G240" i="3"/>
  <c r="D240" i="3"/>
  <c r="M239" i="3"/>
  <c r="G239" i="3"/>
  <c r="D239" i="3"/>
  <c r="M238" i="3"/>
  <c r="G238" i="3"/>
  <c r="D238" i="3"/>
  <c r="K237" i="3"/>
  <c r="Y237" i="3" s="1"/>
  <c r="R235" i="3"/>
  <c r="O235" i="3"/>
  <c r="N235" i="3"/>
  <c r="E235" i="3"/>
  <c r="N234" i="3"/>
  <c r="Y234" i="3" s="1"/>
  <c r="M233" i="3"/>
  <c r="G233" i="3"/>
  <c r="D233" i="3"/>
  <c r="Q232" i="3"/>
  <c r="K232" i="3"/>
  <c r="M232" i="3"/>
  <c r="G232" i="3"/>
  <c r="D232" i="3"/>
  <c r="M231" i="3"/>
  <c r="G231" i="3"/>
  <c r="D231" i="3"/>
  <c r="K229" i="3"/>
  <c r="Y229" i="3" s="1"/>
  <c r="M229" i="3"/>
  <c r="G229" i="3"/>
  <c r="D229" i="3"/>
  <c r="Q228" i="3"/>
  <c r="I228" i="3"/>
  <c r="X228" i="3" s="1"/>
  <c r="N228" i="3"/>
  <c r="H228" i="3"/>
  <c r="E228" i="3"/>
  <c r="T227" i="3"/>
  <c r="Q227" i="3"/>
  <c r="N227" i="3"/>
  <c r="H227" i="3"/>
  <c r="E227" i="3"/>
  <c r="W226" i="3"/>
  <c r="T226" i="3"/>
  <c r="Q226" i="3"/>
  <c r="N226" i="3"/>
  <c r="H226" i="3"/>
  <c r="E226" i="3"/>
  <c r="W225" i="3"/>
  <c r="T225" i="3"/>
  <c r="Q225" i="3"/>
  <c r="N225" i="3"/>
  <c r="H225" i="3"/>
  <c r="E225" i="3"/>
  <c r="W224" i="3"/>
  <c r="Q224" i="3"/>
  <c r="K224" i="3"/>
  <c r="N224" i="3"/>
  <c r="H224" i="3"/>
  <c r="E224" i="3"/>
  <c r="W223" i="3"/>
  <c r="Q223" i="3"/>
  <c r="K223" i="3"/>
  <c r="N223" i="3"/>
  <c r="H223" i="3"/>
  <c r="E223" i="3"/>
  <c r="W222" i="3"/>
  <c r="T222" i="3"/>
  <c r="Q222" i="3"/>
  <c r="N222" i="3"/>
  <c r="H222" i="3"/>
  <c r="E222" i="3"/>
  <c r="N221" i="3"/>
  <c r="H221" i="3"/>
  <c r="E221" i="3"/>
  <c r="N220" i="3"/>
  <c r="H220" i="3"/>
  <c r="E220" i="3"/>
  <c r="N219" i="3"/>
  <c r="H219" i="3"/>
  <c r="E219" i="3"/>
  <c r="N218" i="3"/>
  <c r="H218" i="3"/>
  <c r="E218" i="3"/>
  <c r="T217" i="3"/>
  <c r="Q217" i="3"/>
  <c r="N217" i="3"/>
  <c r="N215" i="3"/>
  <c r="H215" i="3"/>
  <c r="E215" i="3"/>
  <c r="N214" i="3"/>
  <c r="H214" i="3"/>
  <c r="E214" i="3"/>
  <c r="N213" i="3"/>
  <c r="H213" i="3"/>
  <c r="N211" i="3"/>
  <c r="H211" i="3"/>
  <c r="E211" i="3"/>
  <c r="P210" i="3"/>
  <c r="K210" i="3"/>
  <c r="Y210" i="3" s="1"/>
  <c r="M210" i="3"/>
  <c r="G210" i="3"/>
  <c r="D210" i="3"/>
  <c r="P209" i="3"/>
  <c r="K209" i="3"/>
  <c r="Y209" i="3" s="1"/>
  <c r="M209" i="3"/>
  <c r="G209" i="3"/>
  <c r="D209" i="3"/>
  <c r="T208" i="3"/>
  <c r="P208" i="3"/>
  <c r="K208" i="3"/>
  <c r="M208" i="3"/>
  <c r="G208" i="3"/>
  <c r="D208" i="3"/>
  <c r="T207" i="3"/>
  <c r="P207" i="3"/>
  <c r="K207" i="3"/>
  <c r="M207" i="3"/>
  <c r="G207" i="3"/>
  <c r="D207" i="3"/>
  <c r="V206" i="3"/>
  <c r="T206" i="3"/>
  <c r="P206" i="3"/>
  <c r="K206" i="3"/>
  <c r="Y206" i="3" s="1"/>
  <c r="M206" i="3"/>
  <c r="G206" i="3"/>
  <c r="D206" i="3"/>
  <c r="T205" i="3"/>
  <c r="Q205" i="3"/>
  <c r="K205" i="3"/>
  <c r="M205" i="3"/>
  <c r="G205" i="3"/>
  <c r="D205" i="3"/>
  <c r="M204" i="3"/>
  <c r="G204" i="3"/>
  <c r="D204" i="3"/>
  <c r="T203" i="3"/>
  <c r="Y203" i="3" s="1"/>
  <c r="P203" i="3"/>
  <c r="K201" i="3"/>
  <c r="Y201" i="3" s="1"/>
  <c r="M201" i="3"/>
  <c r="G201" i="3"/>
  <c r="D201" i="3"/>
  <c r="P200" i="3"/>
  <c r="M200" i="3"/>
  <c r="G200" i="3"/>
  <c r="D200" i="3"/>
  <c r="M199" i="3"/>
  <c r="G199" i="3"/>
  <c r="D199" i="3"/>
  <c r="M197" i="3"/>
  <c r="G197" i="3"/>
  <c r="D197" i="3"/>
  <c r="W196" i="3"/>
  <c r="T196" i="3"/>
  <c r="Q196" i="3"/>
  <c r="K196" i="3"/>
  <c r="N196" i="3"/>
  <c r="H196" i="3"/>
  <c r="E196" i="3"/>
  <c r="W195" i="3"/>
  <c r="T195" i="3"/>
  <c r="Q195" i="3"/>
  <c r="K195" i="3"/>
  <c r="N195" i="3"/>
  <c r="H195" i="3"/>
  <c r="E195" i="3"/>
  <c r="W194" i="3"/>
  <c r="T194" i="3"/>
  <c r="Q194" i="3"/>
  <c r="K194" i="3"/>
  <c r="N194" i="3"/>
  <c r="H194" i="3"/>
  <c r="E194" i="3"/>
  <c r="W193" i="3"/>
  <c r="T193" i="3"/>
  <c r="Q193" i="3"/>
  <c r="K193" i="3"/>
  <c r="N193" i="3"/>
  <c r="H193" i="3"/>
  <c r="E193" i="3"/>
  <c r="W192" i="3"/>
  <c r="T192" i="3"/>
  <c r="Q192" i="3"/>
  <c r="K192" i="3"/>
  <c r="N192" i="3"/>
  <c r="H192" i="3"/>
  <c r="E192" i="3"/>
  <c r="W191" i="3"/>
  <c r="T191" i="3"/>
  <c r="Q191" i="3"/>
  <c r="K191" i="3"/>
  <c r="N191" i="3"/>
  <c r="H191" i="3"/>
  <c r="E191" i="3"/>
  <c r="W190" i="3"/>
  <c r="T190" i="3"/>
  <c r="Q190" i="3"/>
  <c r="K190" i="3"/>
  <c r="N190" i="3"/>
  <c r="H190" i="3"/>
  <c r="E190" i="3"/>
  <c r="W189" i="3"/>
  <c r="T189" i="3"/>
  <c r="Q189" i="3"/>
  <c r="K189" i="3"/>
  <c r="N189" i="3"/>
  <c r="H189" i="3"/>
  <c r="E189" i="3"/>
  <c r="W188" i="3"/>
  <c r="T188" i="3"/>
  <c r="Q188" i="3"/>
  <c r="K188" i="3"/>
  <c r="N188" i="3"/>
  <c r="H188" i="3"/>
  <c r="E188" i="3"/>
  <c r="W187" i="3"/>
  <c r="T187" i="3"/>
  <c r="Q187" i="3"/>
  <c r="K187" i="3"/>
  <c r="N187" i="3"/>
  <c r="H187" i="3"/>
  <c r="E187" i="3"/>
  <c r="W186" i="3"/>
  <c r="T186" i="3"/>
  <c r="Q186" i="3"/>
  <c r="K186" i="3"/>
  <c r="N186" i="3"/>
  <c r="H186" i="3"/>
  <c r="E186" i="3"/>
  <c r="W185" i="3"/>
  <c r="T185" i="3"/>
  <c r="Q185" i="3"/>
  <c r="K185" i="3"/>
  <c r="N185" i="3"/>
  <c r="H185" i="3"/>
  <c r="E185" i="3"/>
  <c r="W184" i="3"/>
  <c r="T184" i="3"/>
  <c r="Q184" i="3"/>
  <c r="K184" i="3"/>
  <c r="N184" i="3"/>
  <c r="H184" i="3"/>
  <c r="E184" i="3"/>
  <c r="W183" i="3"/>
  <c r="T183" i="3"/>
  <c r="Q183" i="3"/>
  <c r="K183" i="3"/>
  <c r="N183" i="3"/>
  <c r="H183" i="3"/>
  <c r="E183" i="3"/>
  <c r="W182" i="3"/>
  <c r="T182" i="3"/>
  <c r="Q182" i="3"/>
  <c r="K182" i="3"/>
  <c r="N182" i="3"/>
  <c r="H182" i="3"/>
  <c r="E182" i="3"/>
  <c r="W181" i="3"/>
  <c r="T181" i="3"/>
  <c r="Q181" i="3"/>
  <c r="K181" i="3"/>
  <c r="N181" i="3"/>
  <c r="H181" i="3"/>
  <c r="E181" i="3"/>
  <c r="W180" i="3"/>
  <c r="T180" i="3"/>
  <c r="Q180" i="3"/>
  <c r="K180" i="3"/>
  <c r="N180" i="3"/>
  <c r="H180" i="3"/>
  <c r="E180" i="3"/>
  <c r="W179" i="3"/>
  <c r="T179" i="3"/>
  <c r="Q179" i="3"/>
  <c r="K179" i="3"/>
  <c r="N179" i="3"/>
  <c r="H179" i="3"/>
  <c r="E179" i="3"/>
  <c r="W178" i="3"/>
  <c r="T178" i="3"/>
  <c r="Q178" i="3"/>
  <c r="K178" i="3"/>
  <c r="N178" i="3"/>
  <c r="H178" i="3"/>
  <c r="E178" i="3"/>
  <c r="W177" i="3"/>
  <c r="T177" i="3"/>
  <c r="Q177" i="3"/>
  <c r="K177" i="3"/>
  <c r="N177" i="3"/>
  <c r="H177" i="3"/>
  <c r="E177" i="3"/>
  <c r="W176" i="3"/>
  <c r="T176" i="3"/>
  <c r="Q176" i="3"/>
  <c r="K176" i="3"/>
  <c r="N176" i="3"/>
  <c r="H176" i="3"/>
  <c r="E176" i="3"/>
  <c r="W175" i="3"/>
  <c r="T175" i="3"/>
  <c r="Q175" i="3"/>
  <c r="K175" i="3"/>
  <c r="N175" i="3"/>
  <c r="H175" i="3"/>
  <c r="E175" i="3"/>
  <c r="W174" i="3"/>
  <c r="T174" i="3"/>
  <c r="Q174" i="3"/>
  <c r="K174" i="3"/>
  <c r="N174" i="3"/>
  <c r="H174" i="3"/>
  <c r="E174" i="3"/>
  <c r="W173" i="3"/>
  <c r="T173" i="3"/>
  <c r="Q173" i="3"/>
  <c r="K173" i="3"/>
  <c r="N173" i="3"/>
  <c r="H173" i="3"/>
  <c r="E173" i="3"/>
  <c r="W172" i="3"/>
  <c r="T172" i="3"/>
  <c r="Q172" i="3"/>
  <c r="K172" i="3"/>
  <c r="N172" i="3"/>
  <c r="H172" i="3"/>
  <c r="E172" i="3"/>
  <c r="W171" i="3"/>
  <c r="T171" i="3"/>
  <c r="Q171" i="3"/>
  <c r="K171" i="3"/>
  <c r="N171" i="3"/>
  <c r="H171" i="3"/>
  <c r="E171" i="3"/>
  <c r="W170" i="3"/>
  <c r="T170" i="3"/>
  <c r="Q170" i="3"/>
  <c r="K170" i="3"/>
  <c r="N170" i="3"/>
  <c r="H170" i="3"/>
  <c r="E170" i="3"/>
  <c r="W169" i="3"/>
  <c r="T169" i="3"/>
  <c r="Q169" i="3"/>
  <c r="K169" i="3"/>
  <c r="N169" i="3"/>
  <c r="H169" i="3"/>
  <c r="E169" i="3"/>
  <c r="Q168" i="3"/>
  <c r="H168" i="3"/>
  <c r="E168" i="3"/>
  <c r="Q167" i="3"/>
  <c r="H167" i="3"/>
  <c r="E167" i="3"/>
  <c r="Q166" i="3"/>
  <c r="H166" i="3"/>
  <c r="E166" i="3"/>
  <c r="T165" i="3"/>
  <c r="W165" i="3"/>
  <c r="Q165" i="3"/>
  <c r="N165" i="3"/>
  <c r="H165" i="3"/>
  <c r="E165" i="3"/>
  <c r="W164" i="3"/>
  <c r="Q164" i="3"/>
  <c r="H164" i="3"/>
  <c r="E164" i="3"/>
  <c r="Q163" i="3"/>
  <c r="N163" i="3"/>
  <c r="H163" i="3"/>
  <c r="E163" i="3"/>
  <c r="H162" i="3"/>
  <c r="E162" i="3"/>
  <c r="Q161" i="3"/>
  <c r="Y161" i="3" s="1"/>
  <c r="Q159" i="3"/>
  <c r="H159" i="3"/>
  <c r="E159" i="3"/>
  <c r="Q158" i="3"/>
  <c r="N158" i="3"/>
  <c r="H158" i="3"/>
  <c r="E158" i="3"/>
  <c r="E157" i="3"/>
  <c r="Y157" i="3" s="1"/>
  <c r="N155" i="3"/>
  <c r="H155" i="3"/>
  <c r="E155" i="3"/>
  <c r="T154" i="3"/>
  <c r="W154" i="3"/>
  <c r="Q154" i="3"/>
  <c r="N154" i="3"/>
  <c r="K154" i="3"/>
  <c r="H154" i="3"/>
  <c r="E154" i="3"/>
  <c r="T153" i="3"/>
  <c r="W153" i="3"/>
  <c r="Q153" i="3"/>
  <c r="N153" i="3"/>
  <c r="K153" i="3"/>
  <c r="H153" i="3"/>
  <c r="E153" i="3"/>
  <c r="T152" i="3"/>
  <c r="W152" i="3"/>
  <c r="Q152" i="3"/>
  <c r="N152" i="3"/>
  <c r="K152" i="3"/>
  <c r="H152" i="3"/>
  <c r="E152" i="3"/>
  <c r="T151" i="3"/>
  <c r="W151" i="3"/>
  <c r="Q151" i="3"/>
  <c r="N151" i="3"/>
  <c r="K151" i="3"/>
  <c r="H151" i="3"/>
  <c r="E151" i="3"/>
  <c r="T150" i="3"/>
  <c r="W150" i="3"/>
  <c r="Q150" i="3"/>
  <c r="N150" i="3"/>
  <c r="K150" i="3"/>
  <c r="H150" i="3"/>
  <c r="E150" i="3"/>
  <c r="T149" i="3"/>
  <c r="W149" i="3"/>
  <c r="Q149" i="3"/>
  <c r="N149" i="3"/>
  <c r="K149" i="3"/>
  <c r="H149" i="3"/>
  <c r="E149" i="3"/>
  <c r="T148" i="3"/>
  <c r="W148" i="3"/>
  <c r="Q148" i="3"/>
  <c r="N148" i="3"/>
  <c r="K148" i="3"/>
  <c r="H148" i="3"/>
  <c r="E148" i="3"/>
  <c r="T147" i="3"/>
  <c r="W147" i="3"/>
  <c r="Q147" i="3"/>
  <c r="N147" i="3"/>
  <c r="K147" i="3"/>
  <c r="H147" i="3"/>
  <c r="E147" i="3"/>
  <c r="T146" i="3"/>
  <c r="W146" i="3"/>
  <c r="Q146" i="3"/>
  <c r="N146" i="3"/>
  <c r="K146" i="3"/>
  <c r="H146" i="3"/>
  <c r="E146" i="3"/>
  <c r="T145" i="3"/>
  <c r="W145" i="3"/>
  <c r="Q145" i="3"/>
  <c r="N145" i="3"/>
  <c r="K145" i="3"/>
  <c r="H145" i="3"/>
  <c r="E145" i="3"/>
  <c r="T144" i="3"/>
  <c r="W144" i="3"/>
  <c r="Q144" i="3"/>
  <c r="N144" i="3"/>
  <c r="K144" i="3"/>
  <c r="H144" i="3"/>
  <c r="E144" i="3"/>
  <c r="T143" i="3"/>
  <c r="W143" i="3"/>
  <c r="Q143" i="3"/>
  <c r="N143" i="3"/>
  <c r="K143" i="3"/>
  <c r="H143" i="3"/>
  <c r="E143" i="3"/>
  <c r="T142" i="3"/>
  <c r="W142" i="3"/>
  <c r="Q142" i="3"/>
  <c r="N142" i="3"/>
  <c r="K142" i="3"/>
  <c r="H142" i="3"/>
  <c r="E142" i="3"/>
  <c r="T141" i="3"/>
  <c r="W141" i="3"/>
  <c r="Q141" i="3"/>
  <c r="N141" i="3"/>
  <c r="K141" i="3"/>
  <c r="H141" i="3"/>
  <c r="E141" i="3"/>
  <c r="Y208" i="3" l="1"/>
  <c r="Y244" i="3"/>
  <c r="X333" i="3"/>
  <c r="Y142" i="3"/>
  <c r="Y146" i="3"/>
  <c r="Y154" i="3"/>
  <c r="Y169" i="3"/>
  <c r="Y177" i="3"/>
  <c r="Y181" i="3"/>
  <c r="Y185" i="3"/>
  <c r="Y189" i="3"/>
  <c r="Y193" i="3"/>
  <c r="Y218" i="3"/>
  <c r="Y222" i="3"/>
  <c r="Y224" i="3"/>
  <c r="Y226" i="3"/>
  <c r="Y235" i="3"/>
  <c r="Y241" i="3"/>
  <c r="Y246" i="3"/>
  <c r="X260" i="3"/>
  <c r="Y284" i="3"/>
  <c r="Y288" i="3"/>
  <c r="Y292" i="3"/>
  <c r="Y296" i="3"/>
  <c r="Y300" i="3"/>
  <c r="Y304" i="3"/>
  <c r="Y308" i="3"/>
  <c r="Y316" i="3"/>
  <c r="Y320" i="3"/>
  <c r="Y232" i="3"/>
  <c r="Y168" i="3"/>
  <c r="Y213" i="3"/>
  <c r="Y217" i="3"/>
  <c r="Y221" i="3"/>
  <c r="X321" i="3"/>
  <c r="X336" i="3"/>
  <c r="Y150" i="3"/>
  <c r="Y173" i="3"/>
  <c r="X264" i="3"/>
  <c r="Y264" i="3"/>
  <c r="Y149" i="3"/>
  <c r="Y164" i="3"/>
  <c r="Y172" i="3"/>
  <c r="X248" i="3"/>
  <c r="Y248" i="3"/>
  <c r="X252" i="3"/>
  <c r="Y252" i="3"/>
  <c r="Y287" i="3"/>
  <c r="Y291" i="3"/>
  <c r="Y295" i="3"/>
  <c r="Y299" i="3"/>
  <c r="Y307" i="3"/>
  <c r="Y148" i="3"/>
  <c r="Y152" i="3"/>
  <c r="Y167" i="3"/>
  <c r="Y171" i="3"/>
  <c r="Y175" i="3"/>
  <c r="Y179" i="3"/>
  <c r="Y183" i="3"/>
  <c r="Y187" i="3"/>
  <c r="Y191" i="3"/>
  <c r="Y195" i="3"/>
  <c r="Y205" i="3"/>
  <c r="Y211" i="3"/>
  <c r="Y215" i="3"/>
  <c r="Y220" i="3"/>
  <c r="Y223" i="3"/>
  <c r="Y225" i="3"/>
  <c r="Y227" i="3"/>
  <c r="Y240" i="3"/>
  <c r="Y243" i="3"/>
  <c r="X259" i="3"/>
  <c r="Y286" i="3"/>
  <c r="Y290" i="3"/>
  <c r="Y294" i="3"/>
  <c r="Y298" i="3"/>
  <c r="Y302" i="3"/>
  <c r="Y306" i="3"/>
  <c r="Y310" i="3"/>
  <c r="Y314" i="3"/>
  <c r="Y318" i="3"/>
  <c r="H323" i="3"/>
  <c r="Y323" i="3" s="1"/>
  <c r="X323" i="3"/>
  <c r="Y325" i="3"/>
  <c r="Y329" i="3"/>
  <c r="X332" i="3"/>
  <c r="Y324" i="3"/>
  <c r="Y326" i="3"/>
  <c r="Y328" i="3"/>
  <c r="H334" i="3"/>
  <c r="X334" i="3"/>
  <c r="Y141" i="3"/>
  <c r="Y145" i="3"/>
  <c r="Y153" i="3"/>
  <c r="Y163" i="3"/>
  <c r="Y165" i="3"/>
  <c r="Y176" i="3"/>
  <c r="Y180" i="3"/>
  <c r="Y184" i="3"/>
  <c r="Y188" i="3"/>
  <c r="Y192" i="3"/>
  <c r="Y196" i="3"/>
  <c r="X254" i="3"/>
  <c r="Y254" i="3"/>
  <c r="X256" i="3"/>
  <c r="Y256" i="3"/>
  <c r="X258" i="3"/>
  <c r="Y258" i="3"/>
  <c r="X262" i="3"/>
  <c r="Y262" i="3"/>
  <c r="Y283" i="3"/>
  <c r="Y303" i="3"/>
  <c r="Y311" i="3"/>
  <c r="Y315" i="3"/>
  <c r="X327" i="3"/>
  <c r="Y144" i="3"/>
  <c r="Y143" i="3"/>
  <c r="Y147" i="3"/>
  <c r="Y151" i="3"/>
  <c r="Y155" i="3"/>
  <c r="Y158" i="3"/>
  <c r="Y159" i="3"/>
  <c r="Y162" i="3"/>
  <c r="Y166" i="3"/>
  <c r="Y170" i="3"/>
  <c r="Y174" i="3"/>
  <c r="Y178" i="3"/>
  <c r="Y182" i="3"/>
  <c r="Y186" i="3"/>
  <c r="Y190" i="3"/>
  <c r="Y194" i="3"/>
  <c r="Y207" i="3"/>
  <c r="Y214" i="3"/>
  <c r="Y219" i="3"/>
  <c r="X235" i="3"/>
  <c r="Y242" i="3"/>
  <c r="X247" i="3"/>
  <c r="X249" i="3"/>
  <c r="Y249" i="3"/>
  <c r="K250" i="3"/>
  <c r="Y250" i="3" s="1"/>
  <c r="X250" i="3"/>
  <c r="X251" i="3"/>
  <c r="T253" i="3"/>
  <c r="Y253" i="3" s="1"/>
  <c r="X255" i="3"/>
  <c r="Y255" i="3"/>
  <c r="X257" i="3"/>
  <c r="X261" i="3"/>
  <c r="Y261" i="3"/>
  <c r="X263" i="3"/>
  <c r="Y263" i="3"/>
  <c r="Y285" i="3"/>
  <c r="Y289" i="3"/>
  <c r="Y293" i="3"/>
  <c r="Y297" i="3"/>
  <c r="Y305" i="3"/>
  <c r="Y309" i="3"/>
  <c r="Y313" i="3"/>
  <c r="Y317" i="3"/>
  <c r="X319" i="3"/>
  <c r="X330" i="3"/>
  <c r="H331" i="3"/>
  <c r="X331" i="3"/>
  <c r="H335" i="3"/>
  <c r="Y335" i="3" s="1"/>
  <c r="X335" i="3"/>
  <c r="E336" i="3"/>
  <c r="H332" i="3"/>
  <c r="Y332" i="3" s="1"/>
  <c r="K228" i="3"/>
  <c r="Y228" i="3" s="1"/>
  <c r="N330" i="3"/>
  <c r="H333" i="3"/>
  <c r="Y333" i="3" s="1"/>
  <c r="E330" i="3"/>
  <c r="E247" i="3"/>
  <c r="Y247" i="3" s="1"/>
  <c r="N319" i="3"/>
  <c r="Y319" i="3" s="1"/>
  <c r="E327" i="3"/>
  <c r="Y327" i="3" s="1"/>
  <c r="T334" i="3"/>
  <c r="Q321" i="3"/>
  <c r="Y321" i="3" s="1"/>
  <c r="H330" i="3"/>
  <c r="K330" i="3"/>
  <c r="N301" i="3"/>
  <c r="Y301" i="3" s="1"/>
  <c r="H322" i="3"/>
  <c r="Y322" i="3" s="1"/>
  <c r="Q331" i="3"/>
  <c r="Q336" i="3"/>
  <c r="Y336" i="3" s="1"/>
  <c r="H251" i="3"/>
  <c r="Y251" i="3" s="1"/>
  <c r="E257" i="3"/>
  <c r="Y257" i="3" s="1"/>
  <c r="E259" i="3"/>
  <c r="N259" i="3"/>
  <c r="Q259" i="3"/>
  <c r="Q260" i="3"/>
  <c r="Y260" i="3" s="1"/>
  <c r="U1043" i="1"/>
  <c r="R1043" i="1"/>
  <c r="O1043" i="1"/>
  <c r="L1043" i="1"/>
  <c r="I1043" i="1"/>
  <c r="F1043" i="1"/>
  <c r="C1043" i="1"/>
  <c r="V1042" i="1"/>
  <c r="S1042" i="1"/>
  <c r="N1042" i="1"/>
  <c r="P1042" i="1" s="1"/>
  <c r="M1042" i="1"/>
  <c r="H1042" i="1"/>
  <c r="J1042" i="1" s="1"/>
  <c r="E1042" i="1"/>
  <c r="G1042" i="1" s="1"/>
  <c r="B1042" i="1"/>
  <c r="D1042" i="1" s="1"/>
  <c r="T1041" i="1"/>
  <c r="T1043" i="1" s="1"/>
  <c r="S1041" i="1"/>
  <c r="P1041" i="1"/>
  <c r="K1041" i="1"/>
  <c r="M1041" i="1" s="1"/>
  <c r="H1041" i="1"/>
  <c r="J1041" i="1" s="1"/>
  <c r="E1041" i="1"/>
  <c r="D1041" i="1"/>
  <c r="V1040" i="1"/>
  <c r="Q1040" i="1"/>
  <c r="Q1043" i="1" s="1"/>
  <c r="P1040" i="1"/>
  <c r="M1040" i="1"/>
  <c r="J1040" i="1"/>
  <c r="E1040" i="1"/>
  <c r="G1040" i="1" s="1"/>
  <c r="D1040" i="1"/>
  <c r="V1039" i="1"/>
  <c r="S1039" i="1"/>
  <c r="P1039" i="1"/>
  <c r="M1039" i="1"/>
  <c r="H1039" i="1"/>
  <c r="J1039" i="1" s="1"/>
  <c r="E1039" i="1"/>
  <c r="W1039" i="1" s="1"/>
  <c r="D1039" i="1"/>
  <c r="V1038" i="1"/>
  <c r="S1038" i="1"/>
  <c r="N1038" i="1"/>
  <c r="P1038" i="1" s="1"/>
  <c r="M1038" i="1"/>
  <c r="H1038" i="1"/>
  <c r="E1038" i="1"/>
  <c r="G1038" i="1" s="1"/>
  <c r="D1038" i="1"/>
  <c r="V1037" i="1"/>
  <c r="S1037" i="1"/>
  <c r="N1037" i="1"/>
  <c r="M1037" i="1"/>
  <c r="H1037" i="1"/>
  <c r="E1037" i="1"/>
  <c r="G1037" i="1" s="1"/>
  <c r="D1037" i="1"/>
  <c r="V1036" i="1"/>
  <c r="S1036" i="1"/>
  <c r="P1036" i="1"/>
  <c r="K1036" i="1"/>
  <c r="H1036" i="1"/>
  <c r="E1036" i="1"/>
  <c r="G1036" i="1" s="1"/>
  <c r="B1036" i="1"/>
  <c r="V1035" i="1"/>
  <c r="U1035" i="1"/>
  <c r="T1035" i="1"/>
  <c r="R1035" i="1"/>
  <c r="O1035" i="1"/>
  <c r="L1035" i="1"/>
  <c r="I1035" i="1"/>
  <c r="F1035" i="1"/>
  <c r="C1035" i="1"/>
  <c r="W1034" i="1"/>
  <c r="S1034" i="1"/>
  <c r="P1034" i="1"/>
  <c r="M1034" i="1"/>
  <c r="J1034" i="1"/>
  <c r="G1034" i="1"/>
  <c r="D1034" i="1"/>
  <c r="W1033" i="1"/>
  <c r="S1033" i="1"/>
  <c r="P1033" i="1"/>
  <c r="M1033" i="1"/>
  <c r="J1033" i="1"/>
  <c r="G1033" i="1"/>
  <c r="D1033" i="1"/>
  <c r="S1032" i="1"/>
  <c r="N1032" i="1"/>
  <c r="K1032" i="1"/>
  <c r="M1032" i="1" s="1"/>
  <c r="J1032" i="1"/>
  <c r="G1032" i="1"/>
  <c r="B1032" i="1"/>
  <c r="B1035" i="1" s="1"/>
  <c r="W1031" i="1"/>
  <c r="S1031" i="1"/>
  <c r="P1031" i="1"/>
  <c r="M1031" i="1"/>
  <c r="J1031" i="1"/>
  <c r="G1031" i="1"/>
  <c r="D1031" i="1"/>
  <c r="W1030" i="1"/>
  <c r="S1030" i="1"/>
  <c r="P1030" i="1"/>
  <c r="M1030" i="1"/>
  <c r="J1030" i="1"/>
  <c r="G1030" i="1"/>
  <c r="D1030" i="1"/>
  <c r="W1029" i="1"/>
  <c r="S1029" i="1"/>
  <c r="P1029" i="1"/>
  <c r="M1029" i="1"/>
  <c r="J1029" i="1"/>
  <c r="G1029" i="1"/>
  <c r="D1029" i="1"/>
  <c r="Q1028" i="1"/>
  <c r="S1028" i="1" s="1"/>
  <c r="P1028" i="1"/>
  <c r="M1028" i="1"/>
  <c r="J1028" i="1"/>
  <c r="E1028" i="1"/>
  <c r="G1028" i="1" s="1"/>
  <c r="D1028" i="1"/>
  <c r="Q1027" i="1"/>
  <c r="P1027" i="1"/>
  <c r="M1027" i="1"/>
  <c r="J1027" i="1"/>
  <c r="E1027" i="1"/>
  <c r="G1027" i="1" s="1"/>
  <c r="D1027" i="1"/>
  <c r="Q1026" i="1"/>
  <c r="S1026" i="1" s="1"/>
  <c r="N1026" i="1"/>
  <c r="M1026" i="1"/>
  <c r="J1026" i="1"/>
  <c r="G1026" i="1"/>
  <c r="D1026" i="1"/>
  <c r="W1025" i="1"/>
  <c r="S1025" i="1"/>
  <c r="P1025" i="1"/>
  <c r="M1025" i="1"/>
  <c r="J1025" i="1"/>
  <c r="G1025" i="1"/>
  <c r="D1025" i="1"/>
  <c r="S1024" i="1"/>
  <c r="P1024" i="1"/>
  <c r="K1024" i="1"/>
  <c r="M1024" i="1" s="1"/>
  <c r="H1024" i="1"/>
  <c r="J1024" i="1" s="1"/>
  <c r="G1024" i="1"/>
  <c r="D1024" i="1"/>
  <c r="E1016" i="1"/>
  <c r="C1016" i="1"/>
  <c r="B1016" i="1"/>
  <c r="W1015" i="1"/>
  <c r="P1015" i="1"/>
  <c r="M1015" i="1"/>
  <c r="J1015" i="1"/>
  <c r="G1015" i="1"/>
  <c r="D1015" i="1"/>
  <c r="W1014" i="1"/>
  <c r="M1014" i="1"/>
  <c r="J1014" i="1"/>
  <c r="G1014" i="1"/>
  <c r="D1014" i="1"/>
  <c r="W1013" i="1"/>
  <c r="M1013" i="1"/>
  <c r="J1013" i="1"/>
  <c r="G1013" i="1"/>
  <c r="D1013" i="1"/>
  <c r="W1012" i="1"/>
  <c r="P1012" i="1"/>
  <c r="M1012" i="1"/>
  <c r="J1012" i="1"/>
  <c r="G1012" i="1"/>
  <c r="D1012" i="1"/>
  <c r="W1011" i="1"/>
  <c r="P1011" i="1"/>
  <c r="M1011" i="1"/>
  <c r="J1011" i="1"/>
  <c r="G1011" i="1"/>
  <c r="D1011" i="1"/>
  <c r="W1010" i="1"/>
  <c r="P1010" i="1"/>
  <c r="M1010" i="1"/>
  <c r="J1010" i="1"/>
  <c r="G1010" i="1"/>
  <c r="D1010" i="1"/>
  <c r="W1009" i="1"/>
  <c r="P1009" i="1"/>
  <c r="M1009" i="1"/>
  <c r="J1009" i="1"/>
  <c r="G1009" i="1"/>
  <c r="D1009" i="1"/>
  <c r="R1008" i="1"/>
  <c r="R1017" i="1" s="1"/>
  <c r="Q1008" i="1"/>
  <c r="Q1017" i="1" s="1"/>
  <c r="O1008" i="1"/>
  <c r="O1017" i="1" s="1"/>
  <c r="N1008" i="1"/>
  <c r="N1017" i="1" s="1"/>
  <c r="L1008" i="1"/>
  <c r="L1017" i="1" s="1"/>
  <c r="K1008" i="1"/>
  <c r="K1017" i="1" s="1"/>
  <c r="I1008" i="1"/>
  <c r="I1017" i="1" s="1"/>
  <c r="H1008" i="1"/>
  <c r="H1017" i="1" s="1"/>
  <c r="F1008" i="1"/>
  <c r="F1017" i="1" s="1"/>
  <c r="E1008" i="1"/>
  <c r="E1017" i="1" s="1"/>
  <c r="C1008" i="1"/>
  <c r="B1008" i="1"/>
  <c r="B1017" i="1" s="1"/>
  <c r="W1007" i="1"/>
  <c r="P1007" i="1"/>
  <c r="G1007" i="1"/>
  <c r="D1007" i="1"/>
  <c r="W1006" i="1"/>
  <c r="P1006" i="1"/>
  <c r="M1006" i="1"/>
  <c r="J1006" i="1"/>
  <c r="G1006" i="1"/>
  <c r="D1006" i="1"/>
  <c r="W1005" i="1"/>
  <c r="P1005" i="1"/>
  <c r="M1005" i="1"/>
  <c r="J1005" i="1"/>
  <c r="G1005" i="1"/>
  <c r="D1005" i="1"/>
  <c r="W1004" i="1"/>
  <c r="P1004" i="1"/>
  <c r="M1004" i="1"/>
  <c r="J1004" i="1"/>
  <c r="G1004" i="1"/>
  <c r="D1004" i="1"/>
  <c r="W1003" i="1"/>
  <c r="S1003" i="1"/>
  <c r="S1008" i="1" s="1"/>
  <c r="P1003" i="1"/>
  <c r="M1003" i="1"/>
  <c r="J1003" i="1"/>
  <c r="G1003" i="1"/>
  <c r="D1003" i="1"/>
  <c r="W1002" i="1"/>
  <c r="J1002" i="1"/>
  <c r="D1002" i="1"/>
  <c r="W1001" i="1"/>
  <c r="P1001" i="1"/>
  <c r="M1001" i="1"/>
  <c r="J1001" i="1"/>
  <c r="G1001" i="1"/>
  <c r="D1001" i="1"/>
  <c r="W1000" i="1"/>
  <c r="P1000" i="1"/>
  <c r="M1000" i="1"/>
  <c r="J1000" i="1"/>
  <c r="G1000" i="1"/>
  <c r="D1000" i="1"/>
  <c r="W999" i="1"/>
  <c r="P999" i="1"/>
  <c r="M999" i="1"/>
  <c r="J999" i="1"/>
  <c r="G999" i="1"/>
  <c r="D999" i="1"/>
  <c r="W998" i="1"/>
  <c r="P998" i="1"/>
  <c r="M998" i="1"/>
  <c r="J998" i="1"/>
  <c r="G998" i="1"/>
  <c r="D998" i="1"/>
  <c r="W997" i="1"/>
  <c r="P997" i="1"/>
  <c r="M997" i="1"/>
  <c r="J997" i="1"/>
  <c r="G997" i="1"/>
  <c r="D997" i="1"/>
  <c r="Y259" i="3" l="1"/>
  <c r="Y331" i="3"/>
  <c r="K1043" i="1"/>
  <c r="Y334" i="3"/>
  <c r="Y330" i="3"/>
  <c r="X253" i="3"/>
  <c r="D1016" i="1"/>
  <c r="H1043" i="1"/>
  <c r="C1044" i="1"/>
  <c r="N1043" i="1"/>
  <c r="W1041" i="1"/>
  <c r="O1044" i="1"/>
  <c r="G1035" i="1"/>
  <c r="W1036" i="1"/>
  <c r="P1037" i="1"/>
  <c r="S1040" i="1"/>
  <c r="X1040" i="1" s="1"/>
  <c r="G1041" i="1"/>
  <c r="V1041" i="1"/>
  <c r="F1044" i="1"/>
  <c r="D1008" i="1"/>
  <c r="D1017" i="1" s="1"/>
  <c r="W1024" i="1"/>
  <c r="J1035" i="1"/>
  <c r="W1026" i="1"/>
  <c r="L1044" i="1"/>
  <c r="X997" i="1"/>
  <c r="J1008" i="1"/>
  <c r="J1017" i="1" s="1"/>
  <c r="X1000" i="1"/>
  <c r="X1001" i="1"/>
  <c r="X1004" i="1"/>
  <c r="X1006" i="1"/>
  <c r="W1017" i="1"/>
  <c r="X1009" i="1"/>
  <c r="X1010" i="1"/>
  <c r="X1011" i="1"/>
  <c r="X1015" i="1"/>
  <c r="W1016" i="1"/>
  <c r="X1025" i="1"/>
  <c r="Q1035" i="1"/>
  <c r="Q1044" i="1" s="1"/>
  <c r="X1029" i="1"/>
  <c r="X1031" i="1"/>
  <c r="W1032" i="1"/>
  <c r="X1034" i="1"/>
  <c r="N1035" i="1"/>
  <c r="P1043" i="1"/>
  <c r="W1037" i="1"/>
  <c r="W1038" i="1"/>
  <c r="X1042" i="1"/>
  <c r="B1043" i="1"/>
  <c r="B1044" i="1" s="1"/>
  <c r="R1044" i="1"/>
  <c r="G1008" i="1"/>
  <c r="M1008" i="1"/>
  <c r="M1017" i="1" s="1"/>
  <c r="X1002" i="1"/>
  <c r="X1005" i="1"/>
  <c r="X1007" i="1"/>
  <c r="G1016" i="1"/>
  <c r="X1012" i="1"/>
  <c r="X1013" i="1"/>
  <c r="X1014" i="1"/>
  <c r="C1017" i="1"/>
  <c r="K1035" i="1"/>
  <c r="K1044" i="1" s="1"/>
  <c r="P1026" i="1"/>
  <c r="X1026" i="1" s="1"/>
  <c r="W1027" i="1"/>
  <c r="S1027" i="1"/>
  <c r="X1027" i="1" s="1"/>
  <c r="M1035" i="1"/>
  <c r="X1030" i="1"/>
  <c r="D1032" i="1"/>
  <c r="D1035" i="1" s="1"/>
  <c r="P1032" i="1"/>
  <c r="X1033" i="1"/>
  <c r="D1036" i="1"/>
  <c r="D1043" i="1" s="1"/>
  <c r="J1036" i="1"/>
  <c r="M1036" i="1"/>
  <c r="S1043" i="1"/>
  <c r="J1037" i="1"/>
  <c r="X1037" i="1" s="1"/>
  <c r="J1038" i="1"/>
  <c r="X1038" i="1" s="1"/>
  <c r="G1039" i="1"/>
  <c r="X1039" i="1" s="1"/>
  <c r="M1043" i="1"/>
  <c r="T1044" i="1"/>
  <c r="W1042" i="1"/>
  <c r="I1044" i="1"/>
  <c r="U1044" i="1"/>
  <c r="S1017" i="1"/>
  <c r="X1028" i="1"/>
  <c r="X998" i="1"/>
  <c r="P1016" i="1"/>
  <c r="R1019" i="1"/>
  <c r="W1040" i="1"/>
  <c r="X999" i="1"/>
  <c r="P1019" i="1"/>
  <c r="W1028" i="1"/>
  <c r="E1035" i="1"/>
  <c r="E1043" i="1"/>
  <c r="P1008" i="1"/>
  <c r="W1008" i="1"/>
  <c r="X1024" i="1"/>
  <c r="H1035" i="1"/>
  <c r="H1044" i="1" s="1"/>
  <c r="X1003" i="1"/>
  <c r="X1041" i="1" l="1"/>
  <c r="G1043" i="1"/>
  <c r="G1044" i="1" s="1"/>
  <c r="M1044" i="1"/>
  <c r="X1008" i="1"/>
  <c r="N1044" i="1"/>
  <c r="X1016" i="1"/>
  <c r="V1043" i="1"/>
  <c r="V1044" i="1" s="1"/>
  <c r="J1043" i="1"/>
  <c r="J1044" i="1" s="1"/>
  <c r="G1017" i="1"/>
  <c r="X1036" i="1"/>
  <c r="X1043" i="1" s="1"/>
  <c r="W1035" i="1"/>
  <c r="W1043" i="1"/>
  <c r="D1044" i="1"/>
  <c r="X1032" i="1"/>
  <c r="X1035" i="1" s="1"/>
  <c r="X1044" i="1" s="1"/>
  <c r="P1035" i="1"/>
  <c r="P1044" i="1" s="1"/>
  <c r="S1035" i="1"/>
  <c r="S1044" i="1" s="1"/>
  <c r="E1044" i="1"/>
  <c r="P1017" i="1"/>
  <c r="X1017" i="1" l="1"/>
  <c r="W1044" i="1"/>
  <c r="AR755" i="1"/>
  <c r="AP755" i="1"/>
  <c r="AO755" i="1"/>
  <c r="AN755" i="1"/>
  <c r="AC749" i="1"/>
  <c r="AD749" i="1"/>
  <c r="AF749" i="1"/>
  <c r="AG749" i="1"/>
  <c r="AI749" i="1"/>
  <c r="AJ749" i="1"/>
  <c r="AL749" i="1"/>
  <c r="AM749" i="1"/>
  <c r="AO749" i="1"/>
  <c r="AP749" i="1"/>
  <c r="AR749" i="1"/>
  <c r="AS749" i="1"/>
  <c r="AT749" i="1"/>
  <c r="AA749" i="1"/>
  <c r="AC738" i="1"/>
  <c r="AN756" i="1" s="1"/>
  <c r="AD738" i="1"/>
  <c r="AF738" i="1"/>
  <c r="AO756" i="1" s="1"/>
  <c r="AG738" i="1"/>
  <c r="AI738" i="1"/>
  <c r="AP756" i="1" s="1"/>
  <c r="AJ738" i="1"/>
  <c r="AL738" i="1"/>
  <c r="AQ756" i="1" s="1"/>
  <c r="AM738" i="1"/>
  <c r="AO738" i="1"/>
  <c r="AR756" i="1" s="1"/>
  <c r="AP738" i="1"/>
  <c r="AR738" i="1"/>
  <c r="AS755" i="1" s="1"/>
  <c r="AS738" i="1"/>
  <c r="AT738" i="1"/>
  <c r="AT756" i="1" s="1"/>
  <c r="AA738" i="1"/>
  <c r="AT755" i="1" l="1"/>
  <c r="AS756" i="1"/>
  <c r="T984" i="1"/>
  <c r="Q984" i="1"/>
  <c r="N984" i="1"/>
  <c r="K984" i="1"/>
  <c r="H984" i="1"/>
  <c r="E984" i="1"/>
  <c r="B984" i="1"/>
  <c r="W983" i="1"/>
  <c r="V983" i="1"/>
  <c r="S983" i="1"/>
  <c r="P983" i="1"/>
  <c r="M983" i="1"/>
  <c r="J983" i="1"/>
  <c r="G983" i="1"/>
  <c r="D983" i="1"/>
  <c r="W982" i="1"/>
  <c r="V982" i="1"/>
  <c r="S982" i="1"/>
  <c r="P982" i="1"/>
  <c r="M982" i="1"/>
  <c r="J982" i="1"/>
  <c r="G982" i="1"/>
  <c r="D982" i="1"/>
  <c r="W981" i="1"/>
  <c r="V981" i="1"/>
  <c r="S981" i="1"/>
  <c r="P981" i="1"/>
  <c r="M981" i="1"/>
  <c r="J981" i="1"/>
  <c r="G981" i="1"/>
  <c r="D981" i="1"/>
  <c r="W980" i="1"/>
  <c r="V980" i="1"/>
  <c r="S980" i="1"/>
  <c r="P980" i="1"/>
  <c r="M980" i="1"/>
  <c r="J980" i="1"/>
  <c r="G980" i="1"/>
  <c r="D980" i="1"/>
  <c r="W979" i="1"/>
  <c r="V979" i="1"/>
  <c r="S979" i="1"/>
  <c r="P979" i="1"/>
  <c r="M979" i="1"/>
  <c r="J979" i="1"/>
  <c r="G979" i="1"/>
  <c r="D979" i="1"/>
  <c r="W978" i="1"/>
  <c r="V978" i="1"/>
  <c r="S978" i="1"/>
  <c r="P978" i="1"/>
  <c r="M978" i="1"/>
  <c r="J978" i="1"/>
  <c r="G978" i="1"/>
  <c r="D978" i="1"/>
  <c r="W977" i="1"/>
  <c r="V977" i="1"/>
  <c r="V984" i="1" s="1"/>
  <c r="S977" i="1"/>
  <c r="S984" i="1" s="1"/>
  <c r="P977" i="1"/>
  <c r="P984" i="1" s="1"/>
  <c r="M977" i="1"/>
  <c r="M984" i="1" s="1"/>
  <c r="J977" i="1"/>
  <c r="J984" i="1" s="1"/>
  <c r="G977" i="1"/>
  <c r="G984" i="1" s="1"/>
  <c r="D977" i="1"/>
  <c r="D984" i="1" s="1"/>
  <c r="T976" i="1"/>
  <c r="Q976" i="1"/>
  <c r="N976" i="1"/>
  <c r="N985" i="1" s="1"/>
  <c r="K976" i="1"/>
  <c r="E976" i="1"/>
  <c r="B976" i="1"/>
  <c r="B985" i="1" s="1"/>
  <c r="W975" i="1"/>
  <c r="V975" i="1"/>
  <c r="S975" i="1"/>
  <c r="P975" i="1"/>
  <c r="M975" i="1"/>
  <c r="J975" i="1"/>
  <c r="G975" i="1"/>
  <c r="D975" i="1"/>
  <c r="W974" i="1"/>
  <c r="V974" i="1"/>
  <c r="S974" i="1"/>
  <c r="P974" i="1"/>
  <c r="M974" i="1"/>
  <c r="J974" i="1"/>
  <c r="G974" i="1"/>
  <c r="D974" i="1"/>
  <c r="W973" i="1"/>
  <c r="V973" i="1"/>
  <c r="S973" i="1"/>
  <c r="P973" i="1"/>
  <c r="M973" i="1"/>
  <c r="J973" i="1"/>
  <c r="G973" i="1"/>
  <c r="D973" i="1"/>
  <c r="W972" i="1"/>
  <c r="V972" i="1"/>
  <c r="S972" i="1"/>
  <c r="P972" i="1"/>
  <c r="M972" i="1"/>
  <c r="J972" i="1"/>
  <c r="G972" i="1"/>
  <c r="D972" i="1"/>
  <c r="W971" i="1"/>
  <c r="V971" i="1"/>
  <c r="S971" i="1"/>
  <c r="P971" i="1"/>
  <c r="M971" i="1"/>
  <c r="J971" i="1"/>
  <c r="G971" i="1"/>
  <c r="D971" i="1"/>
  <c r="W970" i="1"/>
  <c r="V970" i="1"/>
  <c r="S970" i="1"/>
  <c r="P970" i="1"/>
  <c r="M970" i="1"/>
  <c r="J970" i="1"/>
  <c r="G970" i="1"/>
  <c r="D970" i="1"/>
  <c r="W969" i="1"/>
  <c r="V969" i="1"/>
  <c r="S969" i="1"/>
  <c r="P969" i="1"/>
  <c r="M969" i="1"/>
  <c r="J969" i="1"/>
  <c r="G969" i="1"/>
  <c r="D969" i="1"/>
  <c r="W968" i="1"/>
  <c r="V968" i="1"/>
  <c r="S968" i="1"/>
  <c r="P968" i="1"/>
  <c r="M968" i="1"/>
  <c r="J968" i="1"/>
  <c r="G968" i="1"/>
  <c r="D968" i="1"/>
  <c r="W967" i="1"/>
  <c r="V967" i="1"/>
  <c r="S967" i="1"/>
  <c r="P967" i="1"/>
  <c r="M967" i="1"/>
  <c r="J967" i="1"/>
  <c r="G967" i="1"/>
  <c r="D967" i="1"/>
  <c r="W966" i="1"/>
  <c r="V966" i="1"/>
  <c r="S966" i="1"/>
  <c r="P966" i="1"/>
  <c r="M966" i="1"/>
  <c r="J966" i="1"/>
  <c r="G966" i="1"/>
  <c r="D966" i="1"/>
  <c r="V965" i="1"/>
  <c r="S965" i="1"/>
  <c r="P965" i="1"/>
  <c r="M965" i="1"/>
  <c r="J965" i="1"/>
  <c r="J976" i="1" s="1"/>
  <c r="G965" i="1"/>
  <c r="D965" i="1"/>
  <c r="E985" i="1" l="1"/>
  <c r="M976" i="1"/>
  <c r="M985" i="1" s="1"/>
  <c r="X966" i="1"/>
  <c r="X967" i="1"/>
  <c r="X968" i="1"/>
  <c r="X969" i="1"/>
  <c r="X970" i="1"/>
  <c r="X971" i="1"/>
  <c r="X972" i="1"/>
  <c r="X973" i="1"/>
  <c r="X974" i="1"/>
  <c r="X975" i="1"/>
  <c r="Q985" i="1"/>
  <c r="G976" i="1"/>
  <c r="G985" i="1" s="1"/>
  <c r="S976" i="1"/>
  <c r="S985" i="1" s="1"/>
  <c r="V976" i="1"/>
  <c r="V985" i="1" s="1"/>
  <c r="X978" i="1"/>
  <c r="X979" i="1"/>
  <c r="X980" i="1"/>
  <c r="X981" i="1"/>
  <c r="X982" i="1"/>
  <c r="X983" i="1"/>
  <c r="P976" i="1"/>
  <c r="P985" i="1" s="1"/>
  <c r="T985" i="1"/>
  <c r="W984" i="1"/>
  <c r="K985" i="1"/>
  <c r="J985" i="1"/>
  <c r="D976" i="1"/>
  <c r="D985" i="1" s="1"/>
  <c r="W965" i="1"/>
  <c r="W976" i="1" s="1"/>
  <c r="H976" i="1"/>
  <c r="H985" i="1" s="1"/>
  <c r="X977" i="1"/>
  <c r="X965" i="1"/>
  <c r="X976" i="1" l="1"/>
  <c r="X984" i="1"/>
  <c r="W985" i="1"/>
  <c r="S957" i="1"/>
  <c r="N957" i="1"/>
  <c r="K957" i="1"/>
  <c r="H957" i="1"/>
  <c r="E957" i="1"/>
  <c r="B957" i="1"/>
  <c r="T956" i="1"/>
  <c r="S956" i="1"/>
  <c r="P956" i="1"/>
  <c r="M956" i="1"/>
  <c r="J956" i="1"/>
  <c r="G956" i="1"/>
  <c r="D956" i="1"/>
  <c r="T955" i="1"/>
  <c r="S955" i="1"/>
  <c r="P955" i="1"/>
  <c r="M955" i="1"/>
  <c r="J955" i="1"/>
  <c r="G955" i="1"/>
  <c r="D955" i="1"/>
  <c r="T954" i="1"/>
  <c r="S954" i="1"/>
  <c r="P954" i="1"/>
  <c r="M954" i="1"/>
  <c r="J954" i="1"/>
  <c r="G954" i="1"/>
  <c r="D954" i="1"/>
  <c r="T953" i="1"/>
  <c r="S953" i="1"/>
  <c r="P953" i="1"/>
  <c r="M953" i="1"/>
  <c r="J953" i="1"/>
  <c r="G953" i="1"/>
  <c r="D953" i="1"/>
  <c r="T952" i="1"/>
  <c r="S952" i="1"/>
  <c r="P952" i="1"/>
  <c r="M952" i="1"/>
  <c r="J952" i="1"/>
  <c r="G952" i="1"/>
  <c r="D952" i="1"/>
  <c r="T951" i="1"/>
  <c r="S951" i="1"/>
  <c r="P951" i="1"/>
  <c r="M951" i="1"/>
  <c r="J951" i="1"/>
  <c r="G951" i="1"/>
  <c r="D951" i="1"/>
  <c r="T950" i="1"/>
  <c r="S950" i="1"/>
  <c r="P950" i="1"/>
  <c r="M950" i="1"/>
  <c r="J950" i="1"/>
  <c r="G950" i="1"/>
  <c r="D950" i="1"/>
  <c r="N949" i="1"/>
  <c r="N958" i="1" s="1"/>
  <c r="K949" i="1"/>
  <c r="K958" i="1" s="1"/>
  <c r="H949" i="1"/>
  <c r="E949" i="1"/>
  <c r="B949" i="1"/>
  <c r="B958" i="1" s="1"/>
  <c r="T948" i="1"/>
  <c r="S948" i="1"/>
  <c r="P948" i="1"/>
  <c r="M948" i="1"/>
  <c r="J948" i="1"/>
  <c r="G948" i="1"/>
  <c r="D948" i="1"/>
  <c r="T947" i="1"/>
  <c r="S947" i="1"/>
  <c r="P947" i="1"/>
  <c r="M947" i="1"/>
  <c r="J947" i="1"/>
  <c r="G947" i="1"/>
  <c r="D947" i="1"/>
  <c r="T946" i="1"/>
  <c r="S946" i="1"/>
  <c r="P946" i="1"/>
  <c r="M946" i="1"/>
  <c r="J946" i="1"/>
  <c r="G946" i="1"/>
  <c r="D946" i="1"/>
  <c r="T945" i="1"/>
  <c r="S945" i="1"/>
  <c r="P945" i="1"/>
  <c r="M945" i="1"/>
  <c r="J945" i="1"/>
  <c r="G945" i="1"/>
  <c r="D945" i="1"/>
  <c r="T944" i="1"/>
  <c r="S944" i="1"/>
  <c r="P944" i="1"/>
  <c r="M944" i="1"/>
  <c r="J944" i="1"/>
  <c r="G944" i="1"/>
  <c r="D944" i="1"/>
  <c r="T943" i="1"/>
  <c r="S943" i="1"/>
  <c r="P943" i="1"/>
  <c r="M943" i="1"/>
  <c r="J943" i="1"/>
  <c r="G943" i="1"/>
  <c r="D943" i="1"/>
  <c r="T942" i="1"/>
  <c r="S942" i="1"/>
  <c r="P942" i="1"/>
  <c r="M942" i="1"/>
  <c r="J942" i="1"/>
  <c r="G942" i="1"/>
  <c r="D942" i="1"/>
  <c r="T941" i="1"/>
  <c r="S941" i="1"/>
  <c r="P941" i="1"/>
  <c r="M941" i="1"/>
  <c r="J941" i="1"/>
  <c r="G941" i="1"/>
  <c r="D941" i="1"/>
  <c r="T940" i="1"/>
  <c r="S940" i="1"/>
  <c r="P940" i="1"/>
  <c r="M940" i="1"/>
  <c r="J940" i="1"/>
  <c r="G940" i="1"/>
  <c r="D940" i="1"/>
  <c r="T939" i="1"/>
  <c r="S939" i="1"/>
  <c r="P939" i="1"/>
  <c r="M939" i="1"/>
  <c r="J939" i="1"/>
  <c r="G939" i="1"/>
  <c r="D939" i="1"/>
  <c r="T938" i="1"/>
  <c r="S938" i="1"/>
  <c r="P938" i="1"/>
  <c r="M938" i="1"/>
  <c r="J938" i="1"/>
  <c r="G938" i="1"/>
  <c r="D938" i="1"/>
  <c r="M957" i="1" l="1"/>
  <c r="X985" i="1"/>
  <c r="U939" i="1"/>
  <c r="U943" i="1"/>
  <c r="U947" i="1"/>
  <c r="M949" i="1"/>
  <c r="G949" i="1"/>
  <c r="G958" i="1" s="1"/>
  <c r="T949" i="1"/>
  <c r="G957" i="1"/>
  <c r="U954" i="1"/>
  <c r="T957" i="1"/>
  <c r="E958" i="1"/>
  <c r="U944" i="1"/>
  <c r="J957" i="1"/>
  <c r="U951" i="1"/>
  <c r="S949" i="1"/>
  <c r="S958" i="1" s="1"/>
  <c r="U941" i="1"/>
  <c r="U945" i="1"/>
  <c r="U952" i="1"/>
  <c r="U956" i="1"/>
  <c r="J949" i="1"/>
  <c r="U940" i="1"/>
  <c r="U948" i="1"/>
  <c r="U955" i="1"/>
  <c r="D949" i="1"/>
  <c r="P949" i="1"/>
  <c r="U942" i="1"/>
  <c r="U946" i="1"/>
  <c r="D957" i="1"/>
  <c r="P957" i="1"/>
  <c r="U953" i="1"/>
  <c r="H958" i="1"/>
  <c r="U950" i="1"/>
  <c r="U938" i="1"/>
  <c r="T958" i="1" l="1"/>
  <c r="M958" i="1"/>
  <c r="U957" i="1"/>
  <c r="D958" i="1"/>
  <c r="J958" i="1"/>
  <c r="U949" i="1"/>
  <c r="P958" i="1"/>
  <c r="U958" i="1" l="1"/>
  <c r="T927" i="1"/>
  <c r="Q927" i="1"/>
  <c r="N927" i="1"/>
  <c r="K927" i="1"/>
  <c r="H927" i="1"/>
  <c r="E927" i="1"/>
  <c r="B927" i="1"/>
  <c r="V926" i="1"/>
  <c r="S926" i="1"/>
  <c r="P926" i="1"/>
  <c r="M926" i="1"/>
  <c r="J926" i="1"/>
  <c r="G926" i="1"/>
  <c r="D926" i="1"/>
  <c r="V925" i="1"/>
  <c r="S925" i="1"/>
  <c r="P925" i="1"/>
  <c r="M925" i="1"/>
  <c r="J925" i="1"/>
  <c r="G925" i="1"/>
  <c r="D925" i="1"/>
  <c r="V924" i="1"/>
  <c r="S924" i="1"/>
  <c r="P924" i="1"/>
  <c r="M924" i="1"/>
  <c r="J924" i="1"/>
  <c r="G924" i="1"/>
  <c r="D924" i="1"/>
  <c r="V923" i="1"/>
  <c r="S923" i="1"/>
  <c r="P923" i="1"/>
  <c r="M923" i="1"/>
  <c r="J923" i="1"/>
  <c r="G923" i="1"/>
  <c r="D923" i="1"/>
  <c r="W922" i="1"/>
  <c r="V922" i="1"/>
  <c r="S922" i="1"/>
  <c r="P922" i="1"/>
  <c r="M922" i="1"/>
  <c r="J922" i="1"/>
  <c r="G922" i="1"/>
  <c r="D922" i="1"/>
  <c r="W921" i="1"/>
  <c r="V921" i="1"/>
  <c r="S921" i="1"/>
  <c r="P921" i="1"/>
  <c r="M921" i="1"/>
  <c r="J921" i="1"/>
  <c r="G921" i="1"/>
  <c r="D921" i="1"/>
  <c r="V920" i="1"/>
  <c r="S920" i="1"/>
  <c r="P920" i="1"/>
  <c r="M920" i="1"/>
  <c r="J920" i="1"/>
  <c r="G920" i="1"/>
  <c r="D920" i="1"/>
  <c r="T919" i="1"/>
  <c r="Q919" i="1"/>
  <c r="N919" i="1"/>
  <c r="K919" i="1"/>
  <c r="H919" i="1"/>
  <c r="E919" i="1"/>
  <c r="B919" i="1"/>
  <c r="W918" i="1"/>
  <c r="V918" i="1"/>
  <c r="S918" i="1"/>
  <c r="P918" i="1"/>
  <c r="M918" i="1"/>
  <c r="J918" i="1"/>
  <c r="G918" i="1"/>
  <c r="D918" i="1"/>
  <c r="W917" i="1"/>
  <c r="V917" i="1"/>
  <c r="S917" i="1"/>
  <c r="P917" i="1"/>
  <c r="M917" i="1"/>
  <c r="J917" i="1"/>
  <c r="G917" i="1"/>
  <c r="D917" i="1"/>
  <c r="W916" i="1"/>
  <c r="V916" i="1"/>
  <c r="S916" i="1"/>
  <c r="P916" i="1"/>
  <c r="M916" i="1"/>
  <c r="J916" i="1"/>
  <c r="G916" i="1"/>
  <c r="D916" i="1"/>
  <c r="W915" i="1"/>
  <c r="V915" i="1"/>
  <c r="S915" i="1"/>
  <c r="P915" i="1"/>
  <c r="M915" i="1"/>
  <c r="J915" i="1"/>
  <c r="G915" i="1"/>
  <c r="D915" i="1"/>
  <c r="W914" i="1"/>
  <c r="V914" i="1"/>
  <c r="S914" i="1"/>
  <c r="P914" i="1"/>
  <c r="M914" i="1"/>
  <c r="J914" i="1"/>
  <c r="G914" i="1"/>
  <c r="D914" i="1"/>
  <c r="W913" i="1"/>
  <c r="V913" i="1"/>
  <c r="S913" i="1"/>
  <c r="P913" i="1"/>
  <c r="M913" i="1"/>
  <c r="J913" i="1"/>
  <c r="G913" i="1"/>
  <c r="D913" i="1"/>
  <c r="W912" i="1"/>
  <c r="V912" i="1"/>
  <c r="S912" i="1"/>
  <c r="P912" i="1"/>
  <c r="M912" i="1"/>
  <c r="J912" i="1"/>
  <c r="G912" i="1"/>
  <c r="D912" i="1"/>
  <c r="W911" i="1"/>
  <c r="V911" i="1"/>
  <c r="S911" i="1"/>
  <c r="P911" i="1"/>
  <c r="M911" i="1"/>
  <c r="J911" i="1"/>
  <c r="G911" i="1"/>
  <c r="D911" i="1"/>
  <c r="W910" i="1"/>
  <c r="V910" i="1"/>
  <c r="S910" i="1"/>
  <c r="P910" i="1"/>
  <c r="M910" i="1"/>
  <c r="J910" i="1"/>
  <c r="G910" i="1"/>
  <c r="D910" i="1"/>
  <c r="W909" i="1"/>
  <c r="V909" i="1"/>
  <c r="S909" i="1"/>
  <c r="P909" i="1"/>
  <c r="M909" i="1"/>
  <c r="J909" i="1"/>
  <c r="G909" i="1"/>
  <c r="D909" i="1"/>
  <c r="W908" i="1"/>
  <c r="W919" i="1" s="1"/>
  <c r="V908" i="1"/>
  <c r="S908" i="1"/>
  <c r="P908" i="1"/>
  <c r="P919" i="1" s="1"/>
  <c r="M908" i="1"/>
  <c r="M919" i="1" s="1"/>
  <c r="J908" i="1"/>
  <c r="G908" i="1"/>
  <c r="D908" i="1"/>
  <c r="S900" i="1"/>
  <c r="Q900" i="1"/>
  <c r="P900" i="1"/>
  <c r="N900" i="1"/>
  <c r="K900" i="1"/>
  <c r="H900" i="1"/>
  <c r="E900" i="1"/>
  <c r="B900" i="1"/>
  <c r="T899" i="1"/>
  <c r="M899" i="1"/>
  <c r="J899" i="1"/>
  <c r="G899" i="1"/>
  <c r="D899" i="1"/>
  <c r="T898" i="1"/>
  <c r="M898" i="1"/>
  <c r="J898" i="1"/>
  <c r="G898" i="1"/>
  <c r="D898" i="1"/>
  <c r="T897" i="1"/>
  <c r="M897" i="1"/>
  <c r="J897" i="1"/>
  <c r="G897" i="1"/>
  <c r="D897" i="1"/>
  <c r="T896" i="1"/>
  <c r="M896" i="1"/>
  <c r="J896" i="1"/>
  <c r="G896" i="1"/>
  <c r="D896" i="1"/>
  <c r="T895" i="1"/>
  <c r="M895" i="1"/>
  <c r="J895" i="1"/>
  <c r="G895" i="1"/>
  <c r="D895" i="1"/>
  <c r="T894" i="1"/>
  <c r="M894" i="1"/>
  <c r="J894" i="1"/>
  <c r="G894" i="1"/>
  <c r="D894" i="1"/>
  <c r="T893" i="1"/>
  <c r="M893" i="1"/>
  <c r="J893" i="1"/>
  <c r="G893" i="1"/>
  <c r="D893" i="1"/>
  <c r="Q892" i="1"/>
  <c r="N892" i="1"/>
  <c r="K892" i="1"/>
  <c r="H892" i="1"/>
  <c r="E892" i="1"/>
  <c r="B892" i="1"/>
  <c r="T891" i="1"/>
  <c r="P891" i="1"/>
  <c r="M891" i="1"/>
  <c r="J891" i="1"/>
  <c r="G891" i="1"/>
  <c r="D891" i="1"/>
  <c r="T890" i="1"/>
  <c r="P890" i="1"/>
  <c r="M890" i="1"/>
  <c r="J890" i="1"/>
  <c r="G890" i="1"/>
  <c r="D890" i="1"/>
  <c r="T889" i="1"/>
  <c r="P889" i="1"/>
  <c r="M889" i="1"/>
  <c r="J889" i="1"/>
  <c r="G889" i="1"/>
  <c r="D889" i="1"/>
  <c r="T888" i="1"/>
  <c r="P888" i="1"/>
  <c r="M888" i="1"/>
  <c r="J888" i="1"/>
  <c r="G888" i="1"/>
  <c r="D888" i="1"/>
  <c r="T887" i="1"/>
  <c r="S887" i="1"/>
  <c r="S892" i="1" s="1"/>
  <c r="P887" i="1"/>
  <c r="M887" i="1"/>
  <c r="J887" i="1"/>
  <c r="G887" i="1"/>
  <c r="D887" i="1"/>
  <c r="T886" i="1"/>
  <c r="P886" i="1"/>
  <c r="M886" i="1"/>
  <c r="J886" i="1"/>
  <c r="G886" i="1"/>
  <c r="D886" i="1"/>
  <c r="T885" i="1"/>
  <c r="P885" i="1"/>
  <c r="M885" i="1"/>
  <c r="J885" i="1"/>
  <c r="G885" i="1"/>
  <c r="D885" i="1"/>
  <c r="T884" i="1"/>
  <c r="P884" i="1"/>
  <c r="M884" i="1"/>
  <c r="J884" i="1"/>
  <c r="G884" i="1"/>
  <c r="D884" i="1"/>
  <c r="T883" i="1"/>
  <c r="P883" i="1"/>
  <c r="M883" i="1"/>
  <c r="J883" i="1"/>
  <c r="G883" i="1"/>
  <c r="D883" i="1"/>
  <c r="T882" i="1"/>
  <c r="P882" i="1"/>
  <c r="M882" i="1"/>
  <c r="J882" i="1"/>
  <c r="G882" i="1"/>
  <c r="D882" i="1"/>
  <c r="T881" i="1"/>
  <c r="P881" i="1"/>
  <c r="M881" i="1"/>
  <c r="J881" i="1"/>
  <c r="G881" i="1"/>
  <c r="D881" i="1"/>
  <c r="S901" i="1" l="1"/>
  <c r="U882" i="1"/>
  <c r="U886" i="1"/>
  <c r="K901" i="1"/>
  <c r="G900" i="1"/>
  <c r="T900" i="1"/>
  <c r="Q901" i="1"/>
  <c r="B928" i="1"/>
  <c r="N928" i="1"/>
  <c r="U881" i="1"/>
  <c r="P892" i="1"/>
  <c r="P901" i="1" s="1"/>
  <c r="U885" i="1"/>
  <c r="B901" i="1"/>
  <c r="H901" i="1"/>
  <c r="J900" i="1"/>
  <c r="E901" i="1"/>
  <c r="X923" i="1"/>
  <c r="X926" i="1"/>
  <c r="G919" i="1"/>
  <c r="U890" i="1"/>
  <c r="U893" i="1"/>
  <c r="U897" i="1"/>
  <c r="D900" i="1"/>
  <c r="X910" i="1"/>
  <c r="X913" i="1"/>
  <c r="X914" i="1"/>
  <c r="X915" i="1"/>
  <c r="X918" i="1"/>
  <c r="G927" i="1"/>
  <c r="S927" i="1"/>
  <c r="J927" i="1"/>
  <c r="V927" i="1"/>
  <c r="X924" i="1"/>
  <c r="E928" i="1"/>
  <c r="Q928" i="1"/>
  <c r="U883" i="1"/>
  <c r="J892" i="1"/>
  <c r="U887" i="1"/>
  <c r="M900" i="1"/>
  <c r="D927" i="1"/>
  <c r="P927" i="1"/>
  <c r="P928" i="1" s="1"/>
  <c r="X925" i="1"/>
  <c r="S919" i="1"/>
  <c r="W927" i="1"/>
  <c r="W928" i="1" s="1"/>
  <c r="G892" i="1"/>
  <c r="G901" i="1" s="1"/>
  <c r="T892" i="1"/>
  <c r="T901" i="1" s="1"/>
  <c r="U891" i="1"/>
  <c r="U896" i="1"/>
  <c r="X908" i="1"/>
  <c r="X909" i="1"/>
  <c r="X911" i="1"/>
  <c r="X912" i="1"/>
  <c r="X916" i="1"/>
  <c r="X917" i="1"/>
  <c r="M892" i="1"/>
  <c r="M901" i="1" s="1"/>
  <c r="U888" i="1"/>
  <c r="U889" i="1"/>
  <c r="N901" i="1"/>
  <c r="U894" i="1"/>
  <c r="U895" i="1"/>
  <c r="U898" i="1"/>
  <c r="U899" i="1"/>
  <c r="J919" i="1"/>
  <c r="V919" i="1"/>
  <c r="V928" i="1" s="1"/>
  <c r="H928" i="1"/>
  <c r="T928" i="1"/>
  <c r="X921" i="1"/>
  <c r="X922" i="1"/>
  <c r="K928" i="1"/>
  <c r="D919" i="1"/>
  <c r="M927" i="1"/>
  <c r="M928" i="1" s="1"/>
  <c r="X920" i="1"/>
  <c r="D892" i="1"/>
  <c r="U884" i="1"/>
  <c r="J901" i="1" l="1"/>
  <c r="D928" i="1"/>
  <c r="U900" i="1"/>
  <c r="J928" i="1"/>
  <c r="G928" i="1"/>
  <c r="S928" i="1"/>
  <c r="D901" i="1"/>
  <c r="X919" i="1"/>
  <c r="U892" i="1"/>
  <c r="X927" i="1"/>
  <c r="V873" i="1"/>
  <c r="V874" i="1" s="1"/>
  <c r="T873" i="1"/>
  <c r="T874" i="1" s="1"/>
  <c r="S873" i="1"/>
  <c r="Q873" i="1"/>
  <c r="P873" i="1"/>
  <c r="N873" i="1"/>
  <c r="M873" i="1"/>
  <c r="K873" i="1"/>
  <c r="J873" i="1"/>
  <c r="H873" i="1"/>
  <c r="G873" i="1"/>
  <c r="E873" i="1"/>
  <c r="D873" i="1"/>
  <c r="B873" i="1"/>
  <c r="X872" i="1"/>
  <c r="W872" i="1"/>
  <c r="X871" i="1"/>
  <c r="W871" i="1"/>
  <c r="X870" i="1"/>
  <c r="W870" i="1"/>
  <c r="X869" i="1"/>
  <c r="W869" i="1"/>
  <c r="X868" i="1"/>
  <c r="W868" i="1"/>
  <c r="X867" i="1"/>
  <c r="W867" i="1"/>
  <c r="X866" i="1"/>
  <c r="W866" i="1"/>
  <c r="S865" i="1"/>
  <c r="Q865" i="1"/>
  <c r="P865" i="1"/>
  <c r="N865" i="1"/>
  <c r="M865" i="1"/>
  <c r="K865" i="1"/>
  <c r="J865" i="1"/>
  <c r="H865" i="1"/>
  <c r="G865" i="1"/>
  <c r="E865" i="1"/>
  <c r="D865" i="1"/>
  <c r="B865" i="1"/>
  <c r="X864" i="1"/>
  <c r="W864" i="1"/>
  <c r="X863" i="1"/>
  <c r="W863" i="1"/>
  <c r="X862" i="1"/>
  <c r="W862" i="1"/>
  <c r="X861" i="1"/>
  <c r="W861" i="1"/>
  <c r="X860" i="1"/>
  <c r="W860" i="1"/>
  <c r="X859" i="1"/>
  <c r="W859" i="1"/>
  <c r="X858" i="1"/>
  <c r="W858" i="1"/>
  <c r="X857" i="1"/>
  <c r="W857" i="1"/>
  <c r="X856" i="1"/>
  <c r="W856" i="1"/>
  <c r="X855" i="1"/>
  <c r="W855" i="1"/>
  <c r="X854" i="1"/>
  <c r="W854" i="1"/>
  <c r="X847" i="1"/>
  <c r="W847" i="1"/>
  <c r="V847" i="1"/>
  <c r="T847" i="1"/>
  <c r="T848" i="1" s="1"/>
  <c r="S847" i="1"/>
  <c r="Q847" i="1"/>
  <c r="P847" i="1"/>
  <c r="N847" i="1"/>
  <c r="M847" i="1"/>
  <c r="K847" i="1"/>
  <c r="J847" i="1"/>
  <c r="H847" i="1"/>
  <c r="G847" i="1"/>
  <c r="E847" i="1"/>
  <c r="B847" i="1"/>
  <c r="X839" i="1"/>
  <c r="W839" i="1"/>
  <c r="S839" i="1"/>
  <c r="Q839" i="1"/>
  <c r="P839" i="1"/>
  <c r="N839" i="1"/>
  <c r="M839" i="1"/>
  <c r="K839" i="1"/>
  <c r="J839" i="1"/>
  <c r="H839" i="1"/>
  <c r="G839" i="1"/>
  <c r="E839" i="1"/>
  <c r="D839" i="1"/>
  <c r="D848" i="1" s="1"/>
  <c r="B839" i="1"/>
  <c r="Q820" i="1"/>
  <c r="S819" i="1"/>
  <c r="T819" i="1" s="1"/>
  <c r="P819" i="1"/>
  <c r="J819" i="1"/>
  <c r="G819" i="1"/>
  <c r="D819" i="1"/>
  <c r="S818" i="1"/>
  <c r="T818" i="1" s="1"/>
  <c r="P818" i="1"/>
  <c r="M818" i="1"/>
  <c r="J818" i="1"/>
  <c r="G818" i="1"/>
  <c r="D818" i="1"/>
  <c r="T817" i="1"/>
  <c r="S817" i="1"/>
  <c r="P817" i="1"/>
  <c r="M817" i="1"/>
  <c r="J817" i="1"/>
  <c r="G817" i="1"/>
  <c r="D817" i="1"/>
  <c r="S816" i="1"/>
  <c r="T816" i="1" s="1"/>
  <c r="P816" i="1"/>
  <c r="M816" i="1"/>
  <c r="J816" i="1"/>
  <c r="G816" i="1"/>
  <c r="D816" i="1"/>
  <c r="S815" i="1"/>
  <c r="N815" i="1"/>
  <c r="P815" i="1" s="1"/>
  <c r="M815" i="1"/>
  <c r="H815" i="1"/>
  <c r="J815" i="1" s="1"/>
  <c r="E815" i="1"/>
  <c r="B815" i="1"/>
  <c r="D815" i="1" s="1"/>
  <c r="S814" i="1"/>
  <c r="P814" i="1"/>
  <c r="N814" i="1"/>
  <c r="K814" i="1"/>
  <c r="K820" i="1" s="1"/>
  <c r="H814" i="1"/>
  <c r="J814" i="1" s="1"/>
  <c r="E814" i="1"/>
  <c r="G814" i="1" s="1"/>
  <c r="B814" i="1"/>
  <c r="D814" i="1" s="1"/>
  <c r="S813" i="1"/>
  <c r="T813" i="1" s="1"/>
  <c r="P813" i="1"/>
  <c r="M813" i="1"/>
  <c r="J813" i="1"/>
  <c r="G813" i="1"/>
  <c r="D813" i="1"/>
  <c r="N812" i="1"/>
  <c r="S811" i="1"/>
  <c r="P811" i="1"/>
  <c r="M811" i="1"/>
  <c r="J811" i="1"/>
  <c r="E811" i="1"/>
  <c r="G811" i="1" s="1"/>
  <c r="B811" i="1"/>
  <c r="D811" i="1" s="1"/>
  <c r="S810" i="1"/>
  <c r="P810" i="1"/>
  <c r="M810" i="1"/>
  <c r="J810" i="1"/>
  <c r="E810" i="1"/>
  <c r="G810" i="1" s="1"/>
  <c r="B810" i="1"/>
  <c r="D810" i="1" s="1"/>
  <c r="S809" i="1"/>
  <c r="T809" i="1" s="1"/>
  <c r="P809" i="1"/>
  <c r="M809" i="1"/>
  <c r="J809" i="1"/>
  <c r="G809" i="1"/>
  <c r="D809" i="1"/>
  <c r="S808" i="1"/>
  <c r="T808" i="1" s="1"/>
  <c r="P808" i="1"/>
  <c r="M808" i="1"/>
  <c r="J808" i="1"/>
  <c r="G808" i="1"/>
  <c r="D808" i="1"/>
  <c r="Q807" i="1"/>
  <c r="P807" i="1"/>
  <c r="M807" i="1"/>
  <c r="H807" i="1"/>
  <c r="G807" i="1"/>
  <c r="D807" i="1"/>
  <c r="S806" i="1"/>
  <c r="T806" i="1" s="1"/>
  <c r="P806" i="1"/>
  <c r="M806" i="1"/>
  <c r="J806" i="1"/>
  <c r="G806" i="1"/>
  <c r="D806" i="1"/>
  <c r="S805" i="1"/>
  <c r="P805" i="1"/>
  <c r="M805" i="1"/>
  <c r="J805" i="1"/>
  <c r="E805" i="1"/>
  <c r="G805" i="1" s="1"/>
  <c r="D805" i="1"/>
  <c r="S804" i="1"/>
  <c r="P804" i="1"/>
  <c r="K804" i="1"/>
  <c r="M804" i="1" s="1"/>
  <c r="J804" i="1"/>
  <c r="E804" i="1"/>
  <c r="G804" i="1" s="1"/>
  <c r="D804" i="1"/>
  <c r="S803" i="1"/>
  <c r="T803" i="1" s="1"/>
  <c r="P803" i="1"/>
  <c r="M803" i="1"/>
  <c r="J803" i="1"/>
  <c r="G803" i="1"/>
  <c r="D803" i="1"/>
  <c r="S802" i="1"/>
  <c r="T802" i="1" s="1"/>
  <c r="P802" i="1"/>
  <c r="M802" i="1"/>
  <c r="J802" i="1"/>
  <c r="G802" i="1"/>
  <c r="D802" i="1"/>
  <c r="S801" i="1"/>
  <c r="P801" i="1"/>
  <c r="M801" i="1"/>
  <c r="J801" i="1"/>
  <c r="E801" i="1"/>
  <c r="G801" i="1" s="1"/>
  <c r="B801" i="1"/>
  <c r="Q794" i="1"/>
  <c r="N794" i="1"/>
  <c r="T793" i="1"/>
  <c r="P793" i="1"/>
  <c r="M793" i="1"/>
  <c r="J793" i="1"/>
  <c r="G793" i="1"/>
  <c r="D793" i="1"/>
  <c r="T792" i="1"/>
  <c r="P792" i="1"/>
  <c r="M792" i="1"/>
  <c r="J792" i="1"/>
  <c r="G792" i="1"/>
  <c r="D792" i="1"/>
  <c r="T791" i="1"/>
  <c r="P791" i="1"/>
  <c r="M791" i="1"/>
  <c r="J791" i="1"/>
  <c r="G791" i="1"/>
  <c r="D791" i="1"/>
  <c r="T790" i="1"/>
  <c r="P790" i="1"/>
  <c r="M790" i="1"/>
  <c r="J790" i="1"/>
  <c r="G790" i="1"/>
  <c r="D790" i="1"/>
  <c r="P789" i="1"/>
  <c r="K789" i="1"/>
  <c r="M789" i="1" s="1"/>
  <c r="H789" i="1"/>
  <c r="J789" i="1" s="1"/>
  <c r="E789" i="1"/>
  <c r="G789" i="1" s="1"/>
  <c r="B789" i="1"/>
  <c r="D789" i="1" s="1"/>
  <c r="P788" i="1"/>
  <c r="K788" i="1"/>
  <c r="H788" i="1"/>
  <c r="J788" i="1" s="1"/>
  <c r="E788" i="1"/>
  <c r="B788" i="1"/>
  <c r="D788" i="1" s="1"/>
  <c r="T787" i="1"/>
  <c r="P787" i="1"/>
  <c r="M787" i="1"/>
  <c r="J787" i="1"/>
  <c r="G787" i="1"/>
  <c r="D787" i="1"/>
  <c r="Q786" i="1"/>
  <c r="N786" i="1"/>
  <c r="B786" i="1"/>
  <c r="P785" i="1"/>
  <c r="M785" i="1"/>
  <c r="J785" i="1"/>
  <c r="E785" i="1"/>
  <c r="D785" i="1"/>
  <c r="P784" i="1"/>
  <c r="M784" i="1"/>
  <c r="J784" i="1"/>
  <c r="E784" i="1"/>
  <c r="T784" i="1" s="1"/>
  <c r="D784" i="1"/>
  <c r="T783" i="1"/>
  <c r="P783" i="1"/>
  <c r="M783" i="1"/>
  <c r="J783" i="1"/>
  <c r="G783" i="1"/>
  <c r="D783" i="1"/>
  <c r="T782" i="1"/>
  <c r="P782" i="1"/>
  <c r="M782" i="1"/>
  <c r="J782" i="1"/>
  <c r="G782" i="1"/>
  <c r="D782" i="1"/>
  <c r="T781" i="1"/>
  <c r="S781" i="1"/>
  <c r="S786" i="1" s="1"/>
  <c r="S795" i="1" s="1"/>
  <c r="P781" i="1"/>
  <c r="M781" i="1"/>
  <c r="J781" i="1"/>
  <c r="G781" i="1"/>
  <c r="D781" i="1"/>
  <c r="T780" i="1"/>
  <c r="P780" i="1"/>
  <c r="M780" i="1"/>
  <c r="J780" i="1"/>
  <c r="G780" i="1"/>
  <c r="D780" i="1"/>
  <c r="T779" i="1"/>
  <c r="P779" i="1"/>
  <c r="M779" i="1"/>
  <c r="J779" i="1"/>
  <c r="G779" i="1"/>
  <c r="D779" i="1"/>
  <c r="P778" i="1"/>
  <c r="K778" i="1"/>
  <c r="M778" i="1" s="1"/>
  <c r="H778" i="1"/>
  <c r="H786" i="1" s="1"/>
  <c r="E778" i="1"/>
  <c r="G778" i="1" s="1"/>
  <c r="D778" i="1"/>
  <c r="T777" i="1"/>
  <c r="P777" i="1"/>
  <c r="M777" i="1"/>
  <c r="J777" i="1"/>
  <c r="G777" i="1"/>
  <c r="D777" i="1"/>
  <c r="T776" i="1"/>
  <c r="P776" i="1"/>
  <c r="M776" i="1"/>
  <c r="J776" i="1"/>
  <c r="G776" i="1"/>
  <c r="D776" i="1"/>
  <c r="P775" i="1"/>
  <c r="M775" i="1"/>
  <c r="J775" i="1"/>
  <c r="E775" i="1"/>
  <c r="T775" i="1" s="1"/>
  <c r="D775" i="1"/>
  <c r="T767" i="1"/>
  <c r="T768" i="1" s="1"/>
  <c r="Q767" i="1"/>
  <c r="Q768" i="1" s="1"/>
  <c r="P767" i="1"/>
  <c r="N767" i="1"/>
  <c r="K767" i="1"/>
  <c r="J767" i="1"/>
  <c r="H767" i="1"/>
  <c r="G767" i="1"/>
  <c r="E767" i="1"/>
  <c r="D767" i="1"/>
  <c r="B767" i="1"/>
  <c r="W766" i="1"/>
  <c r="V766" i="1"/>
  <c r="S766" i="1"/>
  <c r="O766" i="1"/>
  <c r="I766" i="1"/>
  <c r="F766" i="1"/>
  <c r="C766" i="1"/>
  <c r="W765" i="1"/>
  <c r="S765" i="1"/>
  <c r="X765" i="1" s="1"/>
  <c r="O765" i="1"/>
  <c r="I765" i="1"/>
  <c r="F765" i="1"/>
  <c r="C765" i="1"/>
  <c r="W764" i="1"/>
  <c r="V764" i="1"/>
  <c r="S764" i="1"/>
  <c r="O764" i="1"/>
  <c r="I764" i="1"/>
  <c r="F764" i="1"/>
  <c r="C764" i="1"/>
  <c r="W763" i="1"/>
  <c r="V763" i="1"/>
  <c r="O763" i="1"/>
  <c r="M763" i="1"/>
  <c r="I763" i="1"/>
  <c r="F763" i="1"/>
  <c r="C763" i="1"/>
  <c r="W762" i="1"/>
  <c r="V762" i="1"/>
  <c r="S762" i="1"/>
  <c r="O762" i="1"/>
  <c r="M762" i="1"/>
  <c r="I762" i="1"/>
  <c r="F762" i="1"/>
  <c r="C762" i="1"/>
  <c r="W761" i="1"/>
  <c r="V761" i="1"/>
  <c r="S761" i="1"/>
  <c r="O761" i="1"/>
  <c r="M761" i="1"/>
  <c r="I761" i="1"/>
  <c r="F761" i="1"/>
  <c r="C761" i="1"/>
  <c r="W760" i="1"/>
  <c r="V760" i="1"/>
  <c r="O760" i="1"/>
  <c r="M760" i="1"/>
  <c r="I760" i="1"/>
  <c r="F760" i="1"/>
  <c r="C760" i="1"/>
  <c r="L759" i="1"/>
  <c r="L768" i="1" s="1"/>
  <c r="K759" i="1"/>
  <c r="H759" i="1"/>
  <c r="G759" i="1"/>
  <c r="E759" i="1"/>
  <c r="B759" i="1"/>
  <c r="X758" i="1"/>
  <c r="W758" i="1"/>
  <c r="I758" i="1"/>
  <c r="F758" i="1"/>
  <c r="C758" i="1"/>
  <c r="X757" i="1"/>
  <c r="W757" i="1"/>
  <c r="I757" i="1"/>
  <c r="F757" i="1"/>
  <c r="C757" i="1"/>
  <c r="W756" i="1"/>
  <c r="M756" i="1"/>
  <c r="X756" i="1" s="1"/>
  <c r="X755" i="1"/>
  <c r="W755" i="1"/>
  <c r="Q754" i="1"/>
  <c r="N754" i="1"/>
  <c r="N759" i="1" s="1"/>
  <c r="J754" i="1"/>
  <c r="D754" i="1"/>
  <c r="W753" i="1"/>
  <c r="J753" i="1"/>
  <c r="X752" i="1"/>
  <c r="W752" i="1"/>
  <c r="I752" i="1"/>
  <c r="F752" i="1"/>
  <c r="C752" i="1"/>
  <c r="W751" i="1"/>
  <c r="P751" i="1"/>
  <c r="P759" i="1" s="1"/>
  <c r="M751" i="1"/>
  <c r="I751" i="1"/>
  <c r="F751" i="1"/>
  <c r="C751" i="1"/>
  <c r="X750" i="1"/>
  <c r="W750" i="1"/>
  <c r="I750" i="1"/>
  <c r="F750" i="1"/>
  <c r="C750" i="1"/>
  <c r="W748" i="1"/>
  <c r="M748" i="1"/>
  <c r="X748" i="1" s="1"/>
  <c r="I748" i="1"/>
  <c r="F748" i="1"/>
  <c r="C748" i="1"/>
  <c r="P741" i="1"/>
  <c r="N741" i="1"/>
  <c r="M741" i="1"/>
  <c r="K741" i="1"/>
  <c r="J741" i="1"/>
  <c r="H741" i="1"/>
  <c r="G741" i="1"/>
  <c r="E741" i="1"/>
  <c r="D741" i="1"/>
  <c r="B741" i="1"/>
  <c r="X740" i="1"/>
  <c r="W740" i="1"/>
  <c r="X739" i="1"/>
  <c r="W739" i="1"/>
  <c r="X738" i="1"/>
  <c r="W738" i="1"/>
  <c r="X737" i="1"/>
  <c r="W737" i="1"/>
  <c r="X736" i="1"/>
  <c r="W736" i="1"/>
  <c r="X735" i="1"/>
  <c r="W735" i="1"/>
  <c r="X734" i="1"/>
  <c r="W734" i="1"/>
  <c r="N733" i="1"/>
  <c r="M733" i="1"/>
  <c r="K733" i="1"/>
  <c r="J733" i="1"/>
  <c r="H733" i="1"/>
  <c r="G733" i="1"/>
  <c r="E733" i="1"/>
  <c r="B733" i="1"/>
  <c r="X732" i="1"/>
  <c r="W732" i="1"/>
  <c r="X731" i="1"/>
  <c r="W731" i="1"/>
  <c r="X730" i="1"/>
  <c r="W730" i="1"/>
  <c r="X729" i="1"/>
  <c r="W729" i="1"/>
  <c r="W728" i="1"/>
  <c r="S728" i="1"/>
  <c r="P728" i="1"/>
  <c r="P733" i="1" s="1"/>
  <c r="D728" i="1"/>
  <c r="X727" i="1"/>
  <c r="W727" i="1"/>
  <c r="X726" i="1"/>
  <c r="W726" i="1"/>
  <c r="X725" i="1"/>
  <c r="W725" i="1"/>
  <c r="X724" i="1"/>
  <c r="W724" i="1"/>
  <c r="X723" i="1"/>
  <c r="W723" i="1"/>
  <c r="X722" i="1"/>
  <c r="W722" i="1"/>
  <c r="T711" i="1"/>
  <c r="T712" i="1" s="1"/>
  <c r="Q711" i="1"/>
  <c r="N711" i="1"/>
  <c r="H711" i="1"/>
  <c r="E711" i="1"/>
  <c r="B711" i="1"/>
  <c r="P710" i="1"/>
  <c r="K710" i="1"/>
  <c r="K711" i="1" s="1"/>
  <c r="K712" i="1" s="1"/>
  <c r="J710" i="1"/>
  <c r="G710" i="1"/>
  <c r="D710" i="1"/>
  <c r="W709" i="1"/>
  <c r="S709" i="1"/>
  <c r="P709" i="1"/>
  <c r="J709" i="1"/>
  <c r="G709" i="1"/>
  <c r="D709" i="1"/>
  <c r="W708" i="1"/>
  <c r="V708" i="1"/>
  <c r="S708" i="1"/>
  <c r="P708" i="1"/>
  <c r="J708" i="1"/>
  <c r="G708" i="1"/>
  <c r="D708" i="1"/>
  <c r="W707" i="1"/>
  <c r="V707" i="1"/>
  <c r="S707" i="1"/>
  <c r="P707" i="1"/>
  <c r="J707" i="1"/>
  <c r="G707" i="1"/>
  <c r="D707" i="1"/>
  <c r="W706" i="1"/>
  <c r="V706" i="1"/>
  <c r="P706" i="1"/>
  <c r="M706" i="1"/>
  <c r="J706" i="1"/>
  <c r="G706" i="1"/>
  <c r="D706" i="1"/>
  <c r="W705" i="1"/>
  <c r="V705" i="1"/>
  <c r="P705" i="1"/>
  <c r="M705" i="1"/>
  <c r="J705" i="1"/>
  <c r="G705" i="1"/>
  <c r="D705" i="1"/>
  <c r="W704" i="1"/>
  <c r="V704" i="1"/>
  <c r="S704" i="1"/>
  <c r="P704" i="1"/>
  <c r="J704" i="1"/>
  <c r="G704" i="1"/>
  <c r="D704" i="1"/>
  <c r="Q703" i="1"/>
  <c r="N703" i="1"/>
  <c r="H703" i="1"/>
  <c r="E703" i="1"/>
  <c r="B703" i="1"/>
  <c r="W702" i="1"/>
  <c r="J702" i="1"/>
  <c r="G702" i="1"/>
  <c r="D702" i="1"/>
  <c r="W701" i="1"/>
  <c r="J701" i="1"/>
  <c r="G701" i="1"/>
  <c r="D701" i="1"/>
  <c r="W700" i="1"/>
  <c r="J700" i="1"/>
  <c r="G700" i="1"/>
  <c r="D700" i="1"/>
  <c r="W699" i="1"/>
  <c r="J699" i="1"/>
  <c r="G699" i="1"/>
  <c r="D699" i="1"/>
  <c r="W698" i="1"/>
  <c r="S698" i="1"/>
  <c r="S703" i="1" s="1"/>
  <c r="P698" i="1"/>
  <c r="P703" i="1" s="1"/>
  <c r="J698" i="1"/>
  <c r="X697" i="1"/>
  <c r="W697" i="1"/>
  <c r="W696" i="1"/>
  <c r="J696" i="1"/>
  <c r="G696" i="1"/>
  <c r="D696" i="1"/>
  <c r="W695" i="1"/>
  <c r="J695" i="1"/>
  <c r="G695" i="1"/>
  <c r="D695" i="1"/>
  <c r="W694" i="1"/>
  <c r="J694" i="1"/>
  <c r="G694" i="1"/>
  <c r="X693" i="1"/>
  <c r="W693" i="1"/>
  <c r="W692" i="1"/>
  <c r="J692" i="1"/>
  <c r="G692" i="1"/>
  <c r="D692" i="1"/>
  <c r="P685" i="1"/>
  <c r="N685" i="1"/>
  <c r="M685" i="1"/>
  <c r="K685" i="1"/>
  <c r="K686" i="1" s="1"/>
  <c r="J685" i="1"/>
  <c r="H685" i="1"/>
  <c r="G685" i="1"/>
  <c r="E685" i="1"/>
  <c r="D685" i="1"/>
  <c r="B685" i="1"/>
  <c r="X684" i="1"/>
  <c r="W684" i="1"/>
  <c r="C684" i="1"/>
  <c r="X683" i="1"/>
  <c r="W683" i="1"/>
  <c r="C683" i="1"/>
  <c r="X682" i="1"/>
  <c r="W682" i="1"/>
  <c r="C682" i="1"/>
  <c r="X681" i="1"/>
  <c r="W681" i="1"/>
  <c r="X680" i="1"/>
  <c r="W680" i="1"/>
  <c r="X679" i="1"/>
  <c r="W679" i="1"/>
  <c r="X678" i="1"/>
  <c r="W678" i="1"/>
  <c r="P677" i="1"/>
  <c r="N677" i="1"/>
  <c r="M677" i="1"/>
  <c r="J677" i="1"/>
  <c r="H677" i="1"/>
  <c r="G677" i="1"/>
  <c r="E677" i="1"/>
  <c r="D677" i="1"/>
  <c r="B677" i="1"/>
  <c r="X676" i="1"/>
  <c r="W676" i="1"/>
  <c r="C676" i="1"/>
  <c r="X675" i="1"/>
  <c r="W675" i="1"/>
  <c r="X674" i="1"/>
  <c r="W674" i="1"/>
  <c r="C674" i="1"/>
  <c r="X673" i="1"/>
  <c r="W673" i="1"/>
  <c r="X672" i="1"/>
  <c r="W672" i="1"/>
  <c r="R672" i="1"/>
  <c r="C672" i="1"/>
  <c r="X671" i="1"/>
  <c r="W671" i="1"/>
  <c r="X670" i="1"/>
  <c r="W670" i="1"/>
  <c r="X669" i="1"/>
  <c r="W669" i="1"/>
  <c r="C669" i="1"/>
  <c r="X668" i="1"/>
  <c r="W668" i="1"/>
  <c r="X667" i="1"/>
  <c r="W667" i="1"/>
  <c r="X666" i="1"/>
  <c r="W666" i="1"/>
  <c r="C666" i="1"/>
  <c r="V654" i="1"/>
  <c r="T654" i="1"/>
  <c r="Q654" i="1"/>
  <c r="P654" i="1"/>
  <c r="N654" i="1"/>
  <c r="K654" i="1"/>
  <c r="J654" i="1"/>
  <c r="H654" i="1"/>
  <c r="G654" i="1"/>
  <c r="E654" i="1"/>
  <c r="D654" i="1"/>
  <c r="B654" i="1"/>
  <c r="W653" i="1"/>
  <c r="O653" i="1"/>
  <c r="M653" i="1"/>
  <c r="X653" i="1" s="1"/>
  <c r="I653" i="1"/>
  <c r="F653" i="1"/>
  <c r="C653" i="1"/>
  <c r="W652" i="1"/>
  <c r="O652" i="1"/>
  <c r="M652" i="1"/>
  <c r="X652" i="1" s="1"/>
  <c r="I652" i="1"/>
  <c r="F652" i="1"/>
  <c r="C652" i="1"/>
  <c r="W651" i="1"/>
  <c r="S651" i="1"/>
  <c r="O651" i="1"/>
  <c r="M651" i="1"/>
  <c r="I651" i="1"/>
  <c r="F651" i="1"/>
  <c r="C651" i="1"/>
  <c r="W650" i="1"/>
  <c r="S650" i="1"/>
  <c r="O650" i="1"/>
  <c r="M650" i="1"/>
  <c r="I650" i="1"/>
  <c r="F650" i="1"/>
  <c r="C650" i="1"/>
  <c r="W649" i="1"/>
  <c r="U649" i="1"/>
  <c r="S649" i="1"/>
  <c r="O649" i="1"/>
  <c r="M649" i="1"/>
  <c r="I649" i="1"/>
  <c r="F649" i="1"/>
  <c r="C649" i="1"/>
  <c r="V648" i="1"/>
  <c r="T648" i="1"/>
  <c r="Q648" i="1"/>
  <c r="N648" i="1"/>
  <c r="K648" i="1"/>
  <c r="J648" i="1"/>
  <c r="H648" i="1"/>
  <c r="G648" i="1"/>
  <c r="E648" i="1"/>
  <c r="D648" i="1"/>
  <c r="B648" i="1"/>
  <c r="B655" i="1" s="1"/>
  <c r="W647" i="1"/>
  <c r="S647" i="1"/>
  <c r="P647" i="1"/>
  <c r="P648" i="1" s="1"/>
  <c r="P655" i="1" s="1"/>
  <c r="M647" i="1"/>
  <c r="I647" i="1"/>
  <c r="F647" i="1"/>
  <c r="C647" i="1"/>
  <c r="X646" i="1"/>
  <c r="W646" i="1"/>
  <c r="I646" i="1"/>
  <c r="F646" i="1"/>
  <c r="C646" i="1"/>
  <c r="W645" i="1"/>
  <c r="S645" i="1"/>
  <c r="X645" i="1" s="1"/>
  <c r="O645" i="1"/>
  <c r="X644" i="1"/>
  <c r="W644" i="1"/>
  <c r="W643" i="1"/>
  <c r="M643" i="1"/>
  <c r="X643" i="1" s="1"/>
  <c r="I643" i="1"/>
  <c r="F643" i="1"/>
  <c r="C643" i="1"/>
  <c r="X642" i="1"/>
  <c r="W642" i="1"/>
  <c r="O642" i="1"/>
  <c r="I642" i="1"/>
  <c r="F642" i="1"/>
  <c r="C642" i="1"/>
  <c r="X641" i="1"/>
  <c r="W641" i="1"/>
  <c r="I641" i="1"/>
  <c r="F641" i="1"/>
  <c r="C641" i="1"/>
  <c r="X640" i="1"/>
  <c r="W640" i="1"/>
  <c r="X639" i="1"/>
  <c r="W639" i="1"/>
  <c r="I639" i="1"/>
  <c r="F639" i="1"/>
  <c r="C639" i="1"/>
  <c r="V629" i="1"/>
  <c r="T629" i="1"/>
  <c r="S629" i="1"/>
  <c r="Q629" i="1"/>
  <c r="N629" i="1"/>
  <c r="M629" i="1"/>
  <c r="L629" i="1" s="1"/>
  <c r="K629" i="1"/>
  <c r="J629" i="1"/>
  <c r="H629" i="1"/>
  <c r="G629" i="1"/>
  <c r="E629" i="1"/>
  <c r="D629" i="1"/>
  <c r="B629" i="1"/>
  <c r="X628" i="1"/>
  <c r="W628" i="1"/>
  <c r="O628" i="1"/>
  <c r="L628" i="1"/>
  <c r="I628" i="1"/>
  <c r="F628" i="1"/>
  <c r="C628" i="1"/>
  <c r="X627" i="1"/>
  <c r="W627" i="1"/>
  <c r="L627" i="1"/>
  <c r="I627" i="1"/>
  <c r="F627" i="1"/>
  <c r="C627" i="1"/>
  <c r="X626" i="1"/>
  <c r="W626" i="1"/>
  <c r="L626" i="1"/>
  <c r="I626" i="1"/>
  <c r="F626" i="1"/>
  <c r="C626" i="1"/>
  <c r="X625" i="1"/>
  <c r="W625" i="1"/>
  <c r="L625" i="1"/>
  <c r="I625" i="1"/>
  <c r="F625" i="1"/>
  <c r="C625" i="1"/>
  <c r="W624" i="1"/>
  <c r="P624" i="1"/>
  <c r="P629" i="1" s="1"/>
  <c r="L624" i="1"/>
  <c r="I624" i="1"/>
  <c r="F624" i="1"/>
  <c r="C624" i="1"/>
  <c r="V623" i="1"/>
  <c r="T623" i="1"/>
  <c r="S623" i="1"/>
  <c r="Q623" i="1"/>
  <c r="Q630" i="1" s="1"/>
  <c r="P623" i="1"/>
  <c r="N623" i="1"/>
  <c r="M623" i="1"/>
  <c r="K623" i="1"/>
  <c r="K630" i="1" s="1"/>
  <c r="J623" i="1"/>
  <c r="H623" i="1"/>
  <c r="E623" i="1"/>
  <c r="B623" i="1"/>
  <c r="X622" i="1"/>
  <c r="W622" i="1"/>
  <c r="O622" i="1"/>
  <c r="L622" i="1"/>
  <c r="I622" i="1"/>
  <c r="F622" i="1"/>
  <c r="C622" i="1"/>
  <c r="X621" i="1"/>
  <c r="W621" i="1"/>
  <c r="O621" i="1"/>
  <c r="L621" i="1"/>
  <c r="I621" i="1"/>
  <c r="F621" i="1"/>
  <c r="C621" i="1"/>
  <c r="X620" i="1"/>
  <c r="W620" i="1"/>
  <c r="F620" i="1"/>
  <c r="C620" i="1"/>
  <c r="W619" i="1"/>
  <c r="G619" i="1"/>
  <c r="G623" i="1" s="1"/>
  <c r="D619" i="1"/>
  <c r="D623" i="1" s="1"/>
  <c r="X618" i="1"/>
  <c r="W618" i="1"/>
  <c r="O618" i="1"/>
  <c r="I618" i="1"/>
  <c r="F618" i="1"/>
  <c r="C618" i="1"/>
  <c r="X617" i="1"/>
  <c r="W617" i="1"/>
  <c r="O617" i="1"/>
  <c r="L617" i="1"/>
  <c r="I617" i="1"/>
  <c r="F617" i="1"/>
  <c r="C617" i="1"/>
  <c r="X616" i="1"/>
  <c r="W616" i="1"/>
  <c r="F616" i="1"/>
  <c r="C616" i="1"/>
  <c r="X615" i="1"/>
  <c r="W615" i="1"/>
  <c r="X614" i="1"/>
  <c r="W614" i="1"/>
  <c r="O614" i="1"/>
  <c r="F614" i="1"/>
  <c r="C614" i="1"/>
  <c r="T603" i="1"/>
  <c r="Q603" i="1"/>
  <c r="N603" i="1"/>
  <c r="K603" i="1"/>
  <c r="H603" i="1"/>
  <c r="E603" i="1"/>
  <c r="B603" i="1"/>
  <c r="W602" i="1"/>
  <c r="V602" i="1"/>
  <c r="S602" i="1"/>
  <c r="P602" i="1"/>
  <c r="M602" i="1"/>
  <c r="J602" i="1"/>
  <c r="G602" i="1"/>
  <c r="D602" i="1"/>
  <c r="W601" i="1"/>
  <c r="V601" i="1"/>
  <c r="S601" i="1"/>
  <c r="P601" i="1"/>
  <c r="M601" i="1"/>
  <c r="J601" i="1"/>
  <c r="G601" i="1"/>
  <c r="D601" i="1"/>
  <c r="W600" i="1"/>
  <c r="V600" i="1"/>
  <c r="S600" i="1"/>
  <c r="P600" i="1"/>
  <c r="M600" i="1"/>
  <c r="J600" i="1"/>
  <c r="G600" i="1"/>
  <c r="D600" i="1"/>
  <c r="W599" i="1"/>
  <c r="V599" i="1"/>
  <c r="S599" i="1"/>
  <c r="P599" i="1"/>
  <c r="M599" i="1"/>
  <c r="J599" i="1"/>
  <c r="G599" i="1"/>
  <c r="D599" i="1"/>
  <c r="W598" i="1"/>
  <c r="V598" i="1"/>
  <c r="V603" i="1" s="1"/>
  <c r="S598" i="1"/>
  <c r="P598" i="1"/>
  <c r="P603" i="1" s="1"/>
  <c r="M598" i="1"/>
  <c r="M603" i="1" s="1"/>
  <c r="J598" i="1"/>
  <c r="J603" i="1" s="1"/>
  <c r="G598" i="1"/>
  <c r="D598" i="1"/>
  <c r="D603" i="1" s="1"/>
  <c r="T597" i="1"/>
  <c r="Q597" i="1"/>
  <c r="N597" i="1"/>
  <c r="K597" i="1"/>
  <c r="K604" i="1" s="1"/>
  <c r="H597" i="1"/>
  <c r="E597" i="1"/>
  <c r="B597" i="1"/>
  <c r="W596" i="1"/>
  <c r="V596" i="1"/>
  <c r="S596" i="1"/>
  <c r="P596" i="1"/>
  <c r="M596" i="1"/>
  <c r="J596" i="1"/>
  <c r="G596" i="1"/>
  <c r="D596" i="1"/>
  <c r="W595" i="1"/>
  <c r="V595" i="1"/>
  <c r="S595" i="1"/>
  <c r="P595" i="1"/>
  <c r="M595" i="1"/>
  <c r="J595" i="1"/>
  <c r="G595" i="1"/>
  <c r="D595" i="1"/>
  <c r="W594" i="1"/>
  <c r="V594" i="1"/>
  <c r="S594" i="1"/>
  <c r="P594" i="1"/>
  <c r="M594" i="1"/>
  <c r="J594" i="1"/>
  <c r="G594" i="1"/>
  <c r="D594" i="1"/>
  <c r="W593" i="1"/>
  <c r="V593" i="1"/>
  <c r="S593" i="1"/>
  <c r="P593" i="1"/>
  <c r="M593" i="1"/>
  <c r="J593" i="1"/>
  <c r="G593" i="1"/>
  <c r="D593" i="1"/>
  <c r="W592" i="1"/>
  <c r="V592" i="1"/>
  <c r="S592" i="1"/>
  <c r="P592" i="1"/>
  <c r="M592" i="1"/>
  <c r="J592" i="1"/>
  <c r="G592" i="1"/>
  <c r="D592" i="1"/>
  <c r="W591" i="1"/>
  <c r="V591" i="1"/>
  <c r="S591" i="1"/>
  <c r="P591" i="1"/>
  <c r="M591" i="1"/>
  <c r="J591" i="1"/>
  <c r="G591" i="1"/>
  <c r="D591" i="1"/>
  <c r="W590" i="1"/>
  <c r="V590" i="1"/>
  <c r="S590" i="1"/>
  <c r="P590" i="1"/>
  <c r="M590" i="1"/>
  <c r="J590" i="1"/>
  <c r="G590" i="1"/>
  <c r="D590" i="1"/>
  <c r="W589" i="1"/>
  <c r="V589" i="1"/>
  <c r="S589" i="1"/>
  <c r="P589" i="1"/>
  <c r="M589" i="1"/>
  <c r="J589" i="1"/>
  <c r="G589" i="1"/>
  <c r="D589" i="1"/>
  <c r="W588" i="1"/>
  <c r="W597" i="1" s="1"/>
  <c r="V588" i="1"/>
  <c r="V597" i="1" s="1"/>
  <c r="S588" i="1"/>
  <c r="P588" i="1"/>
  <c r="M588" i="1"/>
  <c r="J588" i="1"/>
  <c r="J597" i="1" s="1"/>
  <c r="G588" i="1"/>
  <c r="D588" i="1"/>
  <c r="T579" i="1"/>
  <c r="Q579" i="1"/>
  <c r="N579" i="1"/>
  <c r="K579" i="1"/>
  <c r="H579" i="1"/>
  <c r="E579" i="1"/>
  <c r="B579" i="1"/>
  <c r="W578" i="1"/>
  <c r="V578" i="1"/>
  <c r="S578" i="1"/>
  <c r="P578" i="1"/>
  <c r="M578" i="1"/>
  <c r="J578" i="1"/>
  <c r="G578" i="1"/>
  <c r="D578" i="1"/>
  <c r="W577" i="1"/>
  <c r="V577" i="1"/>
  <c r="S577" i="1"/>
  <c r="P577" i="1"/>
  <c r="M577" i="1"/>
  <c r="J577" i="1"/>
  <c r="G577" i="1"/>
  <c r="D577" i="1"/>
  <c r="W576" i="1"/>
  <c r="V576" i="1"/>
  <c r="S576" i="1"/>
  <c r="P576" i="1"/>
  <c r="M576" i="1"/>
  <c r="J576" i="1"/>
  <c r="G576" i="1"/>
  <c r="D576" i="1"/>
  <c r="W575" i="1"/>
  <c r="V575" i="1"/>
  <c r="S575" i="1"/>
  <c r="P575" i="1"/>
  <c r="M575" i="1"/>
  <c r="J575" i="1"/>
  <c r="G575" i="1"/>
  <c r="D575" i="1"/>
  <c r="W574" i="1"/>
  <c r="V574" i="1"/>
  <c r="S574" i="1"/>
  <c r="P574" i="1"/>
  <c r="P579" i="1" s="1"/>
  <c r="M574" i="1"/>
  <c r="J574" i="1"/>
  <c r="G574" i="1"/>
  <c r="D574" i="1"/>
  <c r="D579" i="1" s="1"/>
  <c r="T573" i="1"/>
  <c r="Q573" i="1"/>
  <c r="Q580" i="1" s="1"/>
  <c r="N573" i="1"/>
  <c r="K573" i="1"/>
  <c r="H573" i="1"/>
  <c r="E573" i="1"/>
  <c r="E580" i="1" s="1"/>
  <c r="B573" i="1"/>
  <c r="W572" i="1"/>
  <c r="V572" i="1"/>
  <c r="S572" i="1"/>
  <c r="P572" i="1"/>
  <c r="M572" i="1"/>
  <c r="J572" i="1"/>
  <c r="G572" i="1"/>
  <c r="D572" i="1"/>
  <c r="W571" i="1"/>
  <c r="V571" i="1"/>
  <c r="S571" i="1"/>
  <c r="P571" i="1"/>
  <c r="M571" i="1"/>
  <c r="J571" i="1"/>
  <c r="G571" i="1"/>
  <c r="D571" i="1"/>
  <c r="W570" i="1"/>
  <c r="V570" i="1"/>
  <c r="S570" i="1"/>
  <c r="P570" i="1"/>
  <c r="M570" i="1"/>
  <c r="J570" i="1"/>
  <c r="G570" i="1"/>
  <c r="D570" i="1"/>
  <c r="W569" i="1"/>
  <c r="V569" i="1"/>
  <c r="S569" i="1"/>
  <c r="P569" i="1"/>
  <c r="M569" i="1"/>
  <c r="J569" i="1"/>
  <c r="G569" i="1"/>
  <c r="D569" i="1"/>
  <c r="W568" i="1"/>
  <c r="V568" i="1"/>
  <c r="S568" i="1"/>
  <c r="P568" i="1"/>
  <c r="M568" i="1"/>
  <c r="J568" i="1"/>
  <c r="G568" i="1"/>
  <c r="D568" i="1"/>
  <c r="W567" i="1"/>
  <c r="V567" i="1"/>
  <c r="S567" i="1"/>
  <c r="P567" i="1"/>
  <c r="M567" i="1"/>
  <c r="J567" i="1"/>
  <c r="G567" i="1"/>
  <c r="D567" i="1"/>
  <c r="W566" i="1"/>
  <c r="V566" i="1"/>
  <c r="S566" i="1"/>
  <c r="P566" i="1"/>
  <c r="M566" i="1"/>
  <c r="J566" i="1"/>
  <c r="G566" i="1"/>
  <c r="D566" i="1"/>
  <c r="W565" i="1"/>
  <c r="V565" i="1"/>
  <c r="S565" i="1"/>
  <c r="P565" i="1"/>
  <c r="M565" i="1"/>
  <c r="J565" i="1"/>
  <c r="G565" i="1"/>
  <c r="D565" i="1"/>
  <c r="W564" i="1"/>
  <c r="W573" i="1" s="1"/>
  <c r="V564" i="1"/>
  <c r="S564" i="1"/>
  <c r="P564" i="1"/>
  <c r="P573" i="1" s="1"/>
  <c r="M564" i="1"/>
  <c r="J564" i="1"/>
  <c r="G564" i="1"/>
  <c r="D564" i="1"/>
  <c r="T554" i="1"/>
  <c r="Q554" i="1"/>
  <c r="N554" i="1"/>
  <c r="K554" i="1"/>
  <c r="H554" i="1"/>
  <c r="E554" i="1"/>
  <c r="B554" i="1"/>
  <c r="W553" i="1"/>
  <c r="V553" i="1"/>
  <c r="S553" i="1"/>
  <c r="P553" i="1"/>
  <c r="M553" i="1"/>
  <c r="J553" i="1"/>
  <c r="G553" i="1"/>
  <c r="D553" i="1"/>
  <c r="W552" i="1"/>
  <c r="V552" i="1"/>
  <c r="S552" i="1"/>
  <c r="P552" i="1"/>
  <c r="M552" i="1"/>
  <c r="J552" i="1"/>
  <c r="G552" i="1"/>
  <c r="D552" i="1"/>
  <c r="W551" i="1"/>
  <c r="V551" i="1"/>
  <c r="S551" i="1"/>
  <c r="P551" i="1"/>
  <c r="M551" i="1"/>
  <c r="J551" i="1"/>
  <c r="G551" i="1"/>
  <c r="D551" i="1"/>
  <c r="W550" i="1"/>
  <c r="V550" i="1"/>
  <c r="S550" i="1"/>
  <c r="P550" i="1"/>
  <c r="M550" i="1"/>
  <c r="J550" i="1"/>
  <c r="G550" i="1"/>
  <c r="D550" i="1"/>
  <c r="W549" i="1"/>
  <c r="V549" i="1"/>
  <c r="V554" i="1" s="1"/>
  <c r="S549" i="1"/>
  <c r="P549" i="1"/>
  <c r="P554" i="1" s="1"/>
  <c r="M549" i="1"/>
  <c r="M554" i="1" s="1"/>
  <c r="J549" i="1"/>
  <c r="J554" i="1" s="1"/>
  <c r="G549" i="1"/>
  <c r="D549" i="1"/>
  <c r="D554" i="1" s="1"/>
  <c r="T548" i="1"/>
  <c r="Q548" i="1"/>
  <c r="N548" i="1"/>
  <c r="K548" i="1"/>
  <c r="H548" i="1"/>
  <c r="E548" i="1"/>
  <c r="B548" i="1"/>
  <c r="W547" i="1"/>
  <c r="V547" i="1"/>
  <c r="S547" i="1"/>
  <c r="P547" i="1"/>
  <c r="M547" i="1"/>
  <c r="J547" i="1"/>
  <c r="G547" i="1"/>
  <c r="D547" i="1"/>
  <c r="W546" i="1"/>
  <c r="V546" i="1"/>
  <c r="S546" i="1"/>
  <c r="P546" i="1"/>
  <c r="M546" i="1"/>
  <c r="J546" i="1"/>
  <c r="G546" i="1"/>
  <c r="D546" i="1"/>
  <c r="W545" i="1"/>
  <c r="V545" i="1"/>
  <c r="S545" i="1"/>
  <c r="P545" i="1"/>
  <c r="M545" i="1"/>
  <c r="J545" i="1"/>
  <c r="G545" i="1"/>
  <c r="D545" i="1"/>
  <c r="W544" i="1"/>
  <c r="V544" i="1"/>
  <c r="S544" i="1"/>
  <c r="P544" i="1"/>
  <c r="M544" i="1"/>
  <c r="J544" i="1"/>
  <c r="G544" i="1"/>
  <c r="D544" i="1"/>
  <c r="W543" i="1"/>
  <c r="V543" i="1"/>
  <c r="S543" i="1"/>
  <c r="P543" i="1"/>
  <c r="M543" i="1"/>
  <c r="J543" i="1"/>
  <c r="G543" i="1"/>
  <c r="D543" i="1"/>
  <c r="W542" i="1"/>
  <c r="V542" i="1"/>
  <c r="S542" i="1"/>
  <c r="P542" i="1"/>
  <c r="M542" i="1"/>
  <c r="J542" i="1"/>
  <c r="G542" i="1"/>
  <c r="D542" i="1"/>
  <c r="W541" i="1"/>
  <c r="V541" i="1"/>
  <c r="S541" i="1"/>
  <c r="P541" i="1"/>
  <c r="M541" i="1"/>
  <c r="J541" i="1"/>
  <c r="G541" i="1"/>
  <c r="D541" i="1"/>
  <c r="W540" i="1"/>
  <c r="V540" i="1"/>
  <c r="S540" i="1"/>
  <c r="P540" i="1"/>
  <c r="M540" i="1"/>
  <c r="J540" i="1"/>
  <c r="G540" i="1"/>
  <c r="D540" i="1"/>
  <c r="W539" i="1"/>
  <c r="V539" i="1"/>
  <c r="V548" i="1" s="1"/>
  <c r="S539" i="1"/>
  <c r="P539" i="1"/>
  <c r="M539" i="1"/>
  <c r="J539" i="1"/>
  <c r="J548" i="1" s="1"/>
  <c r="G539" i="1"/>
  <c r="D539" i="1"/>
  <c r="U533" i="1"/>
  <c r="R533" i="1"/>
  <c r="T532" i="1"/>
  <c r="Q532" i="1"/>
  <c r="N532" i="1"/>
  <c r="K532" i="1"/>
  <c r="H532" i="1"/>
  <c r="E532" i="1"/>
  <c r="B532" i="1"/>
  <c r="W531" i="1"/>
  <c r="V531" i="1"/>
  <c r="S531" i="1"/>
  <c r="P531" i="1"/>
  <c r="M531" i="1"/>
  <c r="J531" i="1"/>
  <c r="G531" i="1"/>
  <c r="D531" i="1"/>
  <c r="W530" i="1"/>
  <c r="V530" i="1"/>
  <c r="S530" i="1"/>
  <c r="P530" i="1"/>
  <c r="M530" i="1"/>
  <c r="J530" i="1"/>
  <c r="G530" i="1"/>
  <c r="D530" i="1"/>
  <c r="W529" i="1"/>
  <c r="V529" i="1"/>
  <c r="S529" i="1"/>
  <c r="P529" i="1"/>
  <c r="M529" i="1"/>
  <c r="J529" i="1"/>
  <c r="G529" i="1"/>
  <c r="D529" i="1"/>
  <c r="W528" i="1"/>
  <c r="V528" i="1"/>
  <c r="S528" i="1"/>
  <c r="P528" i="1"/>
  <c r="M528" i="1"/>
  <c r="J528" i="1"/>
  <c r="G528" i="1"/>
  <c r="D528" i="1"/>
  <c r="W527" i="1"/>
  <c r="V527" i="1"/>
  <c r="V532" i="1" s="1"/>
  <c r="S527" i="1"/>
  <c r="P527" i="1"/>
  <c r="P532" i="1" s="1"/>
  <c r="M527" i="1"/>
  <c r="M532" i="1" s="1"/>
  <c r="J527" i="1"/>
  <c r="J532" i="1" s="1"/>
  <c r="G527" i="1"/>
  <c r="D527" i="1"/>
  <c r="D532" i="1" s="1"/>
  <c r="T526" i="1"/>
  <c r="Q526" i="1"/>
  <c r="N526" i="1"/>
  <c r="K526" i="1"/>
  <c r="H526" i="1"/>
  <c r="E526" i="1"/>
  <c r="B526" i="1"/>
  <c r="W525" i="1"/>
  <c r="V525" i="1"/>
  <c r="S525" i="1"/>
  <c r="P525" i="1"/>
  <c r="M525" i="1"/>
  <c r="J525" i="1"/>
  <c r="G525" i="1"/>
  <c r="D525" i="1"/>
  <c r="W524" i="1"/>
  <c r="V524" i="1"/>
  <c r="S524" i="1"/>
  <c r="P524" i="1"/>
  <c r="M524" i="1"/>
  <c r="G524" i="1"/>
  <c r="D524" i="1"/>
  <c r="W523" i="1"/>
  <c r="V523" i="1"/>
  <c r="S523" i="1"/>
  <c r="J523" i="1"/>
  <c r="G523" i="1"/>
  <c r="D523" i="1"/>
  <c r="W522" i="1"/>
  <c r="V522" i="1"/>
  <c r="S522" i="1"/>
  <c r="J522" i="1"/>
  <c r="D522" i="1"/>
  <c r="W521" i="1"/>
  <c r="V521" i="1"/>
  <c r="S521" i="1"/>
  <c r="P521" i="1"/>
  <c r="J521" i="1"/>
  <c r="G521" i="1"/>
  <c r="D521" i="1"/>
  <c r="W520" i="1"/>
  <c r="V520" i="1"/>
  <c r="S520" i="1"/>
  <c r="P520" i="1"/>
  <c r="M520" i="1"/>
  <c r="J520" i="1"/>
  <c r="G520" i="1"/>
  <c r="D520" i="1"/>
  <c r="W519" i="1"/>
  <c r="V519" i="1"/>
  <c r="S519" i="1"/>
  <c r="P519" i="1"/>
  <c r="G519" i="1"/>
  <c r="D519" i="1"/>
  <c r="W517" i="1"/>
  <c r="V517" i="1"/>
  <c r="S517" i="1"/>
  <c r="G517" i="1"/>
  <c r="D517" i="1"/>
  <c r="Q510" i="1"/>
  <c r="N510" i="1"/>
  <c r="K510" i="1"/>
  <c r="J510" i="1"/>
  <c r="H510" i="1"/>
  <c r="E510" i="1"/>
  <c r="B510" i="1"/>
  <c r="W509" i="1"/>
  <c r="P509" i="1"/>
  <c r="G509" i="1"/>
  <c r="D509" i="1"/>
  <c r="W508" i="1"/>
  <c r="P508" i="1"/>
  <c r="G508" i="1"/>
  <c r="D508" i="1"/>
  <c r="W507" i="1"/>
  <c r="P507" i="1"/>
  <c r="G507" i="1"/>
  <c r="D507" i="1"/>
  <c r="W506" i="1"/>
  <c r="V506" i="1"/>
  <c r="V510" i="1" s="1"/>
  <c r="S506" i="1"/>
  <c r="P506" i="1"/>
  <c r="M506" i="1"/>
  <c r="M510" i="1" s="1"/>
  <c r="G506" i="1"/>
  <c r="D506" i="1"/>
  <c r="W505" i="1"/>
  <c r="S505" i="1"/>
  <c r="P505" i="1"/>
  <c r="G505" i="1"/>
  <c r="D505" i="1"/>
  <c r="V504" i="1"/>
  <c r="U504" i="1"/>
  <c r="T504" i="1"/>
  <c r="T511" i="1" s="1"/>
  <c r="S504" i="1"/>
  <c r="R504" i="1"/>
  <c r="Q504" i="1"/>
  <c r="Q511" i="1" s="1"/>
  <c r="N504" i="1"/>
  <c r="K504" i="1"/>
  <c r="K511" i="1" s="1"/>
  <c r="J504" i="1"/>
  <c r="H504" i="1"/>
  <c r="E504" i="1"/>
  <c r="B504" i="1"/>
  <c r="W503" i="1"/>
  <c r="P503" i="1"/>
  <c r="M503" i="1"/>
  <c r="G503" i="1"/>
  <c r="D503" i="1"/>
  <c r="W502" i="1"/>
  <c r="G502" i="1"/>
  <c r="D502" i="1"/>
  <c r="W501" i="1"/>
  <c r="P501" i="1"/>
  <c r="X501" i="1" s="1"/>
  <c r="X500" i="1"/>
  <c r="W500" i="1"/>
  <c r="W499" i="1"/>
  <c r="P499" i="1"/>
  <c r="G499" i="1"/>
  <c r="D499" i="1"/>
  <c r="W498" i="1"/>
  <c r="P498" i="1"/>
  <c r="P504" i="1" s="1"/>
  <c r="M498" i="1"/>
  <c r="G498" i="1"/>
  <c r="D498" i="1"/>
  <c r="W497" i="1"/>
  <c r="D497" i="1"/>
  <c r="X497" i="1" s="1"/>
  <c r="W495" i="1"/>
  <c r="M495" i="1"/>
  <c r="G495" i="1"/>
  <c r="D495" i="1"/>
  <c r="V490" i="1"/>
  <c r="T490" i="1"/>
  <c r="S489" i="1"/>
  <c r="Q489" i="1"/>
  <c r="N489" i="1"/>
  <c r="K489" i="1"/>
  <c r="H489" i="1"/>
  <c r="E489" i="1"/>
  <c r="B489" i="1"/>
  <c r="W488" i="1"/>
  <c r="P488" i="1"/>
  <c r="M488" i="1"/>
  <c r="J488" i="1"/>
  <c r="G488" i="1"/>
  <c r="D488" i="1"/>
  <c r="W487" i="1"/>
  <c r="M487" i="1"/>
  <c r="J487" i="1"/>
  <c r="G487" i="1"/>
  <c r="D487" i="1"/>
  <c r="W486" i="1"/>
  <c r="M486" i="1"/>
  <c r="J486" i="1"/>
  <c r="G486" i="1"/>
  <c r="D486" i="1"/>
  <c r="W485" i="1"/>
  <c r="P485" i="1"/>
  <c r="M485" i="1"/>
  <c r="J485" i="1"/>
  <c r="G485" i="1"/>
  <c r="D485" i="1"/>
  <c r="W484" i="1"/>
  <c r="P484" i="1"/>
  <c r="M484" i="1"/>
  <c r="J484" i="1"/>
  <c r="G484" i="1"/>
  <c r="D484" i="1"/>
  <c r="Q483" i="1"/>
  <c r="N483" i="1"/>
  <c r="K483" i="1"/>
  <c r="H483" i="1"/>
  <c r="E483" i="1"/>
  <c r="B483" i="1"/>
  <c r="W482" i="1"/>
  <c r="P482" i="1"/>
  <c r="M482" i="1"/>
  <c r="J482" i="1"/>
  <c r="G482" i="1"/>
  <c r="D482" i="1"/>
  <c r="W481" i="1"/>
  <c r="P481" i="1"/>
  <c r="G481" i="1"/>
  <c r="D481" i="1"/>
  <c r="W480" i="1"/>
  <c r="S480" i="1"/>
  <c r="S483" i="1" s="1"/>
  <c r="J480" i="1"/>
  <c r="G480" i="1"/>
  <c r="D480" i="1"/>
  <c r="W479" i="1"/>
  <c r="J479" i="1"/>
  <c r="D479" i="1"/>
  <c r="W478" i="1"/>
  <c r="P478" i="1"/>
  <c r="M478" i="1"/>
  <c r="J478" i="1"/>
  <c r="G478" i="1"/>
  <c r="D478" i="1"/>
  <c r="W477" i="1"/>
  <c r="P477" i="1"/>
  <c r="M477" i="1"/>
  <c r="J477" i="1"/>
  <c r="G477" i="1"/>
  <c r="D477" i="1"/>
  <c r="W476" i="1"/>
  <c r="G476" i="1"/>
  <c r="D476" i="1"/>
  <c r="W474" i="1"/>
  <c r="G474" i="1"/>
  <c r="D474" i="1"/>
  <c r="T467" i="1"/>
  <c r="T468" i="1" s="1"/>
  <c r="Q467" i="1"/>
  <c r="N467" i="1"/>
  <c r="K467" i="1"/>
  <c r="H467" i="1"/>
  <c r="E467" i="1"/>
  <c r="B467" i="1"/>
  <c r="W466" i="1"/>
  <c r="V466" i="1"/>
  <c r="S466" i="1"/>
  <c r="P466" i="1"/>
  <c r="M466" i="1"/>
  <c r="J466" i="1"/>
  <c r="G466" i="1"/>
  <c r="D466" i="1"/>
  <c r="W465" i="1"/>
  <c r="V465" i="1"/>
  <c r="S465" i="1"/>
  <c r="P465" i="1"/>
  <c r="M465" i="1"/>
  <c r="J465" i="1"/>
  <c r="G465" i="1"/>
  <c r="D465" i="1"/>
  <c r="W464" i="1"/>
  <c r="V464" i="1"/>
  <c r="S464" i="1"/>
  <c r="P464" i="1"/>
  <c r="M464" i="1"/>
  <c r="J464" i="1"/>
  <c r="G464" i="1"/>
  <c r="D464" i="1"/>
  <c r="W463" i="1"/>
  <c r="V463" i="1"/>
  <c r="S463" i="1"/>
  <c r="P463" i="1"/>
  <c r="M463" i="1"/>
  <c r="J463" i="1"/>
  <c r="G463" i="1"/>
  <c r="D463" i="1"/>
  <c r="W462" i="1"/>
  <c r="V462" i="1"/>
  <c r="S462" i="1"/>
  <c r="P462" i="1"/>
  <c r="P467" i="1" s="1"/>
  <c r="M462" i="1"/>
  <c r="J462" i="1"/>
  <c r="G462" i="1"/>
  <c r="D462" i="1"/>
  <c r="D467" i="1" s="1"/>
  <c r="R461" i="1"/>
  <c r="Q461" i="1"/>
  <c r="N461" i="1"/>
  <c r="K461" i="1"/>
  <c r="H461" i="1"/>
  <c r="E461" i="1"/>
  <c r="B461" i="1"/>
  <c r="W460" i="1"/>
  <c r="V460" i="1"/>
  <c r="S460" i="1"/>
  <c r="P460" i="1"/>
  <c r="M460" i="1"/>
  <c r="J460" i="1"/>
  <c r="G460" i="1"/>
  <c r="D460" i="1"/>
  <c r="W459" i="1"/>
  <c r="V459" i="1"/>
  <c r="S459" i="1"/>
  <c r="P459" i="1"/>
  <c r="M459" i="1"/>
  <c r="J459" i="1"/>
  <c r="G459" i="1"/>
  <c r="D459" i="1"/>
  <c r="W458" i="1"/>
  <c r="V458" i="1"/>
  <c r="S458" i="1"/>
  <c r="P458" i="1"/>
  <c r="M458" i="1"/>
  <c r="J458" i="1"/>
  <c r="G458" i="1"/>
  <c r="D458" i="1"/>
  <c r="W457" i="1"/>
  <c r="V457" i="1"/>
  <c r="S457" i="1"/>
  <c r="P457" i="1"/>
  <c r="M457" i="1"/>
  <c r="J457" i="1"/>
  <c r="G457" i="1"/>
  <c r="D457" i="1"/>
  <c r="W456" i="1"/>
  <c r="V456" i="1"/>
  <c r="S456" i="1"/>
  <c r="P456" i="1"/>
  <c r="M456" i="1"/>
  <c r="J456" i="1"/>
  <c r="G456" i="1"/>
  <c r="D456" i="1"/>
  <c r="W455" i="1"/>
  <c r="V455" i="1"/>
  <c r="S455" i="1"/>
  <c r="P455" i="1"/>
  <c r="M455" i="1"/>
  <c r="J455" i="1"/>
  <c r="G455" i="1"/>
  <c r="D455" i="1"/>
  <c r="W454" i="1"/>
  <c r="V454" i="1"/>
  <c r="S454" i="1"/>
  <c r="P454" i="1"/>
  <c r="M454" i="1"/>
  <c r="J454" i="1"/>
  <c r="G454" i="1"/>
  <c r="D454" i="1"/>
  <c r="W453" i="1"/>
  <c r="V453" i="1"/>
  <c r="S453" i="1"/>
  <c r="P453" i="1"/>
  <c r="M453" i="1"/>
  <c r="J453" i="1"/>
  <c r="G453" i="1"/>
  <c r="D453" i="1"/>
  <c r="W452" i="1"/>
  <c r="V452" i="1"/>
  <c r="S452" i="1"/>
  <c r="P452" i="1"/>
  <c r="M452" i="1"/>
  <c r="J452" i="1"/>
  <c r="G452" i="1"/>
  <c r="G461" i="1" s="1"/>
  <c r="D452" i="1"/>
  <c r="U446" i="1"/>
  <c r="T446" i="1"/>
  <c r="Q446" i="1"/>
  <c r="N446" i="1"/>
  <c r="K446" i="1"/>
  <c r="H446" i="1"/>
  <c r="E446" i="1"/>
  <c r="B446" i="1"/>
  <c r="W445" i="1"/>
  <c r="V445" i="1"/>
  <c r="S445" i="1"/>
  <c r="P445" i="1"/>
  <c r="M445" i="1"/>
  <c r="J445" i="1"/>
  <c r="G445" i="1"/>
  <c r="D445" i="1"/>
  <c r="W444" i="1"/>
  <c r="V444" i="1"/>
  <c r="S444" i="1"/>
  <c r="P444" i="1"/>
  <c r="M444" i="1"/>
  <c r="J444" i="1"/>
  <c r="G444" i="1"/>
  <c r="D444" i="1"/>
  <c r="W443" i="1"/>
  <c r="V443" i="1"/>
  <c r="S443" i="1"/>
  <c r="P443" i="1"/>
  <c r="M443" i="1"/>
  <c r="J443" i="1"/>
  <c r="G443" i="1"/>
  <c r="D443" i="1"/>
  <c r="W442" i="1"/>
  <c r="V442" i="1"/>
  <c r="S442" i="1"/>
  <c r="P442" i="1"/>
  <c r="M442" i="1"/>
  <c r="J442" i="1"/>
  <c r="G442" i="1"/>
  <c r="D442" i="1"/>
  <c r="W441" i="1"/>
  <c r="V441" i="1"/>
  <c r="S441" i="1"/>
  <c r="P441" i="1"/>
  <c r="P446" i="1" s="1"/>
  <c r="M441" i="1"/>
  <c r="J441" i="1"/>
  <c r="G441" i="1"/>
  <c r="D441" i="1"/>
  <c r="U440" i="1"/>
  <c r="T440" i="1"/>
  <c r="Q440" i="1"/>
  <c r="N440" i="1"/>
  <c r="K440" i="1"/>
  <c r="H440" i="1"/>
  <c r="E440" i="1"/>
  <c r="B440" i="1"/>
  <c r="W439" i="1"/>
  <c r="V439" i="1"/>
  <c r="S439" i="1"/>
  <c r="P439" i="1"/>
  <c r="M439" i="1"/>
  <c r="J439" i="1"/>
  <c r="G439" i="1"/>
  <c r="D439" i="1"/>
  <c r="W438" i="1"/>
  <c r="V438" i="1"/>
  <c r="S438" i="1"/>
  <c r="P438" i="1"/>
  <c r="M438" i="1"/>
  <c r="J438" i="1"/>
  <c r="G438" i="1"/>
  <c r="D438" i="1"/>
  <c r="W437" i="1"/>
  <c r="V437" i="1"/>
  <c r="S437" i="1"/>
  <c r="P437" i="1"/>
  <c r="M437" i="1"/>
  <c r="J437" i="1"/>
  <c r="G437" i="1"/>
  <c r="D437" i="1"/>
  <c r="W436" i="1"/>
  <c r="V436" i="1"/>
  <c r="S436" i="1"/>
  <c r="P436" i="1"/>
  <c r="M436" i="1"/>
  <c r="J436" i="1"/>
  <c r="G436" i="1"/>
  <c r="D436" i="1"/>
  <c r="W435" i="1"/>
  <c r="V435" i="1"/>
  <c r="S435" i="1"/>
  <c r="P435" i="1"/>
  <c r="M435" i="1"/>
  <c r="J435" i="1"/>
  <c r="G435" i="1"/>
  <c r="D435" i="1"/>
  <c r="W434" i="1"/>
  <c r="V434" i="1"/>
  <c r="S434" i="1"/>
  <c r="P434" i="1"/>
  <c r="M434" i="1"/>
  <c r="J434" i="1"/>
  <c r="G434" i="1"/>
  <c r="D434" i="1"/>
  <c r="W433" i="1"/>
  <c r="V433" i="1"/>
  <c r="S433" i="1"/>
  <c r="P433" i="1"/>
  <c r="M433" i="1"/>
  <c r="J433" i="1"/>
  <c r="G433" i="1"/>
  <c r="D433" i="1"/>
  <c r="W432" i="1"/>
  <c r="V432" i="1"/>
  <c r="S432" i="1"/>
  <c r="P432" i="1"/>
  <c r="M432" i="1"/>
  <c r="J432" i="1"/>
  <c r="G432" i="1"/>
  <c r="D432" i="1"/>
  <c r="W431" i="1"/>
  <c r="V431" i="1"/>
  <c r="S431" i="1"/>
  <c r="P431" i="1"/>
  <c r="P440" i="1" s="1"/>
  <c r="M431" i="1"/>
  <c r="J431" i="1"/>
  <c r="J440" i="1" s="1"/>
  <c r="G431" i="1"/>
  <c r="D431" i="1"/>
  <c r="D440" i="1" s="1"/>
  <c r="P424" i="1"/>
  <c r="J424" i="1"/>
  <c r="J425" i="1" s="1"/>
  <c r="H424" i="1"/>
  <c r="G424" i="1"/>
  <c r="G425" i="1" s="1"/>
  <c r="E424" i="1"/>
  <c r="E425" i="1" s="1"/>
  <c r="B424" i="1"/>
  <c r="X423" i="1"/>
  <c r="W423" i="1"/>
  <c r="X422" i="1"/>
  <c r="W422" i="1"/>
  <c r="X421" i="1"/>
  <c r="W421" i="1"/>
  <c r="X420" i="1"/>
  <c r="W420" i="1"/>
  <c r="X419" i="1"/>
  <c r="W419" i="1"/>
  <c r="P418" i="1"/>
  <c r="P425" i="1" s="1"/>
  <c r="H418" i="1"/>
  <c r="D418" i="1"/>
  <c r="D425" i="1" s="1"/>
  <c r="B418" i="1"/>
  <c r="X417" i="1"/>
  <c r="W417" i="1"/>
  <c r="X416" i="1"/>
  <c r="W416" i="1"/>
  <c r="X415" i="1"/>
  <c r="W415" i="1"/>
  <c r="X413" i="1"/>
  <c r="W413" i="1"/>
  <c r="X412" i="1"/>
  <c r="W412" i="1"/>
  <c r="X411" i="1"/>
  <c r="W411" i="1"/>
  <c r="X409" i="1"/>
  <c r="W409" i="1"/>
  <c r="T404" i="1"/>
  <c r="E404" i="1"/>
  <c r="W403" i="1"/>
  <c r="V403" i="1"/>
  <c r="V404" i="1" s="1"/>
  <c r="D402" i="1"/>
  <c r="D401" i="1"/>
  <c r="D400" i="1"/>
  <c r="D399" i="1"/>
  <c r="X399" i="1" s="1"/>
  <c r="X403" i="1" s="1"/>
  <c r="X404" i="1" s="1"/>
  <c r="D398" i="1"/>
  <c r="W382" i="1"/>
  <c r="J358" i="1"/>
  <c r="M357" i="1"/>
  <c r="M359" i="1" s="1"/>
  <c r="J357" i="1"/>
  <c r="R353" i="1"/>
  <c r="D349" i="1"/>
  <c r="J348" i="1"/>
  <c r="J347" i="1"/>
  <c r="D347" i="1"/>
  <c r="X310" i="1"/>
  <c r="X317" i="1" s="1"/>
  <c r="P310" i="1"/>
  <c r="N310" i="1"/>
  <c r="M310" i="1"/>
  <c r="E310" i="1"/>
  <c r="B310" i="1"/>
  <c r="P294" i="1"/>
  <c r="N294" i="1"/>
  <c r="N295" i="1" s="1"/>
  <c r="G294" i="1"/>
  <c r="X294" i="1" s="1"/>
  <c r="E294" i="1"/>
  <c r="X293" i="1"/>
  <c r="W293" i="1"/>
  <c r="X292" i="1"/>
  <c r="W292" i="1"/>
  <c r="X291" i="1"/>
  <c r="W291" i="1"/>
  <c r="X290" i="1"/>
  <c r="W290" i="1"/>
  <c r="X289" i="1"/>
  <c r="W289" i="1"/>
  <c r="P288" i="1"/>
  <c r="M288" i="1"/>
  <c r="K288" i="1"/>
  <c r="X287" i="1"/>
  <c r="W287" i="1"/>
  <c r="X286" i="1"/>
  <c r="W286" i="1"/>
  <c r="X285" i="1"/>
  <c r="W285" i="1"/>
  <c r="X284" i="1"/>
  <c r="W284" i="1"/>
  <c r="X283" i="1"/>
  <c r="W283" i="1"/>
  <c r="X282" i="1"/>
  <c r="W282" i="1"/>
  <c r="X281" i="1"/>
  <c r="W281" i="1"/>
  <c r="X279" i="1"/>
  <c r="W279" i="1"/>
  <c r="P274" i="1"/>
  <c r="E267" i="1"/>
  <c r="X245" i="1"/>
  <c r="W245" i="1"/>
  <c r="B224" i="1"/>
  <c r="P208" i="1"/>
  <c r="N208" i="1"/>
  <c r="X187" i="1"/>
  <c r="W187" i="1"/>
  <c r="N187" i="1"/>
  <c r="M187" i="1"/>
  <c r="W181" i="1"/>
  <c r="S181" i="1"/>
  <c r="Q181" i="1"/>
  <c r="P181" i="1"/>
  <c r="N181" i="1"/>
  <c r="M181" i="1"/>
  <c r="K181" i="1"/>
  <c r="J181" i="1"/>
  <c r="H181" i="1"/>
  <c r="G181" i="1"/>
  <c r="E181" i="1"/>
  <c r="B181" i="1"/>
  <c r="P165" i="1"/>
  <c r="N165" i="1"/>
  <c r="M165" i="1"/>
  <c r="K165" i="1"/>
  <c r="J165" i="1"/>
  <c r="H165" i="1"/>
  <c r="G165" i="1"/>
  <c r="D165" i="1"/>
  <c r="B165" i="1"/>
  <c r="M159" i="1"/>
  <c r="L159" i="1"/>
  <c r="K159" i="1"/>
  <c r="J159" i="1"/>
  <c r="I159" i="1"/>
  <c r="H159" i="1"/>
  <c r="G159" i="1"/>
  <c r="F159" i="1"/>
  <c r="E159" i="1"/>
  <c r="D159" i="1"/>
  <c r="C159" i="1"/>
  <c r="B159" i="1"/>
  <c r="B166" i="1" s="1"/>
  <c r="H144" i="1"/>
  <c r="E144" i="1"/>
  <c r="D144" i="1"/>
  <c r="B144" i="1"/>
  <c r="J138" i="1"/>
  <c r="H138" i="1"/>
  <c r="G138" i="1"/>
  <c r="E138" i="1"/>
  <c r="D138" i="1"/>
  <c r="B138" i="1"/>
  <c r="P122" i="1"/>
  <c r="N122" i="1"/>
  <c r="B122" i="1"/>
  <c r="H490" i="1" l="1"/>
  <c r="P510" i="1"/>
  <c r="X741" i="1"/>
  <c r="U901" i="1"/>
  <c r="T604" i="1"/>
  <c r="I623" i="1"/>
  <c r="G655" i="1"/>
  <c r="N655" i="1"/>
  <c r="M686" i="1"/>
  <c r="W685" i="1"/>
  <c r="N712" i="1"/>
  <c r="G775" i="1"/>
  <c r="J778" i="1"/>
  <c r="P820" i="1"/>
  <c r="W548" i="1"/>
  <c r="X685" i="1"/>
  <c r="N604" i="1"/>
  <c r="C629" i="1"/>
  <c r="B712" i="1"/>
  <c r="H742" i="1"/>
  <c r="N742" i="1"/>
  <c r="Q604" i="1"/>
  <c r="P686" i="1"/>
  <c r="B742" i="1"/>
  <c r="D786" i="1"/>
  <c r="M814" i="1"/>
  <c r="M820" i="1" s="1"/>
  <c r="X288" i="1"/>
  <c r="E511" i="1"/>
  <c r="O623" i="1"/>
  <c r="D686" i="1"/>
  <c r="J686" i="1"/>
  <c r="X763" i="1"/>
  <c r="X865" i="1"/>
  <c r="J555" i="1"/>
  <c r="V555" i="1"/>
  <c r="X479" i="1"/>
  <c r="G504" i="1"/>
  <c r="G510" i="1"/>
  <c r="V511" i="1"/>
  <c r="C648" i="1"/>
  <c r="S648" i="1"/>
  <c r="S654" i="1"/>
  <c r="F654" i="1"/>
  <c r="U654" i="1"/>
  <c r="M710" i="1"/>
  <c r="N768" i="1"/>
  <c r="X762" i="1"/>
  <c r="B768" i="1"/>
  <c r="T789" i="1"/>
  <c r="B425" i="1"/>
  <c r="W424" i="1"/>
  <c r="M483" i="1"/>
  <c r="M504" i="1"/>
  <c r="D630" i="1"/>
  <c r="E655" i="1"/>
  <c r="K655" i="1"/>
  <c r="T655" i="1"/>
  <c r="X760" i="1"/>
  <c r="G166" i="1"/>
  <c r="D166" i="1"/>
  <c r="X424" i="1"/>
  <c r="X486" i="1"/>
  <c r="X502" i="1"/>
  <c r="I654" i="1"/>
  <c r="G768" i="1"/>
  <c r="J848" i="1"/>
  <c r="P848" i="1"/>
  <c r="K447" i="1"/>
  <c r="E447" i="1"/>
  <c r="Q447" i="1"/>
  <c r="S461" i="1"/>
  <c r="H812" i="1"/>
  <c r="J807" i="1"/>
  <c r="B848" i="1"/>
  <c r="D874" i="1"/>
  <c r="J874" i="1"/>
  <c r="P874" i="1"/>
  <c r="H166" i="1"/>
  <c r="B447" i="1"/>
  <c r="G511" i="1"/>
  <c r="B511" i="1"/>
  <c r="W710" i="1"/>
  <c r="W711" i="1" s="1"/>
  <c r="P768" i="1"/>
  <c r="E768" i="1"/>
  <c r="T785" i="1"/>
  <c r="G785" i="1"/>
  <c r="U785" i="1" s="1"/>
  <c r="E794" i="1"/>
  <c r="G788" i="1"/>
  <c r="G794" i="1" s="1"/>
  <c r="K794" i="1"/>
  <c r="M788" i="1"/>
  <c r="M794" i="1" s="1"/>
  <c r="Q812" i="1"/>
  <c r="S807" i="1"/>
  <c r="J820" i="1"/>
  <c r="H447" i="1"/>
  <c r="N447" i="1"/>
  <c r="T447" i="1"/>
  <c r="K468" i="1"/>
  <c r="X476" i="1"/>
  <c r="X478" i="1"/>
  <c r="P483" i="1"/>
  <c r="S490" i="1"/>
  <c r="X482" i="1"/>
  <c r="M489" i="1"/>
  <c r="X488" i="1"/>
  <c r="K490" i="1"/>
  <c r="X498" i="1"/>
  <c r="M511" i="1"/>
  <c r="X524" i="1"/>
  <c r="T533" i="1"/>
  <c r="K533" i="1"/>
  <c r="B580" i="1"/>
  <c r="H580" i="1"/>
  <c r="N580" i="1"/>
  <c r="T580" i="1"/>
  <c r="X591" i="1"/>
  <c r="X592" i="1"/>
  <c r="X593" i="1"/>
  <c r="X595" i="1"/>
  <c r="B604" i="1"/>
  <c r="H604" i="1"/>
  <c r="M630" i="1"/>
  <c r="W629" i="1"/>
  <c r="F629" i="1"/>
  <c r="Q655" i="1"/>
  <c r="O654" i="1"/>
  <c r="G686" i="1"/>
  <c r="X694" i="1"/>
  <c r="P711" i="1"/>
  <c r="X706" i="1"/>
  <c r="S711" i="1"/>
  <c r="X728" i="1"/>
  <c r="G742" i="1"/>
  <c r="M742" i="1"/>
  <c r="E742" i="1"/>
  <c r="X751" i="1"/>
  <c r="J759" i="1"/>
  <c r="J768" i="1" s="1"/>
  <c r="K768" i="1"/>
  <c r="E786" i="1"/>
  <c r="U778" i="1"/>
  <c r="U783" i="1"/>
  <c r="B812" i="1"/>
  <c r="P812" i="1"/>
  <c r="B820" i="1"/>
  <c r="B821" i="1" s="1"/>
  <c r="H820" i="1"/>
  <c r="N820" i="1"/>
  <c r="T815" i="1"/>
  <c r="X848" i="1"/>
  <c r="E848" i="1"/>
  <c r="H848" i="1"/>
  <c r="K848" i="1"/>
  <c r="N848" i="1"/>
  <c r="Q848" i="1"/>
  <c r="W848" i="1"/>
  <c r="B874" i="1"/>
  <c r="H874" i="1"/>
  <c r="N874" i="1"/>
  <c r="G440" i="1"/>
  <c r="S446" i="1"/>
  <c r="M467" i="1"/>
  <c r="W489" i="1"/>
  <c r="M579" i="1"/>
  <c r="G603" i="1"/>
  <c r="S712" i="1"/>
  <c r="M786" i="1"/>
  <c r="U779" i="1"/>
  <c r="U781" i="1"/>
  <c r="K786" i="1"/>
  <c r="T786" i="1" s="1"/>
  <c r="M812" i="1"/>
  <c r="J166" i="1"/>
  <c r="W294" i="1"/>
  <c r="D403" i="1"/>
  <c r="D404" i="1" s="1"/>
  <c r="X418" i="1"/>
  <c r="X425" i="1" s="1"/>
  <c r="X433" i="1"/>
  <c r="X435" i="1"/>
  <c r="X437" i="1"/>
  <c r="X438" i="1"/>
  <c r="X439" i="1"/>
  <c r="X441" i="1"/>
  <c r="X443" i="1"/>
  <c r="X445" i="1"/>
  <c r="J467" i="1"/>
  <c r="V467" i="1"/>
  <c r="H468" i="1"/>
  <c r="X477" i="1"/>
  <c r="X487" i="1"/>
  <c r="W504" i="1"/>
  <c r="H511" i="1"/>
  <c r="P511" i="1"/>
  <c r="G526" i="1"/>
  <c r="X519" i="1"/>
  <c r="V526" i="1"/>
  <c r="V533" i="1" s="1"/>
  <c r="J526" i="1"/>
  <c r="J533" i="1" s="1"/>
  <c r="X542" i="1"/>
  <c r="X543" i="1"/>
  <c r="X544" i="1"/>
  <c r="X546" i="1"/>
  <c r="G554" i="1"/>
  <c r="S554" i="1"/>
  <c r="N555" i="1"/>
  <c r="J579" i="1"/>
  <c r="V579" i="1"/>
  <c r="X600" i="1"/>
  <c r="X601" i="1"/>
  <c r="X602" i="1"/>
  <c r="O629" i="1"/>
  <c r="G703" i="1"/>
  <c r="X695" i="1"/>
  <c r="J711" i="1"/>
  <c r="X707" i="1"/>
  <c r="H712" i="1"/>
  <c r="J742" i="1"/>
  <c r="X764" i="1"/>
  <c r="H768" i="1"/>
  <c r="J786" i="1"/>
  <c r="U776" i="1"/>
  <c r="T778" i="1"/>
  <c r="U787" i="1"/>
  <c r="E795" i="1"/>
  <c r="U789" i="1"/>
  <c r="U791" i="1"/>
  <c r="U793" i="1"/>
  <c r="U802" i="1"/>
  <c r="U805" i="1"/>
  <c r="T810" i="1"/>
  <c r="T811" i="1"/>
  <c r="N821" i="1"/>
  <c r="U816" i="1"/>
  <c r="M166" i="1"/>
  <c r="P295" i="1"/>
  <c r="W418" i="1"/>
  <c r="W425" i="1" s="1"/>
  <c r="H425" i="1"/>
  <c r="M440" i="1"/>
  <c r="W440" i="1"/>
  <c r="M446" i="1"/>
  <c r="W446" i="1"/>
  <c r="U447" i="1"/>
  <c r="X453" i="1"/>
  <c r="X454" i="1"/>
  <c r="X455" i="1"/>
  <c r="X457" i="1"/>
  <c r="X459" i="1"/>
  <c r="G467" i="1"/>
  <c r="G468" i="1" s="1"/>
  <c r="S467" i="1"/>
  <c r="W483" i="1"/>
  <c r="X480" i="1"/>
  <c r="X481" i="1"/>
  <c r="J489" i="1"/>
  <c r="X485" i="1"/>
  <c r="E490" i="1"/>
  <c r="Q490" i="1"/>
  <c r="N511" i="1"/>
  <c r="X506" i="1"/>
  <c r="S510" i="1"/>
  <c r="S511" i="1" s="1"/>
  <c r="W526" i="1"/>
  <c r="G532" i="1"/>
  <c r="S532" i="1"/>
  <c r="N533" i="1"/>
  <c r="X551" i="1"/>
  <c r="X552" i="1"/>
  <c r="X553" i="1"/>
  <c r="B555" i="1"/>
  <c r="X564" i="1"/>
  <c r="X565" i="1"/>
  <c r="X567" i="1"/>
  <c r="X569" i="1"/>
  <c r="X571" i="1"/>
  <c r="X572" i="1"/>
  <c r="G579" i="1"/>
  <c r="S579" i="1"/>
  <c r="W623" i="1"/>
  <c r="W630" i="1" s="1"/>
  <c r="X619" i="1"/>
  <c r="X623" i="1" s="1"/>
  <c r="E630" i="1"/>
  <c r="V630" i="1"/>
  <c r="B630" i="1"/>
  <c r="C630" i="1" s="1"/>
  <c r="S630" i="1"/>
  <c r="X650" i="1"/>
  <c r="X677" i="1"/>
  <c r="X686" i="1" s="1"/>
  <c r="H686" i="1"/>
  <c r="X692" i="1"/>
  <c r="D703" i="1"/>
  <c r="G711" i="1"/>
  <c r="V711" i="1"/>
  <c r="V712" i="1" s="1"/>
  <c r="X708" i="1"/>
  <c r="X710" i="1"/>
  <c r="E712" i="1"/>
  <c r="Q712" i="1"/>
  <c r="W741" i="1"/>
  <c r="X753" i="1"/>
  <c r="U780" i="1"/>
  <c r="Q795" i="1"/>
  <c r="D794" i="1"/>
  <c r="D795" i="1" s="1"/>
  <c r="J794" i="1"/>
  <c r="T788" i="1"/>
  <c r="P794" i="1"/>
  <c r="J812" i="1"/>
  <c r="J821" i="1" s="1"/>
  <c r="U803" i="1"/>
  <c r="T814" i="1"/>
  <c r="U817" i="1"/>
  <c r="X873" i="1"/>
  <c r="X874" i="1" s="1"/>
  <c r="G874" i="1"/>
  <c r="M874" i="1"/>
  <c r="S874" i="1"/>
  <c r="S440" i="1"/>
  <c r="S447" i="1" s="1"/>
  <c r="G446" i="1"/>
  <c r="S603" i="1"/>
  <c r="N630" i="1"/>
  <c r="J446" i="1"/>
  <c r="W461" i="1"/>
  <c r="X464" i="1"/>
  <c r="X466" i="1"/>
  <c r="G483" i="1"/>
  <c r="B490" i="1"/>
  <c r="N490" i="1"/>
  <c r="X499" i="1"/>
  <c r="X505" i="1"/>
  <c r="W510" i="1"/>
  <c r="X507" i="1"/>
  <c r="X508" i="1"/>
  <c r="X509" i="1"/>
  <c r="J511" i="1"/>
  <c r="X521" i="1"/>
  <c r="X523" i="1"/>
  <c r="X529" i="1"/>
  <c r="X530" i="1"/>
  <c r="X531" i="1"/>
  <c r="B533" i="1"/>
  <c r="K555" i="1"/>
  <c r="K580" i="1"/>
  <c r="X576" i="1"/>
  <c r="X578" i="1"/>
  <c r="E604" i="1"/>
  <c r="T630" i="1"/>
  <c r="M648" i="1"/>
  <c r="X651" i="1"/>
  <c r="N686" i="1"/>
  <c r="X698" i="1"/>
  <c r="X699" i="1"/>
  <c r="X700" i="1"/>
  <c r="X702" i="1"/>
  <c r="X705" i="1"/>
  <c r="X709" i="1"/>
  <c r="P742" i="1"/>
  <c r="K742" i="1"/>
  <c r="S767" i="1"/>
  <c r="S768" i="1" s="1"/>
  <c r="X766" i="1"/>
  <c r="W767" i="1"/>
  <c r="P786" i="1"/>
  <c r="U777" i="1"/>
  <c r="U782" i="1"/>
  <c r="G784" i="1"/>
  <c r="U784" i="1" s="1"/>
  <c r="B794" i="1"/>
  <c r="B795" i="1" s="1"/>
  <c r="H794" i="1"/>
  <c r="H795" i="1" s="1"/>
  <c r="U790" i="1"/>
  <c r="U792" i="1"/>
  <c r="N795" i="1"/>
  <c r="G812" i="1"/>
  <c r="T805" i="1"/>
  <c r="U806" i="1"/>
  <c r="U810" i="1"/>
  <c r="E820" i="1"/>
  <c r="U818" i="1"/>
  <c r="U819" i="1"/>
  <c r="G848" i="1"/>
  <c r="M848" i="1"/>
  <c r="S848" i="1"/>
  <c r="W865" i="1"/>
  <c r="W873" i="1"/>
  <c r="E874" i="1"/>
  <c r="K874" i="1"/>
  <c r="Q874" i="1"/>
  <c r="X928" i="1"/>
  <c r="P447" i="1"/>
  <c r="P580" i="1"/>
  <c r="J604" i="1"/>
  <c r="V604" i="1"/>
  <c r="F623" i="1"/>
  <c r="G630" i="1"/>
  <c r="F630" i="1" s="1"/>
  <c r="J447" i="1"/>
  <c r="D526" i="1"/>
  <c r="D533" i="1" s="1"/>
  <c r="X517" i="1"/>
  <c r="J630" i="1"/>
  <c r="I629" i="1"/>
  <c r="X754" i="1"/>
  <c r="D759" i="1"/>
  <c r="D768" i="1" s="1"/>
  <c r="X431" i="1"/>
  <c r="D446" i="1"/>
  <c r="D447" i="1" s="1"/>
  <c r="X462" i="1"/>
  <c r="O655" i="1"/>
  <c r="J703" i="1"/>
  <c r="J712" i="1" s="1"/>
  <c r="W733" i="1"/>
  <c r="W742" i="1" s="1"/>
  <c r="G295" i="1"/>
  <c r="P461" i="1"/>
  <c r="P468" i="1" s="1"/>
  <c r="X460" i="1"/>
  <c r="B468" i="1"/>
  <c r="N468" i="1"/>
  <c r="G548" i="1"/>
  <c r="G555" i="1" s="1"/>
  <c r="M573" i="1"/>
  <c r="S597" i="1"/>
  <c r="S604" i="1" s="1"/>
  <c r="X647" i="1"/>
  <c r="X648" i="1" s="1"/>
  <c r="W703" i="1"/>
  <c r="X432" i="1"/>
  <c r="X442" i="1"/>
  <c r="J461" i="1"/>
  <c r="V461" i="1"/>
  <c r="V468" i="1" s="1"/>
  <c r="X456" i="1"/>
  <c r="X463" i="1"/>
  <c r="E468" i="1"/>
  <c r="Q468" i="1"/>
  <c r="X474" i="1"/>
  <c r="D483" i="1"/>
  <c r="J483" i="1"/>
  <c r="J490" i="1" s="1"/>
  <c r="D489" i="1"/>
  <c r="P489" i="1"/>
  <c r="P490" i="1" s="1"/>
  <c r="D504" i="1"/>
  <c r="X495" i="1"/>
  <c r="X503" i="1"/>
  <c r="S526" i="1"/>
  <c r="W532" i="1"/>
  <c r="H533" i="1"/>
  <c r="M548" i="1"/>
  <c r="M555" i="1" s="1"/>
  <c r="X545" i="1"/>
  <c r="W554" i="1"/>
  <c r="W555" i="1" s="1"/>
  <c r="H555" i="1"/>
  <c r="T555" i="1"/>
  <c r="G573" i="1"/>
  <c r="S573" i="1"/>
  <c r="X566" i="1"/>
  <c r="X575" i="1"/>
  <c r="M597" i="1"/>
  <c r="M604" i="1" s="1"/>
  <c r="X594" i="1"/>
  <c r="W603" i="1"/>
  <c r="W604" i="1" s="1"/>
  <c r="P630" i="1"/>
  <c r="O630" i="1" s="1"/>
  <c r="X624" i="1"/>
  <c r="X629" i="1" s="1"/>
  <c r="X792" i="1" s="1"/>
  <c r="L630" i="1"/>
  <c r="W648" i="1"/>
  <c r="H655" i="1"/>
  <c r="O648" i="1"/>
  <c r="V655" i="1"/>
  <c r="U655" i="1" s="1"/>
  <c r="W677" i="1"/>
  <c r="W686" i="1" s="1"/>
  <c r="X704" i="1"/>
  <c r="M711" i="1"/>
  <c r="M712" i="1" s="1"/>
  <c r="W754" i="1"/>
  <c r="W759" i="1" s="1"/>
  <c r="D820" i="1"/>
  <c r="P821" i="1"/>
  <c r="Q821" i="1"/>
  <c r="E165" i="1"/>
  <c r="E166" i="1" s="1"/>
  <c r="D655" i="1"/>
  <c r="C655" i="1" s="1"/>
  <c r="C654" i="1"/>
  <c r="V767" i="1"/>
  <c r="V768" i="1" s="1"/>
  <c r="X761" i="1"/>
  <c r="X574" i="1"/>
  <c r="F655" i="1"/>
  <c r="X436" i="1"/>
  <c r="X452" i="1"/>
  <c r="W467" i="1"/>
  <c r="X520" i="1"/>
  <c r="X528" i="1"/>
  <c r="E533" i="1"/>
  <c r="Q533" i="1"/>
  <c r="S548" i="1"/>
  <c r="X541" i="1"/>
  <c r="X550" i="1"/>
  <c r="E555" i="1"/>
  <c r="Q555" i="1"/>
  <c r="X570" i="1"/>
  <c r="W579" i="1"/>
  <c r="W580" i="1" s="1"/>
  <c r="G597" i="1"/>
  <c r="G604" i="1" s="1"/>
  <c r="X590" i="1"/>
  <c r="X599" i="1"/>
  <c r="C623" i="1"/>
  <c r="M759" i="1"/>
  <c r="V440" i="1"/>
  <c r="X434" i="1"/>
  <c r="V446" i="1"/>
  <c r="X444" i="1"/>
  <c r="M461" i="1"/>
  <c r="M468" i="1" s="1"/>
  <c r="X458" i="1"/>
  <c r="X465" i="1"/>
  <c r="G489" i="1"/>
  <c r="D510" i="1"/>
  <c r="D511" i="1" s="1"/>
  <c r="P526" i="1"/>
  <c r="P533" i="1" s="1"/>
  <c r="M526" i="1"/>
  <c r="M533" i="1" s="1"/>
  <c r="X522" i="1"/>
  <c r="X525" i="1"/>
  <c r="X527" i="1"/>
  <c r="X539" i="1"/>
  <c r="D548" i="1"/>
  <c r="D555" i="1" s="1"/>
  <c r="P548" i="1"/>
  <c r="P555" i="1" s="1"/>
  <c r="X540" i="1"/>
  <c r="X547" i="1"/>
  <c r="X549" i="1"/>
  <c r="J573" i="1"/>
  <c r="J580" i="1" s="1"/>
  <c r="V573" i="1"/>
  <c r="V580" i="1" s="1"/>
  <c r="X568" i="1"/>
  <c r="X577" i="1"/>
  <c r="X588" i="1"/>
  <c r="D597" i="1"/>
  <c r="D604" i="1" s="1"/>
  <c r="P597" i="1"/>
  <c r="P604" i="1" s="1"/>
  <c r="X589" i="1"/>
  <c r="X596" i="1"/>
  <c r="X598" i="1"/>
  <c r="H630" i="1"/>
  <c r="L623" i="1"/>
  <c r="J655" i="1"/>
  <c r="X649" i="1"/>
  <c r="W654" i="1"/>
  <c r="M654" i="1"/>
  <c r="M655" i="1" s="1"/>
  <c r="E686" i="1"/>
  <c r="X696" i="1"/>
  <c r="X701" i="1"/>
  <c r="P712" i="1"/>
  <c r="D711" i="1"/>
  <c r="D712" i="1" s="1"/>
  <c r="U804" i="1"/>
  <c r="M767" i="1"/>
  <c r="T804" i="1"/>
  <c r="U808" i="1"/>
  <c r="U809" i="1"/>
  <c r="U811" i="1"/>
  <c r="S812" i="1"/>
  <c r="E295" i="1"/>
  <c r="W295" i="1" s="1"/>
  <c r="D461" i="1"/>
  <c r="D468" i="1" s="1"/>
  <c r="X484" i="1"/>
  <c r="D573" i="1"/>
  <c r="D580" i="1" s="1"/>
  <c r="D733" i="1"/>
  <c r="D801" i="1"/>
  <c r="D812" i="1" s="1"/>
  <c r="E812" i="1"/>
  <c r="E821" i="1" s="1"/>
  <c r="K812" i="1"/>
  <c r="G815" i="1"/>
  <c r="U815" i="1" s="1"/>
  <c r="T801" i="1"/>
  <c r="U813" i="1"/>
  <c r="S820" i="1"/>
  <c r="U775" i="1"/>
  <c r="U807" i="1" l="1"/>
  <c r="M490" i="1"/>
  <c r="S468" i="1"/>
  <c r="M795" i="1"/>
  <c r="W712" i="1"/>
  <c r="U814" i="1"/>
  <c r="M821" i="1"/>
  <c r="X789" i="1"/>
  <c r="J795" i="1"/>
  <c r="X711" i="1"/>
  <c r="W511" i="1"/>
  <c r="X767" i="1"/>
  <c r="X759" i="1"/>
  <c r="K795" i="1"/>
  <c r="T807" i="1"/>
  <c r="T820" i="1"/>
  <c r="G580" i="1"/>
  <c r="S533" i="1"/>
  <c r="U788" i="1"/>
  <c r="X788" i="1" s="1"/>
  <c r="W447" i="1"/>
  <c r="H821" i="1"/>
  <c r="X510" i="1"/>
  <c r="X489" i="1"/>
  <c r="W468" i="1"/>
  <c r="M447" i="1"/>
  <c r="X532" i="1"/>
  <c r="S655" i="1"/>
  <c r="T812" i="1"/>
  <c r="W874" i="1"/>
  <c r="G490" i="1"/>
  <c r="X791" i="1"/>
  <c r="P795" i="1"/>
  <c r="G786" i="1"/>
  <c r="G795" i="1" s="1"/>
  <c r="X630" i="1"/>
  <c r="X793" i="1" s="1"/>
  <c r="W490" i="1"/>
  <c r="X790" i="1"/>
  <c r="S555" i="1"/>
  <c r="G447" i="1"/>
  <c r="U786" i="1"/>
  <c r="X603" i="1"/>
  <c r="T794" i="1"/>
  <c r="T795" i="1" s="1"/>
  <c r="M580" i="1"/>
  <c r="K821" i="1"/>
  <c r="X703" i="1"/>
  <c r="V447" i="1"/>
  <c r="D821" i="1"/>
  <c r="S580" i="1"/>
  <c r="W533" i="1"/>
  <c r="X446" i="1"/>
  <c r="G533" i="1"/>
  <c r="G712" i="1"/>
  <c r="U812" i="1"/>
  <c r="X654" i="1"/>
  <c r="X483" i="1"/>
  <c r="G820" i="1"/>
  <c r="G821" i="1" s="1"/>
  <c r="X787" i="1"/>
  <c r="W768" i="1"/>
  <c r="X573" i="1"/>
  <c r="X504" i="1"/>
  <c r="X511" i="1" s="1"/>
  <c r="J468" i="1"/>
  <c r="X655" i="1"/>
  <c r="X295" i="1"/>
  <c r="X526" i="1"/>
  <c r="S821" i="1"/>
  <c r="X548" i="1"/>
  <c r="X554" i="1"/>
  <c r="X440" i="1"/>
  <c r="X447" i="1" s="1"/>
  <c r="X579" i="1"/>
  <c r="D490" i="1"/>
  <c r="X467" i="1"/>
  <c r="D742" i="1"/>
  <c r="X733" i="1"/>
  <c r="X742" i="1" s="1"/>
  <c r="W655" i="1"/>
  <c r="I630" i="1"/>
  <c r="U801" i="1"/>
  <c r="I655" i="1"/>
  <c r="X597" i="1"/>
  <c r="M768" i="1"/>
  <c r="X461" i="1"/>
  <c r="T821" i="1" l="1"/>
  <c r="X768" i="1"/>
  <c r="U794" i="1"/>
  <c r="X794" i="1" s="1"/>
  <c r="U820" i="1"/>
  <c r="U821" i="1" s="1"/>
  <c r="X533" i="1"/>
  <c r="X490" i="1"/>
  <c r="X786" i="1"/>
  <c r="X604" i="1"/>
  <c r="X580" i="1"/>
  <c r="X555" i="1"/>
  <c r="X468" i="1"/>
  <c r="U795" i="1" l="1"/>
  <c r="X795" i="1" s="1"/>
</calcChain>
</file>

<file path=xl/sharedStrings.xml><?xml version="1.0" encoding="utf-8"?>
<sst xmlns="http://schemas.openxmlformats.org/spreadsheetml/2006/main" count="9342" uniqueCount="289">
  <si>
    <t>1 Production céréalière</t>
  </si>
  <si>
    <t>Tableau 104: RESULTATS DEFINITIFS DE LA CAMPAGNE AGRICOLE 1995/1996</t>
  </si>
  <si>
    <t xml:space="preserve">        Produit</t>
  </si>
  <si>
    <t>Mil</t>
  </si>
  <si>
    <t>Sorgho</t>
  </si>
  <si>
    <t>Maïs</t>
  </si>
  <si>
    <t>Riz</t>
  </si>
  <si>
    <t>Berbéré</t>
  </si>
  <si>
    <t>Blé</t>
  </si>
  <si>
    <t>Fonio</t>
  </si>
  <si>
    <t xml:space="preserve">               Total</t>
  </si>
  <si>
    <t>Préfecture</t>
  </si>
  <si>
    <t>S</t>
  </si>
  <si>
    <t>R</t>
  </si>
  <si>
    <t>P</t>
  </si>
  <si>
    <t>Batha</t>
  </si>
  <si>
    <t>B.E.T.</t>
  </si>
  <si>
    <t>Biltine</t>
  </si>
  <si>
    <t>-</t>
  </si>
  <si>
    <t>Ch.Baguirmi</t>
  </si>
  <si>
    <t>Guera</t>
  </si>
  <si>
    <t>Kanem</t>
  </si>
  <si>
    <t>Lac</t>
  </si>
  <si>
    <t>Ouaddaï</t>
  </si>
  <si>
    <t>Salamat</t>
  </si>
  <si>
    <t>S/T.Zone  Sahelienne</t>
  </si>
  <si>
    <t>Mayo-Kebbi</t>
  </si>
  <si>
    <t>Tandjilé</t>
  </si>
  <si>
    <t>Log.Occ.</t>
  </si>
  <si>
    <t>Log. Ori.</t>
  </si>
  <si>
    <t>Moyen Ch.</t>
  </si>
  <si>
    <t>S/T.Zone  Soudanienne</t>
  </si>
  <si>
    <t>Total Tchad</t>
  </si>
  <si>
    <t xml:space="preserve">2.Production des oléagineux, légumineuses et tubercules </t>
  </si>
  <si>
    <t>S = Superficie ( ha )</t>
  </si>
  <si>
    <t>R = Rendement ( kg/ha )</t>
  </si>
  <si>
    <t>P = Production ( t )</t>
  </si>
  <si>
    <t>Arachide</t>
  </si>
  <si>
    <t>Sésame</t>
  </si>
  <si>
    <t>Pois de Terre</t>
  </si>
  <si>
    <t>Niébé</t>
  </si>
  <si>
    <t>Manioc</t>
  </si>
  <si>
    <t>Patae douce</t>
  </si>
  <si>
    <t>Taro</t>
  </si>
  <si>
    <t>Total</t>
  </si>
  <si>
    <t xml:space="preserve">  </t>
  </si>
  <si>
    <t>Ch.Bag.</t>
  </si>
  <si>
    <t>Mayo-Keb.</t>
  </si>
  <si>
    <t>Tableau      : RESULTATS DEFINITIFS DE LA CAMPAGNE AGRICOLE 1996-1997</t>
  </si>
  <si>
    <t>BET</t>
  </si>
  <si>
    <t>Logone Occidental</t>
  </si>
  <si>
    <t>Logonne orientalOri.</t>
  </si>
  <si>
    <t>Moyen Chari</t>
  </si>
  <si>
    <t>2.Production des oléagineux, légumineuses et tubercules 1996/1997</t>
  </si>
  <si>
    <t>Patate douce</t>
  </si>
  <si>
    <t>Tableau : RESULTATS DEFINITIFS DE LA CAMPAGNE AGRICOLE 1997/1998</t>
  </si>
  <si>
    <t>2.Production des oléagineux, légumineuses et tubercules  1997/1998</t>
  </si>
  <si>
    <t>TOTAL</t>
  </si>
  <si>
    <t>Source: DSA / ONDR</t>
  </si>
  <si>
    <t>DSA: Enquête agricole</t>
  </si>
  <si>
    <t>ONDR: Raport annuel</t>
  </si>
  <si>
    <t>Tableau 104: RESULTATS DEFINITIFS DE LA CAMPAGNE AGRICOLE 1998/1999</t>
  </si>
  <si>
    <t>2.Production des oléagineux, légumineuses et tubercules 1998/1999</t>
  </si>
  <si>
    <t>Tableau 104: RESULTATS DEFINITIFS DE LA CAMPAGNE AGRICOLE1999/2000</t>
  </si>
  <si>
    <t>2.Production des oléagineux, légumineuses et tubercules 1999/2000</t>
  </si>
  <si>
    <t>Tableau      : RESULTATS DEFINITIFS DE LA CAMPAGNE AGRICOLE 2000/2001</t>
  </si>
  <si>
    <t>Pénicillaire</t>
  </si>
  <si>
    <t xml:space="preserve">                                        </t>
  </si>
  <si>
    <t>2.Production des oléagineux, légumineuses et tubercules 2000/2001</t>
  </si>
  <si>
    <t>Niebé</t>
  </si>
  <si>
    <t>Pois de terre</t>
  </si>
  <si>
    <t>Log.Occidental.</t>
  </si>
  <si>
    <t>Log. Oriental.</t>
  </si>
  <si>
    <t>Moyen Chari.</t>
  </si>
  <si>
    <t>Tableau     : RESULTATS DEFINITIFS DE LA CAMPAGNE AGRICOLE 2001/2002</t>
  </si>
  <si>
    <t xml:space="preserve">2.Production des oléagineux, légumineuses et tubercules 2001-2002 </t>
  </si>
  <si>
    <t xml:space="preserve">        </t>
  </si>
  <si>
    <t xml:space="preserve">          </t>
  </si>
  <si>
    <t>Tableau     : RESULTATS DEFINITIFS DE LA CAMPAGNE AGRICOLE  2002/2003</t>
  </si>
  <si>
    <t>2.Production des oléagineux, légumineuses et tubercules 2002/2003</t>
  </si>
  <si>
    <t>---</t>
  </si>
  <si>
    <t>Tableau 104: RESULTATS DEFINITIFS DE LA CAMPAGNE AGRICOLE 2003/2004</t>
  </si>
  <si>
    <t xml:space="preserve"> </t>
  </si>
  <si>
    <t>2.Production des oléagineux, légumineuses et tubercules 2003/2004</t>
  </si>
  <si>
    <t>TABLEAU        RESULTATS DEFINITIFS DE LA CAMPAGNE AGRICOLE 2004/2005</t>
  </si>
  <si>
    <t>S/T Rég. Sahel</t>
  </si>
  <si>
    <t>S/TRégSoudanienne</t>
  </si>
  <si>
    <t>2.Production des oléagineux, légumineuses et tubercules  2004/2005</t>
  </si>
  <si>
    <t>,,,</t>
  </si>
  <si>
    <t>B.E.T</t>
  </si>
  <si>
    <t>S/T Rég. Sahel.</t>
  </si>
  <si>
    <t>S/TRégSoudan.</t>
  </si>
  <si>
    <t>TABLEAU        RESULTATS DEFINITIFS DE LA CAMPAGNE AGRICOLE 2005/2006</t>
  </si>
  <si>
    <t>2.Production des oléagineux, légumineuses et tubercules  2005/2006</t>
  </si>
  <si>
    <t>490</t>
  </si>
  <si>
    <t>12000</t>
  </si>
  <si>
    <t>85</t>
  </si>
  <si>
    <t>15000</t>
  </si>
  <si>
    <t>285</t>
  </si>
  <si>
    <t>TABLEAU        RESULTATS DEFINITIFS DE LA CAMPAGNE AGRICOLE 2006/2007</t>
  </si>
  <si>
    <t xml:space="preserve">- </t>
  </si>
  <si>
    <t>2.Production des oléagineux, légumineuses et tubercules  2006/2007</t>
  </si>
  <si>
    <t xml:space="preserve">        R = Rendement ( kg/ha )</t>
  </si>
  <si>
    <t>Chari Baguirmi</t>
  </si>
  <si>
    <t>Guéra</t>
  </si>
  <si>
    <t>179</t>
  </si>
  <si>
    <t>6000</t>
  </si>
  <si>
    <t>Tableau     : RESULTATS DEFINITIFS DE LA CAMPAGNE AGRICOLE  2007/2008</t>
  </si>
  <si>
    <t>Source: DSA/ONDR</t>
  </si>
  <si>
    <t>P = Production (tonne)</t>
  </si>
  <si>
    <t>TCHAD</t>
  </si>
  <si>
    <t>2.Superficies et production des oléagineux, légumineuses et tubercules 2007/2008</t>
  </si>
  <si>
    <t>Ch.Baguirmi.</t>
  </si>
  <si>
    <t>3. Production cotonnière</t>
  </si>
  <si>
    <t>La superficie totale estimée est de 217 407 ha (ONDR).</t>
  </si>
  <si>
    <t>La production totale prévisionnelle est estimée en appliquant un rendement moyen de 750 kg/ha, ce qui donne un volume de 163 000 tonnes.</t>
  </si>
  <si>
    <t>Ce résultat va être corroboré par des achats effectifs qui connaitront des pésées objectives.</t>
  </si>
  <si>
    <t>TABLEAU        RESULTATS DEFINITIFS DE LA CAMPAGNE AGRICOLE 2008/2009</t>
  </si>
  <si>
    <r>
      <t>NB</t>
    </r>
    <r>
      <rPr>
        <sz val="12"/>
        <rFont val="Arial"/>
        <family val="2"/>
      </rPr>
      <t xml:space="preserve"> : Le coton occupe une superficie  de 164 947 ha pour une production prévisionnelle de  114 000 tonnes suivant l'évaluation de l'ONDR et de la CotonTchad. </t>
    </r>
  </si>
  <si>
    <t>La production définitive ne sera connu que quand la société CotonTchad aura collecté tout le coton produit dans toutes les zones de production.</t>
  </si>
  <si>
    <t>2.Production des oléagineux, légumineuses et tubercules  2008/2009</t>
  </si>
  <si>
    <t>Annexe 1</t>
  </si>
  <si>
    <t>RESULTATS DEFINITIFS DE LA CAMPAGNE AGRICOLE 2009/2010</t>
  </si>
  <si>
    <t xml:space="preserve"> 1. Production céréalière</t>
  </si>
  <si>
    <t>Logone Occidental.</t>
  </si>
  <si>
    <t>Logone Oriental.</t>
  </si>
  <si>
    <t>Source: DPSA/DSA</t>
  </si>
  <si>
    <t>2.  Production des oléagineux, légumineuses et tubercules  2009/2010</t>
  </si>
  <si>
    <t>S/T Zone Sahélienne</t>
  </si>
  <si>
    <t>S/T Zone Soudannienne</t>
  </si>
  <si>
    <t>RESULTATS DEFINITIFS DE LA CAMPAGNE AGRICOLE 2010/2011</t>
  </si>
  <si>
    <t>Région</t>
  </si>
  <si>
    <t>Barh El Gazal</t>
  </si>
  <si>
    <t>Hadjer Lamis</t>
  </si>
  <si>
    <t>Sila</t>
  </si>
  <si>
    <t>Mandoul</t>
  </si>
  <si>
    <t>Mayo-Kebbi Est</t>
  </si>
  <si>
    <t>Mayo-Kebbi Ouest</t>
  </si>
  <si>
    <t>2.Production des oléagineux, légumineuses et tubercules  2010/2011</t>
  </si>
  <si>
    <t>BATHA</t>
  </si>
  <si>
    <t>BARH EL GAZAL</t>
  </si>
  <si>
    <t>CHARI BAGUIRMI</t>
  </si>
  <si>
    <t>GUERA</t>
  </si>
  <si>
    <t>HADJER LAMIS</t>
  </si>
  <si>
    <t>KANEM</t>
  </si>
  <si>
    <t>LAC</t>
  </si>
  <si>
    <t>OUADDAI</t>
  </si>
  <si>
    <t>SALAMAT</t>
  </si>
  <si>
    <t>SILA</t>
  </si>
  <si>
    <t>WADI FIRA</t>
  </si>
  <si>
    <t>S/T ZONE SAHEL</t>
  </si>
  <si>
    <t>MANDOUL</t>
  </si>
  <si>
    <t>MAYO KEBBI EST</t>
  </si>
  <si>
    <t>MAYO KEBBI OUEST</t>
  </si>
  <si>
    <t>MOYEN CHARI</t>
  </si>
  <si>
    <t>LOGONE OCCIDENTAL</t>
  </si>
  <si>
    <t>LOGONE ORIENTAL</t>
  </si>
  <si>
    <t>TANDJILE</t>
  </si>
  <si>
    <t>S/T ZONE SOUDAN</t>
  </si>
  <si>
    <t>Source: DPSA /ONDR/SODELAC</t>
  </si>
  <si>
    <t>RESULTATS DEFINITIFS DE LA CAMPAGNE AGRICOLE 2011/2012</t>
  </si>
  <si>
    <t>Wadi Fira</t>
  </si>
  <si>
    <t>Logone Occident</t>
  </si>
  <si>
    <t>Logone Oriental</t>
  </si>
  <si>
    <t>S/TRégSoudan</t>
  </si>
  <si>
    <t>Source: ONDR/SODELAC/DPSA</t>
  </si>
  <si>
    <t>2.  Production des oléagineux, légumineuses et tubercules 2011-2012</t>
  </si>
  <si>
    <t>S/T Zone Soudan</t>
  </si>
  <si>
    <t>RESULTATS DEFINITIFS DE LA CAMPAGNE AGRICOLE 2012/2013</t>
  </si>
  <si>
    <t>Bérbéré</t>
  </si>
  <si>
    <t xml:space="preserve">S </t>
  </si>
  <si>
    <t xml:space="preserve">R </t>
  </si>
  <si>
    <t xml:space="preserve">P </t>
  </si>
  <si>
    <t>Total Zone Sahel</t>
  </si>
  <si>
    <t>Total Zone Soud</t>
  </si>
  <si>
    <t xml:space="preserve">2.  Production des oléagineux, légumineuses et tubercules </t>
  </si>
  <si>
    <t>Zone Sahel</t>
  </si>
  <si>
    <t>Zone Soud</t>
  </si>
  <si>
    <t>RESULTATS DEFINITIFS DE LA CAMPAGNE AGRICOLE 2013/2014</t>
  </si>
  <si>
    <t>Source: DPSA</t>
  </si>
  <si>
    <t>2.  Production des oléagineux, légumineuses et tubercules 2013-2014</t>
  </si>
  <si>
    <t xml:space="preserve">CAMPAGNE AGRIOLE </t>
  </si>
  <si>
    <t>AGRICOLE 2014/2015: PRODUCTIONS CEREALIERES</t>
  </si>
  <si>
    <t xml:space="preserve"> Sorgho</t>
  </si>
  <si>
    <t xml:space="preserve"> Maïs</t>
  </si>
  <si>
    <t>Berberé</t>
  </si>
  <si>
    <t xml:space="preserve">TOTAL </t>
  </si>
  <si>
    <t>Barh El Ghazal</t>
  </si>
  <si>
    <t>Source: DPAS/DSA/2015</t>
  </si>
  <si>
    <t>RESULTATS DEFINITIFS DE LA</t>
  </si>
  <si>
    <t xml:space="preserve"> CAMPAGNE AGRICOLE 2014/ 2015</t>
  </si>
  <si>
    <t xml:space="preserve">Arachide </t>
  </si>
  <si>
    <t xml:space="preserve">Sésame </t>
  </si>
  <si>
    <t xml:space="preserve">Niébé </t>
  </si>
  <si>
    <t xml:space="preserve">Pois de terre </t>
  </si>
  <si>
    <t xml:space="preserve">Manioc </t>
  </si>
  <si>
    <t xml:space="preserve">Patate </t>
  </si>
  <si>
    <t xml:space="preserve">Taro </t>
  </si>
  <si>
    <t xml:space="preserve">Total </t>
  </si>
  <si>
    <t>2015/2016</t>
  </si>
  <si>
    <t>SORGHO</t>
  </si>
  <si>
    <t>MAIS</t>
  </si>
  <si>
    <t>RIZ</t>
  </si>
  <si>
    <t>ARACHIDE</t>
  </si>
  <si>
    <t>SESAME</t>
  </si>
  <si>
    <t>NIEBE</t>
  </si>
  <si>
    <t>RESULTATS DEFINITIFS DE LA CAMPAGNE AGRICOLE 2015/2016</t>
  </si>
  <si>
    <t>1. Production Céréalière</t>
  </si>
  <si>
    <t>S= Superficie ( hectare)            R= Rendement (Kg/ha)                    P= Production (tonne)</t>
  </si>
  <si>
    <t>MIL</t>
  </si>
  <si>
    <t>BERBERE</t>
  </si>
  <si>
    <t xml:space="preserve">TOTAL  </t>
  </si>
  <si>
    <t>Source: ONDR/SODELAC/DPAS 2016</t>
  </si>
  <si>
    <t>POIS DE TERRE</t>
  </si>
  <si>
    <t>MANIOC</t>
  </si>
  <si>
    <t>PATATE</t>
  </si>
  <si>
    <t>TARO</t>
  </si>
  <si>
    <t>CAMPAGNE AGRICOLE 2015/2016</t>
  </si>
  <si>
    <t>Moy</t>
  </si>
  <si>
    <t>REGION</t>
  </si>
  <si>
    <t>Zone Soudanienne</t>
  </si>
  <si>
    <t>Zone Sahélienne</t>
  </si>
  <si>
    <t>BLE</t>
  </si>
  <si>
    <t>2016/2017</t>
  </si>
  <si>
    <t>Moy 5 ans</t>
  </si>
  <si>
    <t>SAHEL</t>
  </si>
  <si>
    <t>Var 2016%2015</t>
  </si>
  <si>
    <t>Var 2016%Moy</t>
  </si>
  <si>
    <t>DIRECTION DE LA PRODUCTION AGRICOLE ET DES STATISTIQUES</t>
  </si>
  <si>
    <t>DIVISION DE LA STATISTIQUE AGRICOLE</t>
  </si>
  <si>
    <t>RESULTATS PREVISIONNELS DE LA CAMPAGNE AGRICOLE 2016-2017</t>
  </si>
  <si>
    <t>Source: ONDR/SODELAC/DPAS</t>
  </si>
  <si>
    <t xml:space="preserve"> 1. Production des légumineuses, oléagineux,  racines et tubercules</t>
  </si>
  <si>
    <r>
      <rPr>
        <u/>
        <sz val="11"/>
        <rFont val="Calibri"/>
        <family val="2"/>
        <scheme val="minor"/>
      </rPr>
      <t xml:space="preserve">Source: </t>
    </r>
    <r>
      <rPr>
        <sz val="11"/>
        <rFont val="Calibri"/>
        <family val="2"/>
        <scheme val="minor"/>
      </rPr>
      <t>ONDR/SODELAC/DPAS</t>
    </r>
  </si>
  <si>
    <t>Campagne</t>
  </si>
  <si>
    <t>1995/1996</t>
  </si>
  <si>
    <t>1996-1997</t>
  </si>
  <si>
    <t>1997/1998</t>
  </si>
  <si>
    <t>1999/2000</t>
  </si>
  <si>
    <t>2000/2001</t>
  </si>
  <si>
    <t>2001/2002</t>
  </si>
  <si>
    <t>2001/2003</t>
  </si>
  <si>
    <t>2001/2004</t>
  </si>
  <si>
    <t>2001/2005</t>
  </si>
  <si>
    <t>2001/2006</t>
  </si>
  <si>
    <t>2001/2007</t>
  </si>
  <si>
    <t>2001/2008</t>
  </si>
  <si>
    <t>2001/2009</t>
  </si>
  <si>
    <t>2001/2010</t>
  </si>
  <si>
    <t>2001/2011</t>
  </si>
  <si>
    <t>2001/2012</t>
  </si>
  <si>
    <t>2001/2013</t>
  </si>
  <si>
    <t>2001/2014</t>
  </si>
  <si>
    <t>2001/2015</t>
  </si>
  <si>
    <t>2002/2003</t>
  </si>
  <si>
    <t>2003/2004</t>
  </si>
  <si>
    <t>2004/2005</t>
  </si>
  <si>
    <t>2005/2006</t>
  </si>
  <si>
    <t>2006/2007</t>
  </si>
  <si>
    <t>2007/2008</t>
  </si>
  <si>
    <t>2008/2009</t>
  </si>
  <si>
    <t>2009/2010</t>
  </si>
  <si>
    <t>2010/2011</t>
  </si>
  <si>
    <t>2011/2012</t>
  </si>
  <si>
    <t>2012/2013</t>
  </si>
  <si>
    <t>2013/2014</t>
  </si>
  <si>
    <t>2014/2015</t>
  </si>
  <si>
    <t>1998/1999</t>
  </si>
  <si>
    <t>1998/2000</t>
  </si>
  <si>
    <t>1998/2001</t>
  </si>
  <si>
    <t>1998/2002</t>
  </si>
  <si>
    <t>1998/2003</t>
  </si>
  <si>
    <t>1998/2004</t>
  </si>
  <si>
    <t>1998/2005</t>
  </si>
  <si>
    <t>1998/2006</t>
  </si>
  <si>
    <t>1998/2007</t>
  </si>
  <si>
    <t>1998/2008</t>
  </si>
  <si>
    <t>1998/2009</t>
  </si>
  <si>
    <t>1998/2010</t>
  </si>
  <si>
    <t>1998/2011</t>
  </si>
  <si>
    <t>1998/1998</t>
  </si>
  <si>
    <t>Mayo Kebbi Est</t>
  </si>
  <si>
    <t>Mayo Kebbi Ouest</t>
  </si>
  <si>
    <t xml:space="preserve">2001/2002 </t>
  </si>
  <si>
    <t>1996/1997</t>
  </si>
  <si>
    <t>2017/2018</t>
  </si>
  <si>
    <t>Superficie</t>
  </si>
  <si>
    <t>Rendement</t>
  </si>
  <si>
    <t>Production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</si>
</sst>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-* #,##0\ _€_-;\-* #,##0\ _€_-;_-* &quot;-&quot;\ _€_-;_-@_-"/>
    <numFmt numFmtId="165" formatCode="_-* #,##0.00\ _€_-;\-* #,##0.00\ _€_-;_-* &quot;-&quot;??\ _€_-;_-@_-"/>
    <numFmt numFmtId="166" formatCode="0_)"/>
    <numFmt numFmtId="167" formatCode="_-* #,##0\ _€_-;\-* #,##0\ _€_-;_-* &quot;-&quot;??\ _€_-;_-@_-"/>
  </numFmts>
  <fonts count="6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Tms Rmn"/>
    </font>
    <font>
      <b/>
      <sz val="8"/>
      <name val="Tms Rmn"/>
    </font>
    <font>
      <sz val="8"/>
      <name val="Arial"/>
      <family val="2"/>
    </font>
    <font>
      <sz val="12"/>
      <name val="Arial"/>
      <family val="2"/>
    </font>
    <font>
      <sz val="12"/>
      <name val="Tms Rmn"/>
    </font>
    <font>
      <sz val="14"/>
      <name val="Tms Rmn"/>
    </font>
    <font>
      <b/>
      <sz val="10"/>
      <name val="Tms Rmn"/>
    </font>
    <font>
      <sz val="10"/>
      <name val="Tms Rmn"/>
    </font>
    <font>
      <i/>
      <sz val="10"/>
      <name val="Tms Rmn"/>
    </font>
    <font>
      <sz val="10"/>
      <name val="Arial"/>
      <family val="2"/>
    </font>
    <font>
      <i/>
      <sz val="8"/>
      <name val="Tms Rmn"/>
    </font>
    <font>
      <b/>
      <i/>
      <sz val="14"/>
      <name val="Tms Rmn"/>
    </font>
    <font>
      <b/>
      <u/>
      <sz val="12"/>
      <name val="Arial"/>
      <family val="2"/>
    </font>
    <font>
      <b/>
      <i/>
      <sz val="14"/>
      <name val="Arial"/>
      <family val="2"/>
    </font>
    <font>
      <b/>
      <sz val="16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i/>
      <sz val="10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b/>
      <i/>
      <sz val="9"/>
      <name val="Arial"/>
      <family val="2"/>
    </font>
    <font>
      <i/>
      <sz val="9"/>
      <name val="Arial"/>
      <family val="2"/>
    </font>
    <font>
      <b/>
      <sz val="12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0"/>
      <name val="Times New Roman"/>
      <family val="1"/>
    </font>
    <font>
      <sz val="10"/>
      <name val="Times New Roman"/>
      <family val="1"/>
    </font>
    <font>
      <b/>
      <sz val="11"/>
      <name val="Calibri"/>
      <family val="2"/>
      <scheme val="minor"/>
    </font>
    <font>
      <b/>
      <sz val="11"/>
      <name val="Arial"/>
      <family val="2"/>
    </font>
    <font>
      <b/>
      <sz val="8"/>
      <color theme="1"/>
      <name val="Times New Roman"/>
      <family val="1"/>
    </font>
    <font>
      <b/>
      <sz val="8"/>
      <color theme="1"/>
      <name val="Arial"/>
      <family val="2"/>
    </font>
    <font>
      <sz val="8"/>
      <color theme="1"/>
      <name val="Arial"/>
      <family val="2"/>
    </font>
    <font>
      <sz val="10"/>
      <color theme="1"/>
      <name val="Arial"/>
      <family val="2"/>
    </font>
    <font>
      <b/>
      <sz val="8"/>
      <name val="Arial"/>
      <family val="2"/>
    </font>
    <font>
      <b/>
      <i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sz val="8"/>
      <color theme="1"/>
      <name val="Times New Roman"/>
      <family val="1"/>
    </font>
    <font>
      <b/>
      <sz val="12"/>
      <name val="Calibri"/>
      <family val="2"/>
      <scheme val="minor"/>
    </font>
    <font>
      <sz val="11"/>
      <name val="Arial"/>
      <family val="2"/>
    </font>
    <font>
      <sz val="12"/>
      <name val="Arial Narrow"/>
      <family val="2"/>
    </font>
    <font>
      <i/>
      <sz val="12"/>
      <name val="Arial Narrow"/>
      <family val="2"/>
    </font>
    <font>
      <b/>
      <i/>
      <sz val="11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indexed="8"/>
      <name val="Calibri"/>
      <family val="2"/>
      <scheme val="minor"/>
    </font>
    <font>
      <sz val="12"/>
      <color indexed="8"/>
      <name val="Calibri"/>
      <family val="2"/>
      <scheme val="minor"/>
    </font>
    <font>
      <sz val="12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rgb="FF000000"/>
      <name val="Arial"/>
      <family val="2"/>
    </font>
    <font>
      <i/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u/>
      <sz val="11"/>
      <name val="Calibri"/>
      <family val="2"/>
      <scheme val="minor"/>
    </font>
    <font>
      <sz val="8"/>
      <name val="Consolas"/>
      <family val="3"/>
    </font>
    <font>
      <b/>
      <sz val="8"/>
      <name val="Consolas"/>
      <family val="3"/>
    </font>
    <font>
      <i/>
      <sz val="8"/>
      <name val="Consolas"/>
      <family val="3"/>
    </font>
    <font>
      <sz val="8"/>
      <color theme="1"/>
      <name val="Consolas"/>
      <family val="3"/>
    </font>
    <font>
      <sz val="8"/>
      <color indexed="8"/>
      <name val="Consolas"/>
      <family val="3"/>
    </font>
    <font>
      <sz val="8"/>
      <color rgb="FF000000"/>
      <name val="Consolas"/>
      <family val="3"/>
    </font>
  </fonts>
  <fills count="13">
    <fill>
      <patternFill patternType="none"/>
    </fill>
    <fill>
      <patternFill patternType="gray125"/>
    </fill>
    <fill>
      <patternFill patternType="gray125">
        <fgColor indexed="8"/>
      </patternFill>
    </fill>
    <fill>
      <patternFill patternType="gray0625"/>
    </fill>
    <fill>
      <patternFill patternType="gray0625">
        <fgColor indexed="8"/>
      </patternFill>
    </fill>
    <fill>
      <patternFill patternType="gray0625">
        <bgColor theme="0" tint="-4.9989318521683403E-2"/>
      </patternFill>
    </fill>
    <fill>
      <patternFill patternType="solid">
        <fgColor theme="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gray0625">
        <bgColor theme="0" tint="-0.14999847407452621"/>
      </patternFill>
    </fill>
  </fills>
  <borders count="124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/>
      <right style="thin">
        <color indexed="64"/>
      </right>
      <top style="thin">
        <color indexed="8"/>
      </top>
      <bottom style="thin">
        <color indexed="64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8"/>
      </bottom>
      <diagonal/>
    </border>
    <border>
      <left/>
      <right/>
      <top style="thin">
        <color indexed="64"/>
      </top>
      <bottom style="thin">
        <color indexed="8"/>
      </bottom>
      <diagonal/>
    </border>
    <border>
      <left/>
      <right style="thin">
        <color indexed="8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/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 style="double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/>
      <bottom style="double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double">
        <color indexed="8"/>
      </bottom>
      <diagonal/>
    </border>
    <border>
      <left style="thin">
        <color indexed="8"/>
      </left>
      <right style="thin">
        <color indexed="8"/>
      </right>
      <top/>
      <bottom style="double">
        <color indexed="8"/>
      </bottom>
      <diagonal/>
    </border>
    <border>
      <left style="thin">
        <color indexed="8"/>
      </left>
      <right/>
      <top style="thin">
        <color indexed="8"/>
      </top>
      <bottom style="double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thin">
        <color indexed="8"/>
      </left>
      <right/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double">
        <color indexed="64"/>
      </bottom>
      <diagonal/>
    </border>
    <border>
      <left/>
      <right style="thin">
        <color indexed="8"/>
      </right>
      <top style="thin">
        <color indexed="8"/>
      </top>
      <bottom style="double">
        <color indexed="8"/>
      </bottom>
      <diagonal/>
    </border>
    <border>
      <left style="thin">
        <color indexed="8"/>
      </left>
      <right/>
      <top/>
      <bottom style="double">
        <color indexed="64"/>
      </bottom>
      <diagonal/>
    </border>
    <border>
      <left/>
      <right/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/>
      <right style="thin">
        <color indexed="8"/>
      </right>
      <top style="thin">
        <color indexed="8"/>
      </top>
      <bottom style="double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 style="double">
        <color indexed="64"/>
      </bottom>
      <diagonal/>
    </border>
    <border>
      <left style="thin">
        <color indexed="8"/>
      </left>
      <right style="medium">
        <color indexed="8"/>
      </right>
      <top/>
      <bottom style="double">
        <color indexed="64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 style="thin">
        <color indexed="8"/>
      </top>
      <bottom style="double">
        <color indexed="64"/>
      </bottom>
      <diagonal/>
    </border>
    <border>
      <left/>
      <right style="thin">
        <color indexed="8"/>
      </right>
      <top/>
      <bottom/>
      <diagonal/>
    </border>
    <border>
      <left/>
      <right style="thin">
        <color indexed="8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8"/>
      </top>
      <bottom style="thin">
        <color indexed="64"/>
      </bottom>
      <diagonal/>
    </border>
    <border>
      <left style="medium">
        <color indexed="64"/>
      </left>
      <right style="thin">
        <color indexed="8"/>
      </right>
      <top style="medium">
        <color indexed="64"/>
      </top>
      <bottom/>
      <diagonal/>
    </border>
    <border>
      <left style="thin">
        <color indexed="8"/>
      </left>
      <right/>
      <top style="medium">
        <color indexed="64"/>
      </top>
      <bottom style="thin">
        <color indexed="8"/>
      </bottom>
      <diagonal/>
    </border>
    <border>
      <left/>
      <right/>
      <top style="medium">
        <color indexed="64"/>
      </top>
      <bottom style="thin">
        <color indexed="8"/>
      </bottom>
      <diagonal/>
    </border>
    <border>
      <left/>
      <right style="thin">
        <color indexed="8"/>
      </right>
      <top style="medium">
        <color indexed="64"/>
      </top>
      <bottom style="thin">
        <color indexed="8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8"/>
      </right>
      <top/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medium">
        <color indexed="64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8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8">
    <xf numFmtId="0" fontId="0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8" fillId="0" borderId="0"/>
    <xf numFmtId="0" fontId="12" fillId="0" borderId="0"/>
    <xf numFmtId="165" fontId="12" fillId="0" borderId="0" applyFont="0" applyFill="0" applyBorder="0" applyAlignment="0" applyProtection="0"/>
    <xf numFmtId="0" fontId="48" fillId="0" borderId="0"/>
    <xf numFmtId="0" fontId="12" fillId="0" borderId="0"/>
  </cellStyleXfs>
  <cellXfs count="989">
    <xf numFmtId="0" fontId="0" fillId="0" borderId="0" xfId="0"/>
    <xf numFmtId="166" fontId="3" fillId="0" borderId="0" xfId="0" applyNumberFormat="1" applyFont="1" applyProtection="1"/>
    <xf numFmtId="166" fontId="4" fillId="0" borderId="0" xfId="0" applyNumberFormat="1" applyFont="1" applyAlignment="1" applyProtection="1">
      <alignment horizontal="left"/>
    </xf>
    <xf numFmtId="0" fontId="5" fillId="0" borderId="0" xfId="0" applyFont="1"/>
    <xf numFmtId="0" fontId="6" fillId="0" borderId="0" xfId="0" applyFont="1"/>
    <xf numFmtId="166" fontId="4" fillId="0" borderId="1" xfId="0" applyNumberFormat="1" applyFont="1" applyBorder="1" applyAlignment="1" applyProtection="1">
      <alignment horizontal="left"/>
    </xf>
    <xf numFmtId="166" fontId="3" fillId="0" borderId="2" xfId="0" applyNumberFormat="1" applyFont="1" applyBorder="1" applyProtection="1"/>
    <xf numFmtId="166" fontId="3" fillId="0" borderId="3" xfId="0" applyNumberFormat="1" applyFont="1" applyBorder="1" applyAlignment="1" applyProtection="1">
      <alignment horizontal="center"/>
    </xf>
    <xf numFmtId="166" fontId="3" fillId="0" borderId="4" xfId="0" applyNumberFormat="1" applyFont="1" applyBorder="1" applyProtection="1"/>
    <xf numFmtId="166" fontId="3" fillId="0" borderId="3" xfId="0" applyNumberFormat="1" applyFont="1" applyBorder="1" applyAlignment="1" applyProtection="1">
      <alignment horizontal="left"/>
    </xf>
    <xf numFmtId="166" fontId="7" fillId="0" borderId="2" xfId="0" applyNumberFormat="1" applyFont="1" applyBorder="1" applyAlignment="1" applyProtection="1">
      <alignment horizontal="left"/>
    </xf>
    <xf numFmtId="166" fontId="7" fillId="0" borderId="4" xfId="0" applyNumberFormat="1" applyFont="1" applyBorder="1" applyProtection="1"/>
    <xf numFmtId="166" fontId="3" fillId="0" borderId="5" xfId="0" applyNumberFormat="1" applyFont="1" applyBorder="1" applyAlignment="1" applyProtection="1">
      <alignment horizontal="left"/>
    </xf>
    <xf numFmtId="166" fontId="3" fillId="0" borderId="6" xfId="0" applyNumberFormat="1" applyFont="1" applyBorder="1" applyAlignment="1" applyProtection="1">
      <alignment horizontal="center"/>
    </xf>
    <xf numFmtId="166" fontId="7" fillId="0" borderId="6" xfId="0" applyNumberFormat="1" applyFont="1" applyBorder="1" applyAlignment="1" applyProtection="1">
      <alignment horizontal="center"/>
    </xf>
    <xf numFmtId="166" fontId="3" fillId="0" borderId="6" xfId="0" applyNumberFormat="1" applyFont="1" applyBorder="1" applyAlignment="1" applyProtection="1">
      <alignment horizontal="left"/>
    </xf>
    <xf numFmtId="166" fontId="3" fillId="0" borderId="6" xfId="0" applyNumberFormat="1" applyFont="1" applyBorder="1" applyProtection="1"/>
    <xf numFmtId="166" fontId="7" fillId="0" borderId="6" xfId="0" applyNumberFormat="1" applyFont="1" applyBorder="1" applyProtection="1"/>
    <xf numFmtId="37" fontId="3" fillId="0" borderId="6" xfId="0" applyNumberFormat="1" applyFont="1" applyBorder="1" applyAlignment="1" applyProtection="1">
      <alignment horizontal="center"/>
    </xf>
    <xf numFmtId="37" fontId="7" fillId="0" borderId="6" xfId="0" applyNumberFormat="1" applyFont="1" applyBorder="1" applyAlignment="1" applyProtection="1">
      <alignment horizontal="center"/>
    </xf>
    <xf numFmtId="37" fontId="4" fillId="1" borderId="6" xfId="0" applyNumberFormat="1" applyFont="1" applyFill="1" applyBorder="1" applyAlignment="1" applyProtection="1">
      <alignment horizontal="left"/>
    </xf>
    <xf numFmtId="166" fontId="4" fillId="2" borderId="6" xfId="0" applyNumberFormat="1" applyFont="1" applyFill="1" applyBorder="1" applyProtection="1"/>
    <xf numFmtId="166" fontId="7" fillId="2" borderId="6" xfId="0" applyNumberFormat="1" applyFont="1" applyFill="1" applyBorder="1" applyProtection="1"/>
    <xf numFmtId="37" fontId="4" fillId="2" borderId="6" xfId="0" applyNumberFormat="1" applyFont="1" applyFill="1" applyBorder="1" applyAlignment="1" applyProtection="1">
      <alignment horizontal="left"/>
    </xf>
    <xf numFmtId="166" fontId="4" fillId="2" borderId="1" xfId="0" applyNumberFormat="1" applyFont="1" applyFill="1" applyBorder="1" applyProtection="1"/>
    <xf numFmtId="166" fontId="7" fillId="2" borderId="1" xfId="0" applyNumberFormat="1" applyFont="1" applyFill="1" applyBorder="1" applyProtection="1"/>
    <xf numFmtId="166" fontId="3" fillId="0" borderId="7" xfId="0" applyNumberFormat="1" applyFont="1" applyBorder="1" applyProtection="1"/>
    <xf numFmtId="166" fontId="7" fillId="0" borderId="7" xfId="0" applyNumberFormat="1" applyFont="1" applyBorder="1" applyProtection="1"/>
    <xf numFmtId="3" fontId="3" fillId="0" borderId="0" xfId="0" applyNumberFormat="1" applyFont="1"/>
    <xf numFmtId="166" fontId="3" fillId="0" borderId="0" xfId="0" applyNumberFormat="1" applyFont="1" applyBorder="1" applyProtection="1"/>
    <xf numFmtId="166" fontId="7" fillId="0" borderId="0" xfId="0" applyNumberFormat="1" applyFont="1" applyBorder="1" applyProtection="1"/>
    <xf numFmtId="3" fontId="7" fillId="0" borderId="0" xfId="0" applyNumberFormat="1" applyFont="1" applyBorder="1"/>
    <xf numFmtId="166" fontId="3" fillId="0" borderId="0" xfId="0" applyNumberFormat="1" applyFont="1" applyAlignment="1" applyProtection="1">
      <alignment horizontal="left"/>
    </xf>
    <xf numFmtId="0" fontId="3" fillId="0" borderId="0" xfId="0" applyFont="1"/>
    <xf numFmtId="166" fontId="7" fillId="0" borderId="0" xfId="0" applyNumberFormat="1" applyFont="1" applyProtection="1"/>
    <xf numFmtId="166" fontId="3" fillId="0" borderId="8" xfId="0" applyNumberFormat="1" applyFont="1" applyBorder="1" applyAlignment="1" applyProtection="1">
      <alignment horizontal="left"/>
    </xf>
    <xf numFmtId="166" fontId="7" fillId="0" borderId="2" xfId="0" applyNumberFormat="1" applyFont="1" applyBorder="1" applyProtection="1"/>
    <xf numFmtId="166" fontId="7" fillId="0" borderId="4" xfId="0" applyNumberFormat="1" applyFont="1" applyBorder="1" applyAlignment="1" applyProtection="1">
      <alignment horizontal="left"/>
    </xf>
    <xf numFmtId="166" fontId="3" fillId="0" borderId="4" xfId="0" applyNumberFormat="1" applyFont="1" applyBorder="1" applyAlignment="1" applyProtection="1">
      <alignment horizontal="center"/>
    </xf>
    <xf numFmtId="37" fontId="3" fillId="0" borderId="6" xfId="0" applyNumberFormat="1" applyFont="1" applyBorder="1" applyProtection="1"/>
    <xf numFmtId="37" fontId="3" fillId="0" borderId="6" xfId="0" applyNumberFormat="1" applyFont="1" applyBorder="1" applyAlignment="1" applyProtection="1">
      <alignment horizontal="right"/>
    </xf>
    <xf numFmtId="37" fontId="4" fillId="1" borderId="6" xfId="0" applyNumberFormat="1" applyFont="1" applyFill="1" applyBorder="1" applyProtection="1"/>
    <xf numFmtId="166" fontId="4" fillId="1" borderId="6" xfId="0" applyNumberFormat="1" applyFont="1" applyFill="1" applyBorder="1" applyProtection="1"/>
    <xf numFmtId="37" fontId="4" fillId="1" borderId="6" xfId="0" applyNumberFormat="1" applyFont="1" applyFill="1" applyBorder="1" applyAlignment="1" applyProtection="1">
      <alignment horizontal="center"/>
    </xf>
    <xf numFmtId="166" fontId="7" fillId="1" borderId="6" xfId="0" applyNumberFormat="1" applyFont="1" applyFill="1" applyBorder="1" applyProtection="1"/>
    <xf numFmtId="0" fontId="7" fillId="0" borderId="0" xfId="0" applyFont="1"/>
    <xf numFmtId="166" fontId="3" fillId="0" borderId="1" xfId="0" applyNumberFormat="1" applyFont="1" applyBorder="1" applyAlignment="1" applyProtection="1">
      <alignment horizontal="left"/>
    </xf>
    <xf numFmtId="166" fontId="3" fillId="0" borderId="8" xfId="0" applyNumberFormat="1" applyFont="1" applyBorder="1" applyProtection="1"/>
    <xf numFmtId="166" fontId="3" fillId="0" borderId="9" xfId="0" applyNumberFormat="1" applyFont="1" applyBorder="1" applyAlignment="1" applyProtection="1">
      <alignment horizontal="center"/>
    </xf>
    <xf numFmtId="166" fontId="3" fillId="0" borderId="10" xfId="0" applyNumberFormat="1" applyFont="1" applyBorder="1" applyProtection="1"/>
    <xf numFmtId="166" fontId="3" fillId="0" borderId="9" xfId="0" applyNumberFormat="1" applyFont="1" applyBorder="1" applyAlignment="1" applyProtection="1">
      <alignment horizontal="left"/>
    </xf>
    <xf numFmtId="166" fontId="7" fillId="0" borderId="11" xfId="0" applyNumberFormat="1" applyFont="1" applyBorder="1" applyProtection="1"/>
    <xf numFmtId="166" fontId="7" fillId="0" borderId="2" xfId="0" applyNumberFormat="1" applyFont="1" applyBorder="1" applyAlignment="1" applyProtection="1">
      <alignment horizontal="center"/>
    </xf>
    <xf numFmtId="166" fontId="7" fillId="0" borderId="7" xfId="0" applyNumberFormat="1" applyFont="1" applyBorder="1" applyAlignment="1" applyProtection="1">
      <alignment horizontal="center"/>
    </xf>
    <xf numFmtId="37" fontId="7" fillId="0" borderId="2" xfId="0" applyNumberFormat="1" applyFont="1" applyBorder="1" applyAlignment="1" applyProtection="1">
      <alignment horizontal="center"/>
    </xf>
    <xf numFmtId="37" fontId="7" fillId="0" borderId="7" xfId="0" applyNumberFormat="1" applyFont="1" applyBorder="1" applyAlignment="1" applyProtection="1">
      <alignment horizontal="center"/>
    </xf>
    <xf numFmtId="37" fontId="3" fillId="1" borderId="0" xfId="0" applyNumberFormat="1" applyFont="1" applyFill="1" applyProtection="1"/>
    <xf numFmtId="37" fontId="3" fillId="1" borderId="0" xfId="3" applyNumberFormat="1" applyFont="1" applyFill="1" applyAlignment="1" applyProtection="1">
      <alignment horizontal="center"/>
    </xf>
    <xf numFmtId="166" fontId="7" fillId="2" borderId="2" xfId="0" applyNumberFormat="1" applyFont="1" applyFill="1" applyBorder="1" applyProtection="1"/>
    <xf numFmtId="166" fontId="7" fillId="2" borderId="7" xfId="0" applyNumberFormat="1" applyFont="1" applyFill="1" applyBorder="1" applyProtection="1"/>
    <xf numFmtId="37" fontId="4" fillId="1" borderId="0" xfId="0" applyNumberFormat="1" applyFont="1" applyFill="1" applyAlignment="1" applyProtection="1">
      <alignment horizontal="center"/>
    </xf>
    <xf numFmtId="166" fontId="7" fillId="1" borderId="2" xfId="0" applyNumberFormat="1" applyFont="1" applyFill="1" applyBorder="1" applyProtection="1"/>
    <xf numFmtId="166" fontId="7" fillId="1" borderId="7" xfId="0" applyNumberFormat="1" applyFont="1" applyFill="1" applyBorder="1" applyProtection="1"/>
    <xf numFmtId="37" fontId="4" fillId="1" borderId="0" xfId="0" applyNumberFormat="1" applyFont="1" applyFill="1" applyProtection="1"/>
    <xf numFmtId="3" fontId="9" fillId="0" borderId="0" xfId="0" applyNumberFormat="1" applyFont="1" applyProtection="1"/>
    <xf numFmtId="3" fontId="9" fillId="0" borderId="0" xfId="0" applyNumberFormat="1" applyFont="1" applyAlignment="1" applyProtection="1">
      <alignment horizontal="left"/>
    </xf>
    <xf numFmtId="3" fontId="10" fillId="0" borderId="0" xfId="0" applyNumberFormat="1" applyFont="1"/>
    <xf numFmtId="3" fontId="9" fillId="0" borderId="12" xfId="0" applyNumberFormat="1" applyFont="1" applyBorder="1" applyAlignment="1" applyProtection="1">
      <alignment horizontal="left"/>
    </xf>
    <xf numFmtId="3" fontId="9" fillId="0" borderId="8" xfId="0" applyNumberFormat="1" applyFont="1" applyBorder="1" applyProtection="1"/>
    <xf numFmtId="3" fontId="9" fillId="0" borderId="9" xfId="0" applyNumberFormat="1" applyFont="1" applyBorder="1" applyAlignment="1" applyProtection="1">
      <alignment horizontal="center"/>
    </xf>
    <xf numFmtId="3" fontId="9" fillId="0" borderId="10" xfId="0" applyNumberFormat="1" applyFont="1" applyBorder="1" applyProtection="1"/>
    <xf numFmtId="3" fontId="9" fillId="0" borderId="9" xfId="0" applyNumberFormat="1" applyFont="1" applyBorder="1" applyAlignment="1" applyProtection="1">
      <alignment horizontal="left"/>
    </xf>
    <xf numFmtId="3" fontId="10" fillId="0" borderId="3" xfId="0" applyNumberFormat="1" applyFont="1" applyBorder="1" applyAlignment="1" applyProtection="1">
      <alignment horizontal="left"/>
    </xf>
    <xf numFmtId="3" fontId="10" fillId="0" borderId="4" xfId="0" applyNumberFormat="1" applyFont="1" applyBorder="1" applyProtection="1"/>
    <xf numFmtId="3" fontId="9" fillId="0" borderId="5" xfId="0" applyNumberFormat="1" applyFont="1" applyBorder="1" applyAlignment="1" applyProtection="1">
      <alignment horizontal="left"/>
    </xf>
    <xf numFmtId="3" fontId="9" fillId="0" borderId="6" xfId="0" applyNumberFormat="1" applyFont="1" applyBorder="1" applyAlignment="1" applyProtection="1">
      <alignment horizontal="center"/>
    </xf>
    <xf numFmtId="3" fontId="10" fillId="0" borderId="13" xfId="0" applyNumberFormat="1" applyFont="1" applyBorder="1" applyAlignment="1" applyProtection="1">
      <alignment horizontal="center"/>
    </xf>
    <xf numFmtId="3" fontId="10" fillId="0" borderId="5" xfId="0" applyNumberFormat="1" applyFont="1" applyBorder="1" applyAlignment="1" applyProtection="1">
      <alignment horizontal="center"/>
    </xf>
    <xf numFmtId="3" fontId="10" fillId="0" borderId="6" xfId="0" applyNumberFormat="1" applyFont="1" applyBorder="1" applyAlignment="1" applyProtection="1">
      <alignment horizontal="left"/>
    </xf>
    <xf numFmtId="3" fontId="10" fillId="0" borderId="6" xfId="0" applyNumberFormat="1" applyFont="1" applyBorder="1" applyProtection="1"/>
    <xf numFmtId="3" fontId="10" fillId="0" borderId="6" xfId="0" applyNumberFormat="1" applyFont="1" applyBorder="1" applyAlignment="1" applyProtection="1">
      <alignment horizontal="center"/>
    </xf>
    <xf numFmtId="3" fontId="10" fillId="0" borderId="4" xfId="0" applyNumberFormat="1" applyFont="1" applyBorder="1" applyAlignment="1" applyProtection="1">
      <alignment horizontal="center"/>
    </xf>
    <xf numFmtId="3" fontId="9" fillId="1" borderId="6" xfId="0" applyNumberFormat="1" applyFont="1" applyFill="1" applyBorder="1" applyAlignment="1" applyProtection="1">
      <alignment horizontal="left"/>
    </xf>
    <xf numFmtId="3" fontId="9" fillId="2" borderId="6" xfId="0" applyNumberFormat="1" applyFont="1" applyFill="1" applyBorder="1" applyProtection="1"/>
    <xf numFmtId="3" fontId="9" fillId="2" borderId="4" xfId="0" applyNumberFormat="1" applyFont="1" applyFill="1" applyBorder="1" applyProtection="1"/>
    <xf numFmtId="3" fontId="9" fillId="2" borderId="6" xfId="0" applyNumberFormat="1" applyFont="1" applyFill="1" applyBorder="1" applyAlignment="1" applyProtection="1">
      <alignment horizontal="left"/>
    </xf>
    <xf numFmtId="3" fontId="10" fillId="0" borderId="0" xfId="0" applyNumberFormat="1" applyFont="1" applyProtection="1"/>
    <xf numFmtId="3" fontId="10" fillId="0" borderId="0" xfId="0" applyNumberFormat="1" applyFont="1" applyAlignment="1" applyProtection="1">
      <alignment horizontal="left"/>
    </xf>
    <xf numFmtId="3" fontId="9" fillId="0" borderId="2" xfId="0" applyNumberFormat="1" applyFont="1" applyBorder="1" applyProtection="1"/>
    <xf numFmtId="3" fontId="9" fillId="0" borderId="3" xfId="0" applyNumberFormat="1" applyFont="1" applyBorder="1" applyAlignment="1" applyProtection="1">
      <alignment horizontal="center"/>
    </xf>
    <xf numFmtId="3" fontId="9" fillId="0" borderId="4" xfId="0" applyNumberFormat="1" applyFont="1" applyBorder="1" applyProtection="1"/>
    <xf numFmtId="3" fontId="9" fillId="0" borderId="3" xfId="0" applyNumberFormat="1" applyFont="1" applyBorder="1" applyAlignment="1" applyProtection="1">
      <alignment horizontal="left"/>
    </xf>
    <xf numFmtId="3" fontId="10" fillId="0" borderId="2" xfId="0" applyNumberFormat="1" applyFont="1" applyBorder="1" applyProtection="1"/>
    <xf numFmtId="3" fontId="10" fillId="0" borderId="4" xfId="0" applyNumberFormat="1" applyFont="1" applyBorder="1" applyAlignment="1" applyProtection="1">
      <alignment horizontal="left"/>
    </xf>
    <xf numFmtId="3" fontId="9" fillId="2" borderId="6" xfId="0" applyNumberFormat="1" applyFont="1" applyFill="1" applyBorder="1" applyAlignment="1" applyProtection="1">
      <alignment horizontal="center"/>
    </xf>
    <xf numFmtId="3" fontId="11" fillId="0" borderId="0" xfId="0" applyNumberFormat="1" applyFont="1" applyAlignment="1" applyProtection="1">
      <alignment horizontal="left"/>
    </xf>
    <xf numFmtId="3" fontId="11" fillId="0" borderId="0" xfId="0" applyNumberFormat="1" applyFont="1" applyProtection="1"/>
    <xf numFmtId="3" fontId="9" fillId="0" borderId="0" xfId="0" applyNumberFormat="1" applyFont="1"/>
    <xf numFmtId="3" fontId="9" fillId="0" borderId="14" xfId="0" applyNumberFormat="1" applyFont="1" applyBorder="1" applyAlignment="1" applyProtection="1">
      <alignment horizontal="left"/>
    </xf>
    <xf numFmtId="3" fontId="9" fillId="0" borderId="15" xfId="0" applyNumberFormat="1" applyFont="1" applyBorder="1" applyProtection="1"/>
    <xf numFmtId="3" fontId="9" fillId="0" borderId="16" xfId="0" applyNumberFormat="1" applyFont="1" applyBorder="1" applyAlignment="1" applyProtection="1">
      <alignment horizontal="center"/>
    </xf>
    <xf numFmtId="3" fontId="9" fillId="0" borderId="17" xfId="0" applyNumberFormat="1" applyFont="1" applyBorder="1" applyProtection="1"/>
    <xf numFmtId="3" fontId="9" fillId="0" borderId="18" xfId="0" applyNumberFormat="1" applyFont="1" applyBorder="1" applyProtection="1"/>
    <xf numFmtId="3" fontId="9" fillId="0" borderId="16" xfId="0" applyNumberFormat="1" applyFont="1" applyBorder="1" applyAlignment="1" applyProtection="1">
      <alignment horizontal="left"/>
    </xf>
    <xf numFmtId="3" fontId="9" fillId="0" borderId="19" xfId="0" applyNumberFormat="1" applyFont="1" applyBorder="1" applyAlignment="1" applyProtection="1">
      <alignment horizontal="left"/>
    </xf>
    <xf numFmtId="3" fontId="9" fillId="0" borderId="20" xfId="0" applyNumberFormat="1" applyFont="1" applyBorder="1" applyAlignment="1" applyProtection="1">
      <alignment horizontal="center"/>
    </xf>
    <xf numFmtId="3" fontId="9" fillId="0" borderId="21" xfId="0" applyNumberFormat="1" applyFont="1" applyBorder="1" applyAlignment="1" applyProtection="1">
      <alignment horizontal="center"/>
    </xf>
    <xf numFmtId="3" fontId="10" fillId="0" borderId="5" xfId="0" applyNumberFormat="1" applyFont="1" applyBorder="1" applyAlignment="1" applyProtection="1">
      <alignment horizontal="left"/>
    </xf>
    <xf numFmtId="3" fontId="10" fillId="0" borderId="5" xfId="0" applyNumberFormat="1" applyFont="1" applyBorder="1" applyProtection="1"/>
    <xf numFmtId="3" fontId="10" fillId="0" borderId="22" xfId="0" applyNumberFormat="1" applyFont="1" applyBorder="1" applyAlignment="1" applyProtection="1">
      <alignment horizontal="center"/>
    </xf>
    <xf numFmtId="3" fontId="10" fillId="0" borderId="1" xfId="0" applyNumberFormat="1" applyFont="1" applyBorder="1" applyAlignment="1" applyProtection="1">
      <alignment horizontal="left"/>
    </xf>
    <xf numFmtId="3" fontId="10" fillId="0" borderId="3" xfId="0" applyNumberFormat="1" applyFont="1" applyBorder="1" applyAlignment="1" applyProtection="1">
      <alignment horizontal="center"/>
    </xf>
    <xf numFmtId="3" fontId="9" fillId="1" borderId="6" xfId="0" applyNumberFormat="1" applyFont="1" applyFill="1" applyBorder="1" applyProtection="1"/>
    <xf numFmtId="3" fontId="9" fillId="1" borderId="6" xfId="0" applyNumberFormat="1" applyFont="1" applyFill="1" applyBorder="1" applyAlignment="1" applyProtection="1">
      <alignment horizontal="center"/>
    </xf>
    <xf numFmtId="3" fontId="11" fillId="0" borderId="0" xfId="0" applyNumberFormat="1" applyFont="1"/>
    <xf numFmtId="3" fontId="9" fillId="0" borderId="1" xfId="0" applyNumberFormat="1" applyFont="1" applyBorder="1" applyAlignment="1" applyProtection="1">
      <alignment horizontal="left"/>
    </xf>
    <xf numFmtId="3" fontId="9" fillId="0" borderId="9" xfId="0" applyNumberFormat="1" applyFont="1" applyBorder="1" applyProtection="1"/>
    <xf numFmtId="3" fontId="9" fillId="0" borderId="23" xfId="0" applyNumberFormat="1" applyFont="1" applyBorder="1" applyProtection="1"/>
    <xf numFmtId="3" fontId="9" fillId="0" borderId="24" xfId="0" applyNumberFormat="1" applyFont="1" applyBorder="1" applyAlignment="1" applyProtection="1">
      <alignment horizontal="center"/>
    </xf>
    <xf numFmtId="3" fontId="9" fillId="0" borderId="25" xfId="0" applyNumberFormat="1" applyFont="1" applyBorder="1" applyProtection="1"/>
    <xf numFmtId="3" fontId="9" fillId="0" borderId="23" xfId="0" applyNumberFormat="1" applyFont="1" applyBorder="1" applyAlignment="1" applyProtection="1">
      <alignment horizontal="left"/>
    </xf>
    <xf numFmtId="3" fontId="9" fillId="0" borderId="24" xfId="0" applyNumberFormat="1" applyFont="1" applyBorder="1" applyAlignment="1" applyProtection="1">
      <alignment horizontal="left"/>
    </xf>
    <xf numFmtId="3" fontId="10" fillId="0" borderId="9" xfId="0" applyNumberFormat="1" applyFont="1" applyBorder="1" applyAlignment="1" applyProtection="1">
      <alignment horizontal="left"/>
    </xf>
    <xf numFmtId="3" fontId="10" fillId="0" borderId="7" xfId="0" applyNumberFormat="1" applyFont="1" applyBorder="1" applyProtection="1"/>
    <xf numFmtId="3" fontId="9" fillId="0" borderId="26" xfId="0" applyNumberFormat="1" applyFont="1" applyBorder="1" applyAlignment="1" applyProtection="1">
      <alignment horizontal="left"/>
    </xf>
    <xf numFmtId="3" fontId="9" fillId="0" borderId="27" xfId="0" applyNumberFormat="1" applyFont="1" applyBorder="1" applyAlignment="1" applyProtection="1">
      <alignment horizontal="center"/>
    </xf>
    <xf numFmtId="3" fontId="9" fillId="0" borderId="28" xfId="0" applyNumberFormat="1" applyFont="1" applyBorder="1" applyAlignment="1" applyProtection="1">
      <alignment horizontal="center"/>
    </xf>
    <xf numFmtId="3" fontId="10" fillId="0" borderId="29" xfId="0" applyNumberFormat="1" applyFont="1" applyBorder="1" applyAlignment="1" applyProtection="1">
      <alignment horizontal="center"/>
    </xf>
    <xf numFmtId="3" fontId="10" fillId="0" borderId="30" xfId="0" applyNumberFormat="1" applyFont="1" applyBorder="1" applyAlignment="1" applyProtection="1">
      <alignment horizontal="center"/>
    </xf>
    <xf numFmtId="3" fontId="10" fillId="0" borderId="31" xfId="0" applyNumberFormat="1" applyFont="1" applyBorder="1" applyAlignment="1" applyProtection="1">
      <alignment horizontal="left"/>
    </xf>
    <xf numFmtId="3" fontId="10" fillId="0" borderId="31" xfId="0" applyNumberFormat="1" applyFont="1" applyBorder="1" applyProtection="1"/>
    <xf numFmtId="3" fontId="10" fillId="0" borderId="22" xfId="0" applyNumberFormat="1" applyFont="1" applyBorder="1" applyProtection="1"/>
    <xf numFmtId="3" fontId="10" fillId="0" borderId="2" xfId="0" applyNumberFormat="1" applyFont="1" applyBorder="1" applyAlignment="1" applyProtection="1">
      <alignment horizontal="center"/>
    </xf>
    <xf numFmtId="3" fontId="10" fillId="0" borderId="7" xfId="0" applyNumberFormat="1" applyFont="1" applyBorder="1" applyAlignment="1" applyProtection="1">
      <alignment horizontal="center"/>
    </xf>
    <xf numFmtId="3" fontId="9" fillId="1" borderId="2" xfId="0" applyNumberFormat="1" applyFont="1" applyFill="1" applyBorder="1" applyProtection="1"/>
    <xf numFmtId="3" fontId="9" fillId="1" borderId="7" xfId="0" applyNumberFormat="1" applyFont="1" applyFill="1" applyBorder="1" applyProtection="1"/>
    <xf numFmtId="3" fontId="9" fillId="1" borderId="1" xfId="0" applyNumberFormat="1" applyFont="1" applyFill="1" applyBorder="1" applyProtection="1"/>
    <xf numFmtId="3" fontId="10" fillId="0" borderId="9" xfId="0" applyNumberFormat="1" applyFont="1" applyBorder="1" applyProtection="1"/>
    <xf numFmtId="3" fontId="10" fillId="0" borderId="0" xfId="0" applyNumberFormat="1" applyFont="1" applyBorder="1" applyProtection="1"/>
    <xf numFmtId="3" fontId="9" fillId="0" borderId="32" xfId="0" applyNumberFormat="1" applyFont="1" applyBorder="1" applyAlignment="1" applyProtection="1">
      <alignment horizontal="left"/>
    </xf>
    <xf numFmtId="3" fontId="9" fillId="0" borderId="33" xfId="0" applyNumberFormat="1" applyFont="1" applyBorder="1" applyProtection="1"/>
    <xf numFmtId="3" fontId="9" fillId="0" borderId="33" xfId="0" applyNumberFormat="1" applyFont="1" applyBorder="1" applyAlignment="1" applyProtection="1">
      <alignment horizontal="center"/>
    </xf>
    <xf numFmtId="3" fontId="10" fillId="0" borderId="18" xfId="0" applyNumberFormat="1" applyFont="1" applyBorder="1" applyProtection="1"/>
    <xf numFmtId="3" fontId="10" fillId="0" borderId="17" xfId="0" applyNumberFormat="1" applyFont="1" applyBorder="1" applyAlignment="1" applyProtection="1">
      <alignment horizontal="center"/>
    </xf>
    <xf numFmtId="3" fontId="9" fillId="0" borderId="34" xfId="0" applyNumberFormat="1" applyFont="1" applyBorder="1" applyAlignment="1" applyProtection="1">
      <alignment horizontal="left"/>
    </xf>
    <xf numFmtId="3" fontId="10" fillId="0" borderId="21" xfId="0" applyNumberFormat="1" applyFont="1" applyBorder="1" applyAlignment="1" applyProtection="1">
      <alignment horizontal="center"/>
    </xf>
    <xf numFmtId="3" fontId="9" fillId="0" borderId="3" xfId="0" applyNumberFormat="1" applyFont="1" applyBorder="1" applyProtection="1"/>
    <xf numFmtId="3" fontId="10" fillId="0" borderId="2" xfId="0" applyNumberFormat="1" applyFont="1" applyBorder="1" applyAlignment="1" applyProtection="1">
      <alignment horizontal="left"/>
    </xf>
    <xf numFmtId="3" fontId="9" fillId="0" borderId="28" xfId="0" applyNumberFormat="1" applyFont="1" applyBorder="1" applyAlignment="1" applyProtection="1">
      <alignment horizontal="left"/>
    </xf>
    <xf numFmtId="3" fontId="9" fillId="0" borderId="35" xfId="0" applyNumberFormat="1" applyFont="1" applyBorder="1" applyAlignment="1" applyProtection="1">
      <alignment horizontal="center"/>
    </xf>
    <xf numFmtId="3" fontId="10" fillId="0" borderId="28" xfId="0" applyNumberFormat="1" applyFont="1" applyBorder="1" applyAlignment="1" applyProtection="1">
      <alignment horizontal="center"/>
    </xf>
    <xf numFmtId="3" fontId="10" fillId="0" borderId="13" xfId="0" applyNumberFormat="1" applyFont="1" applyBorder="1" applyProtection="1"/>
    <xf numFmtId="3" fontId="9" fillId="0" borderId="6" xfId="0" applyNumberFormat="1" applyFont="1" applyBorder="1" applyProtection="1"/>
    <xf numFmtId="3" fontId="10" fillId="0" borderId="6" xfId="0" applyNumberFormat="1" applyFont="1" applyBorder="1" applyAlignment="1" applyProtection="1">
      <alignment horizontal="right"/>
    </xf>
    <xf numFmtId="3" fontId="10" fillId="0" borderId="8" xfId="0" applyNumberFormat="1" applyFont="1" applyBorder="1"/>
    <xf numFmtId="3" fontId="10" fillId="0" borderId="10" xfId="0" applyNumberFormat="1" applyFont="1" applyBorder="1" applyAlignment="1" applyProtection="1">
      <alignment horizontal="left"/>
    </xf>
    <xf numFmtId="3" fontId="9" fillId="0" borderId="36" xfId="0" applyNumberFormat="1" applyFont="1" applyBorder="1" applyAlignment="1" applyProtection="1">
      <alignment horizontal="left"/>
    </xf>
    <xf numFmtId="3" fontId="10" fillId="0" borderId="6" xfId="0" applyNumberFormat="1" applyFont="1" applyBorder="1"/>
    <xf numFmtId="3" fontId="9" fillId="0" borderId="8" xfId="0" applyNumberFormat="1" applyFont="1" applyBorder="1" applyAlignment="1" applyProtection="1">
      <alignment horizontal="left"/>
    </xf>
    <xf numFmtId="3" fontId="10" fillId="0" borderId="27" xfId="0" applyNumberFormat="1" applyFont="1" applyBorder="1" applyAlignment="1" applyProtection="1">
      <alignment horizontal="center"/>
    </xf>
    <xf numFmtId="3" fontId="9" fillId="1" borderId="1" xfId="0" applyNumberFormat="1" applyFont="1" applyFill="1" applyBorder="1" applyAlignment="1" applyProtection="1">
      <alignment horizontal="center"/>
    </xf>
    <xf numFmtId="3" fontId="9" fillId="0" borderId="31" xfId="0" applyNumberFormat="1" applyFont="1" applyBorder="1" applyProtection="1"/>
    <xf numFmtId="3" fontId="9" fillId="0" borderId="37" xfId="0" applyNumberFormat="1" applyFont="1" applyBorder="1" applyAlignment="1" applyProtection="1">
      <alignment horizontal="left"/>
    </xf>
    <xf numFmtId="3" fontId="9" fillId="0" borderId="13" xfId="0" applyNumberFormat="1" applyFont="1" applyBorder="1" applyProtection="1"/>
    <xf numFmtId="3" fontId="9" fillId="0" borderId="5" xfId="0" applyNumberFormat="1" applyFont="1" applyBorder="1" applyProtection="1"/>
    <xf numFmtId="3" fontId="9" fillId="0" borderId="37" xfId="0" applyNumberFormat="1" applyFont="1" applyBorder="1" applyProtection="1"/>
    <xf numFmtId="3" fontId="9" fillId="0" borderId="31" xfId="0" applyNumberFormat="1" applyFont="1" applyBorder="1"/>
    <xf numFmtId="3" fontId="9" fillId="0" borderId="37" xfId="0" applyNumberFormat="1" applyFont="1" applyBorder="1"/>
    <xf numFmtId="3" fontId="10" fillId="0" borderId="37" xfId="0" applyNumberFormat="1" applyFont="1" applyBorder="1" applyProtection="1"/>
    <xf numFmtId="3" fontId="9" fillId="0" borderId="6" xfId="0" applyNumberFormat="1" applyFont="1" applyBorder="1" applyAlignment="1" applyProtection="1">
      <alignment horizontal="left"/>
    </xf>
    <xf numFmtId="3" fontId="9" fillId="0" borderId="21" xfId="0" applyNumberFormat="1" applyFont="1" applyBorder="1" applyAlignment="1" applyProtection="1">
      <alignment horizontal="left"/>
    </xf>
    <xf numFmtId="3" fontId="9" fillId="1" borderId="38" xfId="0" applyNumberFormat="1" applyFont="1" applyFill="1" applyBorder="1" applyProtection="1"/>
    <xf numFmtId="3" fontId="9" fillId="0" borderId="39" xfId="0" applyNumberFormat="1" applyFont="1" applyBorder="1" applyAlignment="1" applyProtection="1">
      <alignment horizontal="center"/>
    </xf>
    <xf numFmtId="3" fontId="10" fillId="0" borderId="5" xfId="0" applyNumberFormat="1" applyFont="1" applyBorder="1" applyAlignment="1" applyProtection="1">
      <alignment horizontal="right"/>
    </xf>
    <xf numFmtId="3" fontId="9" fillId="1" borderId="0" xfId="0" applyNumberFormat="1" applyFont="1" applyFill="1" applyProtection="1"/>
    <xf numFmtId="3" fontId="10" fillId="0" borderId="40" xfId="0" applyNumberFormat="1" applyFont="1" applyBorder="1" applyProtection="1"/>
    <xf numFmtId="3" fontId="10" fillId="0" borderId="2" xfId="0" applyNumberFormat="1" applyFont="1" applyBorder="1"/>
    <xf numFmtId="3" fontId="9" fillId="0" borderId="41" xfId="0" applyNumberFormat="1" applyFont="1" applyBorder="1" applyAlignment="1" applyProtection="1">
      <alignment horizontal="center"/>
    </xf>
    <xf numFmtId="3" fontId="10" fillId="0" borderId="39" xfId="0" applyNumberFormat="1" applyFont="1" applyBorder="1" applyAlignment="1" applyProtection="1">
      <alignment horizontal="center"/>
    </xf>
    <xf numFmtId="3" fontId="10" fillId="0" borderId="31" xfId="0" applyNumberFormat="1" applyFont="1" applyBorder="1" applyAlignment="1" applyProtection="1">
      <alignment horizontal="center"/>
    </xf>
    <xf numFmtId="3" fontId="10" fillId="2" borderId="0" xfId="0" applyNumberFormat="1" applyFont="1" applyFill="1" applyProtection="1"/>
    <xf numFmtId="3" fontId="9" fillId="2" borderId="2" xfId="0" applyNumberFormat="1" applyFont="1" applyFill="1" applyBorder="1" applyAlignment="1" applyProtection="1">
      <alignment horizontal="center"/>
    </xf>
    <xf numFmtId="3" fontId="9" fillId="0" borderId="25" xfId="0" applyNumberFormat="1" applyFont="1" applyBorder="1"/>
    <xf numFmtId="3" fontId="9" fillId="0" borderId="23" xfId="0" applyNumberFormat="1" applyFont="1" applyBorder="1"/>
    <xf numFmtId="3" fontId="9" fillId="0" borderId="24" xfId="0" applyNumberFormat="1" applyFont="1" applyBorder="1"/>
    <xf numFmtId="3" fontId="10" fillId="0" borderId="23" xfId="0" applyNumberFormat="1" applyFont="1" applyBorder="1"/>
    <xf numFmtId="3" fontId="10" fillId="0" borderId="25" xfId="0" applyNumberFormat="1" applyFont="1" applyBorder="1"/>
    <xf numFmtId="3" fontId="9" fillId="0" borderId="34" xfId="0" applyNumberFormat="1" applyFont="1" applyBorder="1" applyAlignment="1" applyProtection="1">
      <alignment horizontal="center"/>
    </xf>
    <xf numFmtId="3" fontId="10" fillId="0" borderId="34" xfId="0" applyNumberFormat="1" applyFont="1" applyBorder="1" applyAlignment="1" applyProtection="1">
      <alignment horizontal="center"/>
    </xf>
    <xf numFmtId="3" fontId="10" fillId="0" borderId="42" xfId="0" applyNumberFormat="1" applyFont="1" applyBorder="1" applyAlignment="1" applyProtection="1">
      <alignment horizontal="center"/>
    </xf>
    <xf numFmtId="3" fontId="10" fillId="0" borderId="43" xfId="0" applyNumberFormat="1" applyFont="1" applyBorder="1" applyProtection="1"/>
    <xf numFmtId="3" fontId="10" fillId="0" borderId="44" xfId="0" applyNumberFormat="1" applyFont="1" applyBorder="1" applyAlignment="1" applyProtection="1">
      <alignment horizontal="center"/>
    </xf>
    <xf numFmtId="3" fontId="10" fillId="0" borderId="44" xfId="0" applyNumberFormat="1" applyFont="1" applyBorder="1" applyProtection="1"/>
    <xf numFmtId="3" fontId="9" fillId="2" borderId="6" xfId="0" applyNumberFormat="1" applyFont="1" applyFill="1" applyBorder="1"/>
    <xf numFmtId="3" fontId="9" fillId="2" borderId="44" xfId="0" applyNumberFormat="1" applyFont="1" applyFill="1" applyBorder="1" applyProtection="1"/>
    <xf numFmtId="3" fontId="10" fillId="0" borderId="1" xfId="0" applyNumberFormat="1" applyFont="1" applyBorder="1" applyProtection="1"/>
    <xf numFmtId="3" fontId="10" fillId="0" borderId="45" xfId="0" applyNumberFormat="1" applyFont="1" applyBorder="1" applyAlignment="1" applyProtection="1">
      <alignment horizontal="left"/>
    </xf>
    <xf numFmtId="3" fontId="10" fillId="0" borderId="45" xfId="0" applyNumberFormat="1" applyFont="1" applyBorder="1" applyProtection="1"/>
    <xf numFmtId="3" fontId="10" fillId="0" borderId="45" xfId="0" applyNumberFormat="1" applyFont="1" applyBorder="1"/>
    <xf numFmtId="3" fontId="10" fillId="0" borderId="46" xfId="0" applyNumberFormat="1" applyFont="1" applyBorder="1" applyProtection="1"/>
    <xf numFmtId="3" fontId="9" fillId="0" borderId="47" xfId="0" applyNumberFormat="1" applyFont="1" applyBorder="1" applyAlignment="1" applyProtection="1">
      <alignment horizontal="left"/>
    </xf>
    <xf numFmtId="3" fontId="10" fillId="0" borderId="48" xfId="0" applyNumberFormat="1" applyFont="1" applyBorder="1" applyAlignment="1" applyProtection="1">
      <alignment horizontal="left"/>
    </xf>
    <xf numFmtId="3" fontId="9" fillId="0" borderId="20" xfId="0" applyNumberFormat="1" applyFont="1" applyBorder="1" applyAlignment="1" applyProtection="1">
      <alignment horizontal="left"/>
    </xf>
    <xf numFmtId="3" fontId="10" fillId="0" borderId="49" xfId="0" applyNumberFormat="1" applyFont="1" applyBorder="1" applyAlignment="1" applyProtection="1">
      <alignment horizontal="center"/>
    </xf>
    <xf numFmtId="3" fontId="10" fillId="0" borderId="38" xfId="0" applyNumberFormat="1" applyFont="1" applyBorder="1" applyProtection="1"/>
    <xf numFmtId="3" fontId="10" fillId="0" borderId="50" xfId="0" applyNumberFormat="1" applyFont="1" applyBorder="1" applyProtection="1"/>
    <xf numFmtId="3" fontId="9" fillId="2" borderId="2" xfId="0" applyNumberFormat="1" applyFont="1" applyFill="1" applyBorder="1" applyProtection="1"/>
    <xf numFmtId="3" fontId="9" fillId="0" borderId="1" xfId="0" applyNumberFormat="1" applyFont="1" applyBorder="1" applyAlignment="1" applyProtection="1">
      <alignment horizontal="right"/>
    </xf>
    <xf numFmtId="3" fontId="9" fillId="0" borderId="51" xfId="0" applyNumberFormat="1" applyFont="1" applyBorder="1" applyAlignment="1" applyProtection="1">
      <alignment horizontal="center"/>
    </xf>
    <xf numFmtId="3" fontId="10" fillId="0" borderId="36" xfId="0" applyNumberFormat="1" applyFont="1" applyBorder="1" applyAlignment="1" applyProtection="1">
      <alignment horizontal="center"/>
    </xf>
    <xf numFmtId="3" fontId="10" fillId="0" borderId="52" xfId="0" applyNumberFormat="1" applyFont="1" applyBorder="1" applyAlignment="1" applyProtection="1">
      <alignment horizontal="center"/>
    </xf>
    <xf numFmtId="3" fontId="10" fillId="0" borderId="22" xfId="0" applyNumberFormat="1" applyFont="1" applyBorder="1" applyAlignment="1" applyProtection="1">
      <alignment horizontal="left"/>
    </xf>
    <xf numFmtId="3" fontId="10" fillId="0" borderId="22" xfId="0" applyNumberFormat="1" applyFont="1" applyBorder="1"/>
    <xf numFmtId="3" fontId="10" fillId="0" borderId="7" xfId="0" applyNumberFormat="1" applyFont="1" applyBorder="1" applyAlignment="1" applyProtection="1">
      <alignment horizontal="left"/>
    </xf>
    <xf numFmtId="3" fontId="10" fillId="0" borderId="7" xfId="0" applyNumberFormat="1" applyFont="1" applyBorder="1"/>
    <xf numFmtId="3" fontId="9" fillId="1" borderId="7" xfId="0" applyNumberFormat="1" applyFont="1" applyFill="1" applyBorder="1" applyAlignment="1" applyProtection="1">
      <alignment horizontal="left"/>
    </xf>
    <xf numFmtId="3" fontId="9" fillId="1" borderId="7" xfId="0" applyNumberFormat="1" applyFont="1" applyFill="1" applyBorder="1"/>
    <xf numFmtId="3" fontId="10" fillId="0" borderId="7" xfId="0" applyNumberFormat="1" applyFont="1" applyBorder="1" applyAlignment="1" applyProtection="1"/>
    <xf numFmtId="3" fontId="9" fillId="0" borderId="7" xfId="0" applyNumberFormat="1" applyFont="1" applyFill="1" applyBorder="1" applyAlignment="1" applyProtection="1">
      <alignment horizontal="left"/>
    </xf>
    <xf numFmtId="3" fontId="10" fillId="2" borderId="1" xfId="0" applyNumberFormat="1" applyFont="1" applyFill="1" applyBorder="1" applyProtection="1"/>
    <xf numFmtId="3" fontId="10" fillId="0" borderId="7" xfId="0" applyNumberFormat="1" applyFont="1" applyFill="1" applyBorder="1" applyProtection="1"/>
    <xf numFmtId="3" fontId="10" fillId="0" borderId="53" xfId="0" applyNumberFormat="1" applyFont="1" applyFill="1" applyBorder="1" applyProtection="1"/>
    <xf numFmtId="3" fontId="9" fillId="0" borderId="14" xfId="0" applyNumberFormat="1" applyFont="1" applyBorder="1" applyAlignment="1" applyProtection="1">
      <alignment horizontal="right"/>
    </xf>
    <xf numFmtId="3" fontId="9" fillId="0" borderId="24" xfId="0" applyNumberFormat="1" applyFont="1" applyBorder="1" applyProtection="1"/>
    <xf numFmtId="3" fontId="10" fillId="0" borderId="23" xfId="0" applyNumberFormat="1" applyFont="1" applyBorder="1" applyProtection="1"/>
    <xf numFmtId="3" fontId="9" fillId="0" borderId="19" xfId="0" applyNumberFormat="1" applyFont="1" applyBorder="1" applyAlignment="1" applyProtection="1">
      <alignment horizontal="center"/>
    </xf>
    <xf numFmtId="3" fontId="9" fillId="0" borderId="52" xfId="0" applyNumberFormat="1" applyFont="1" applyBorder="1" applyAlignment="1" applyProtection="1">
      <alignment horizontal="center"/>
    </xf>
    <xf numFmtId="3" fontId="10" fillId="0" borderId="54" xfId="0" applyNumberFormat="1" applyFont="1" applyBorder="1" applyAlignment="1" applyProtection="1">
      <alignment horizontal="center"/>
    </xf>
    <xf numFmtId="3" fontId="10" fillId="0" borderId="55" xfId="0" applyNumberFormat="1" applyFont="1" applyBorder="1" applyProtection="1"/>
    <xf numFmtId="3" fontId="10" fillId="0" borderId="7" xfId="3" applyNumberFormat="1" applyFont="1" applyBorder="1" applyAlignment="1" applyProtection="1">
      <alignment horizontal="left"/>
    </xf>
    <xf numFmtId="3" fontId="10" fillId="0" borderId="23" xfId="0" applyNumberFormat="1" applyFont="1" applyBorder="1" applyAlignment="1" applyProtection="1">
      <alignment horizontal="center"/>
    </xf>
    <xf numFmtId="3" fontId="9" fillId="1" borderId="23" xfId="0" applyNumberFormat="1" applyFont="1" applyFill="1" applyBorder="1" applyProtection="1"/>
    <xf numFmtId="3" fontId="10" fillId="0" borderId="7" xfId="1" applyNumberFormat="1" applyFont="1" applyBorder="1" applyProtection="1"/>
    <xf numFmtId="3" fontId="9" fillId="0" borderId="36" xfId="0" applyNumberFormat="1" applyFont="1" applyBorder="1" applyAlignment="1" applyProtection="1">
      <alignment horizontal="center"/>
    </xf>
    <xf numFmtId="3" fontId="9" fillId="0" borderId="7" xfId="0" applyNumberFormat="1" applyFont="1" applyBorder="1" applyAlignment="1" applyProtection="1">
      <alignment horizontal="center"/>
    </xf>
    <xf numFmtId="3" fontId="10" fillId="0" borderId="22" xfId="1" applyNumberFormat="1" applyFont="1" applyBorder="1" applyAlignment="1" applyProtection="1">
      <alignment horizontal="right"/>
    </xf>
    <xf numFmtId="3" fontId="10" fillId="0" borderId="7" xfId="1" applyNumberFormat="1" applyFont="1" applyBorder="1" applyAlignment="1" applyProtection="1">
      <alignment horizontal="right"/>
    </xf>
    <xf numFmtId="3" fontId="10" fillId="0" borderId="0" xfId="1" applyNumberFormat="1" applyFont="1" applyAlignment="1">
      <alignment horizontal="right"/>
    </xf>
    <xf numFmtId="3" fontId="10" fillId="0" borderId="7" xfId="0" applyNumberFormat="1" applyFont="1" applyBorder="1" applyAlignment="1" applyProtection="1">
      <alignment horizontal="right"/>
    </xf>
    <xf numFmtId="3" fontId="9" fillId="0" borderId="7" xfId="0" applyNumberFormat="1" applyFont="1" applyBorder="1" applyAlignment="1" applyProtection="1">
      <alignment horizontal="left"/>
    </xf>
    <xf numFmtId="3" fontId="9" fillId="0" borderId="54" xfId="0" applyNumberFormat="1" applyFont="1" applyBorder="1" applyAlignment="1" applyProtection="1">
      <alignment horizontal="center"/>
    </xf>
    <xf numFmtId="3" fontId="10" fillId="0" borderId="22" xfId="1" applyNumberFormat="1" applyFont="1" applyBorder="1" applyProtection="1"/>
    <xf numFmtId="3" fontId="10" fillId="0" borderId="22" xfId="0" applyNumberFormat="1" applyFont="1" applyBorder="1" applyAlignment="1" applyProtection="1">
      <alignment horizontal="right"/>
    </xf>
    <xf numFmtId="3" fontId="10" fillId="0" borderId="55" xfId="0" applyNumberFormat="1" applyFont="1" applyBorder="1" applyAlignment="1" applyProtection="1">
      <alignment horizontal="right"/>
    </xf>
    <xf numFmtId="3" fontId="10" fillId="0" borderId="7" xfId="3" applyNumberFormat="1" applyFont="1" applyBorder="1" applyAlignment="1" applyProtection="1">
      <alignment horizontal="right"/>
    </xf>
    <xf numFmtId="3" fontId="10" fillId="0" borderId="7" xfId="1" applyNumberFormat="1" applyFont="1" applyBorder="1" applyAlignment="1" applyProtection="1">
      <alignment horizontal="center"/>
    </xf>
    <xf numFmtId="3" fontId="9" fillId="1" borderId="7" xfId="0" applyNumberFormat="1" applyFont="1" applyFill="1" applyBorder="1" applyAlignment="1" applyProtection="1">
      <alignment horizontal="right"/>
    </xf>
    <xf numFmtId="3" fontId="9" fillId="0" borderId="15" xfId="0" applyNumberFormat="1" applyFont="1" applyBorder="1" applyAlignment="1" applyProtection="1">
      <alignment horizontal="left"/>
    </xf>
    <xf numFmtId="3" fontId="9" fillId="0" borderId="7" xfId="0" applyNumberFormat="1" applyFont="1" applyBorder="1" applyProtection="1"/>
    <xf numFmtId="3" fontId="9" fillId="0" borderId="56" xfId="0" applyNumberFormat="1" applyFont="1" applyBorder="1" applyAlignment="1" applyProtection="1">
      <alignment horizontal="center"/>
    </xf>
    <xf numFmtId="3" fontId="10" fillId="0" borderId="7" xfId="0" quotePrefix="1" applyNumberFormat="1" applyFont="1" applyBorder="1" applyAlignment="1" applyProtection="1">
      <alignment horizontal="center"/>
    </xf>
    <xf numFmtId="3" fontId="10" fillId="0" borderId="23" xfId="0" quotePrefix="1" applyNumberFormat="1" applyFont="1" applyBorder="1" applyAlignment="1" applyProtection="1">
      <alignment horizontal="center"/>
    </xf>
    <xf numFmtId="3" fontId="10" fillId="0" borderId="7" xfId="0" quotePrefix="1" applyNumberFormat="1" applyFont="1" applyBorder="1" applyAlignment="1" applyProtection="1">
      <alignment horizontal="right"/>
    </xf>
    <xf numFmtId="3" fontId="10" fillId="0" borderId="7" xfId="0" quotePrefix="1" applyNumberFormat="1" applyFont="1" applyBorder="1" applyProtection="1"/>
    <xf numFmtId="3" fontId="10" fillId="0" borderId="57" xfId="0" applyNumberFormat="1" applyFont="1" applyBorder="1" applyProtection="1"/>
    <xf numFmtId="3" fontId="9" fillId="1" borderId="23" xfId="0" applyNumberFormat="1" applyFont="1" applyFill="1" applyBorder="1"/>
    <xf numFmtId="3" fontId="9" fillId="2" borderId="57" xfId="0" applyNumberFormat="1" applyFont="1" applyFill="1" applyBorder="1" applyProtection="1"/>
    <xf numFmtId="3" fontId="10" fillId="0" borderId="58" xfId="0" applyNumberFormat="1" applyFont="1" applyFill="1" applyBorder="1" applyProtection="1"/>
    <xf numFmtId="3" fontId="10" fillId="0" borderId="7" xfId="1" quotePrefix="1" applyNumberFormat="1" applyFont="1" applyBorder="1" applyProtection="1"/>
    <xf numFmtId="3" fontId="11" fillId="0" borderId="0" xfId="0" applyNumberFormat="1" applyFont="1" applyBorder="1" applyProtection="1"/>
    <xf numFmtId="3" fontId="4" fillId="0" borderId="0" xfId="0" applyNumberFormat="1" applyFont="1" applyProtection="1"/>
    <xf numFmtId="3" fontId="4" fillId="0" borderId="0" xfId="0" applyNumberFormat="1" applyFont="1" applyAlignment="1" applyProtection="1">
      <alignment horizontal="left"/>
    </xf>
    <xf numFmtId="3" fontId="4" fillId="0" borderId="14" xfId="0" applyNumberFormat="1" applyFont="1" applyBorder="1" applyAlignment="1" applyProtection="1">
      <alignment horizontal="left"/>
    </xf>
    <xf numFmtId="3" fontId="4" fillId="0" borderId="3" xfId="0" applyNumberFormat="1" applyFont="1" applyBorder="1" applyProtection="1"/>
    <xf numFmtId="3" fontId="4" fillId="0" borderId="3" xfId="0" applyNumberFormat="1" applyFont="1" applyBorder="1" applyAlignment="1" applyProtection="1">
      <alignment horizontal="center"/>
    </xf>
    <xf numFmtId="3" fontId="4" fillId="0" borderId="4" xfId="0" applyNumberFormat="1" applyFont="1" applyBorder="1" applyProtection="1"/>
    <xf numFmtId="3" fontId="4" fillId="0" borderId="2" xfId="0" applyNumberFormat="1" applyFont="1" applyBorder="1" applyProtection="1"/>
    <xf numFmtId="3" fontId="4" fillId="0" borderId="3" xfId="0" applyNumberFormat="1" applyFont="1" applyBorder="1" applyAlignment="1" applyProtection="1">
      <alignment horizontal="left"/>
    </xf>
    <xf numFmtId="3" fontId="3" fillId="0" borderId="3" xfId="0" applyNumberFormat="1" applyFont="1" applyBorder="1" applyAlignment="1" applyProtection="1">
      <alignment horizontal="left"/>
    </xf>
    <xf numFmtId="3" fontId="3" fillId="0" borderId="4" xfId="0" applyNumberFormat="1" applyFont="1" applyBorder="1" applyProtection="1"/>
    <xf numFmtId="3" fontId="4" fillId="0" borderId="19" xfId="0" applyNumberFormat="1" applyFont="1" applyBorder="1" applyAlignment="1" applyProtection="1">
      <alignment horizontal="left"/>
    </xf>
    <xf numFmtId="3" fontId="4" fillId="0" borderId="39" xfId="0" applyNumberFormat="1" applyFont="1" applyBorder="1" applyAlignment="1" applyProtection="1">
      <alignment horizontal="center"/>
    </xf>
    <xf numFmtId="3" fontId="4" fillId="0" borderId="21" xfId="0" applyNumberFormat="1" applyFont="1" applyBorder="1" applyAlignment="1" applyProtection="1">
      <alignment horizontal="center"/>
    </xf>
    <xf numFmtId="3" fontId="3" fillId="0" borderId="21" xfId="0" applyNumberFormat="1" applyFont="1" applyBorder="1" applyAlignment="1" applyProtection="1">
      <alignment horizontal="center"/>
    </xf>
    <xf numFmtId="3" fontId="3" fillId="0" borderId="5" xfId="0" applyNumberFormat="1" applyFont="1" applyBorder="1" applyAlignment="1" applyProtection="1">
      <alignment horizontal="left"/>
    </xf>
    <xf numFmtId="3" fontId="3" fillId="0" borderId="5" xfId="0" applyNumberFormat="1" applyFont="1" applyBorder="1" applyProtection="1"/>
    <xf numFmtId="37" fontId="3" fillId="0" borderId="22" xfId="0" applyNumberFormat="1" applyFont="1" applyBorder="1" applyProtection="1"/>
    <xf numFmtId="166" fontId="3" fillId="0" borderId="7" xfId="0" quotePrefix="1" applyNumberFormat="1" applyFont="1" applyBorder="1" applyAlignment="1" applyProtection="1">
      <alignment horizontal="center"/>
    </xf>
    <xf numFmtId="3" fontId="3" fillId="0" borderId="5" xfId="0" applyNumberFormat="1" applyFont="1" applyBorder="1" applyAlignment="1" applyProtection="1">
      <alignment horizontal="right"/>
    </xf>
    <xf numFmtId="166" fontId="3" fillId="0" borderId="7" xfId="0" quotePrefix="1" applyNumberFormat="1" applyFont="1" applyBorder="1" applyAlignment="1" applyProtection="1">
      <alignment horizontal="right"/>
    </xf>
    <xf numFmtId="3" fontId="3" fillId="0" borderId="5" xfId="0" applyNumberFormat="1" applyFont="1" applyBorder="1" applyAlignment="1" applyProtection="1">
      <alignment horizontal="center"/>
    </xf>
    <xf numFmtId="3" fontId="3" fillId="0" borderId="6" xfId="0" applyNumberFormat="1" applyFont="1" applyBorder="1" applyAlignment="1" applyProtection="1">
      <alignment horizontal="left"/>
    </xf>
    <xf numFmtId="3" fontId="3" fillId="0" borderId="6" xfId="0" applyNumberFormat="1" applyFont="1" applyBorder="1" applyAlignment="1" applyProtection="1">
      <alignment horizontal="right"/>
    </xf>
    <xf numFmtId="37" fontId="3" fillId="0" borderId="7" xfId="0" applyNumberFormat="1" applyFont="1" applyBorder="1" applyProtection="1"/>
    <xf numFmtId="3" fontId="3" fillId="0" borderId="6" xfId="0" applyNumberFormat="1" applyFont="1" applyBorder="1" applyProtection="1"/>
    <xf numFmtId="3" fontId="3" fillId="0" borderId="6" xfId="0" applyNumberFormat="1" applyFont="1" applyBorder="1" applyAlignment="1" applyProtection="1">
      <alignment horizontal="center"/>
    </xf>
    <xf numFmtId="37" fontId="3" fillId="0" borderId="7" xfId="0" applyNumberFormat="1" applyFont="1" applyBorder="1" applyAlignment="1" applyProtection="1">
      <alignment horizontal="right"/>
    </xf>
    <xf numFmtId="166" fontId="3" fillId="0" borderId="7" xfId="0" applyNumberFormat="1" applyFont="1" applyBorder="1" applyAlignment="1" applyProtection="1">
      <alignment horizontal="right"/>
    </xf>
    <xf numFmtId="37" fontId="3" fillId="0" borderId="7" xfId="0" quotePrefix="1" applyNumberFormat="1" applyFont="1" applyBorder="1" applyAlignment="1" applyProtection="1">
      <alignment horizontal="center"/>
    </xf>
    <xf numFmtId="37" fontId="3" fillId="0" borderId="7" xfId="0" applyNumberFormat="1" applyFont="1" applyBorder="1" applyAlignment="1" applyProtection="1"/>
    <xf numFmtId="3" fontId="4" fillId="2" borderId="6" xfId="0" applyNumberFormat="1" applyFont="1" applyFill="1" applyBorder="1" applyProtection="1"/>
    <xf numFmtId="3" fontId="13" fillId="0" borderId="0" xfId="0" applyNumberFormat="1" applyFont="1" applyProtection="1"/>
    <xf numFmtId="3" fontId="3" fillId="0" borderId="0" xfId="0" applyNumberFormat="1" applyFont="1" applyProtection="1"/>
    <xf numFmtId="3" fontId="3" fillId="0" borderId="0" xfId="0" applyNumberFormat="1" applyFont="1" applyAlignment="1" applyProtection="1">
      <alignment horizontal="left"/>
    </xf>
    <xf numFmtId="3" fontId="4" fillId="0" borderId="6" xfId="0" applyNumberFormat="1" applyFont="1" applyBorder="1" applyAlignment="1" applyProtection="1">
      <alignment horizontal="left"/>
    </xf>
    <xf numFmtId="3" fontId="3" fillId="0" borderId="2" xfId="0" applyNumberFormat="1" applyFont="1" applyBorder="1"/>
    <xf numFmtId="3" fontId="3" fillId="0" borderId="4" xfId="0" applyNumberFormat="1" applyFont="1" applyBorder="1" applyAlignment="1" applyProtection="1">
      <alignment horizontal="left"/>
    </xf>
    <xf numFmtId="3" fontId="4" fillId="0" borderId="21" xfId="0" applyNumberFormat="1" applyFont="1" applyBorder="1" applyAlignment="1" applyProtection="1">
      <alignment horizontal="left"/>
    </xf>
    <xf numFmtId="3" fontId="4" fillId="0" borderId="41" xfId="0" applyNumberFormat="1" applyFont="1" applyBorder="1" applyAlignment="1" applyProtection="1">
      <alignment horizontal="center"/>
    </xf>
    <xf numFmtId="3" fontId="3" fillId="0" borderId="39" xfId="0" applyNumberFormat="1" applyFont="1" applyBorder="1" applyAlignment="1" applyProtection="1">
      <alignment horizontal="center"/>
    </xf>
    <xf numFmtId="37" fontId="3" fillId="0" borderId="22" xfId="0" applyNumberFormat="1" applyFont="1" applyBorder="1" applyAlignment="1" applyProtection="1">
      <alignment horizontal="right"/>
    </xf>
    <xf numFmtId="3" fontId="3" fillId="0" borderId="13" xfId="0" applyNumberFormat="1" applyFont="1" applyBorder="1" applyProtection="1"/>
    <xf numFmtId="166" fontId="3" fillId="0" borderId="7" xfId="3" applyNumberFormat="1" applyFont="1" applyBorder="1" applyAlignment="1" applyProtection="1">
      <alignment horizontal="right"/>
    </xf>
    <xf numFmtId="3" fontId="4" fillId="0" borderId="0" xfId="0" applyNumberFormat="1" applyFont="1"/>
    <xf numFmtId="0" fontId="5" fillId="0" borderId="0" xfId="0" applyFont="1" applyFill="1" applyBorder="1"/>
    <xf numFmtId="3" fontId="14" fillId="0" borderId="0" xfId="0" applyNumberFormat="1" applyFont="1" applyProtection="1"/>
    <xf numFmtId="3" fontId="9" fillId="0" borderId="38" xfId="0" applyNumberFormat="1" applyFont="1" applyBorder="1" applyAlignment="1" applyProtection="1">
      <alignment horizontal="center"/>
    </xf>
    <xf numFmtId="0" fontId="0" fillId="0" borderId="7" xfId="0" applyBorder="1"/>
    <xf numFmtId="3" fontId="10" fillId="0" borderId="0" xfId="0" applyNumberFormat="1" applyFont="1" applyBorder="1"/>
    <xf numFmtId="3" fontId="10" fillId="0" borderId="0" xfId="0" applyNumberFormat="1" applyFont="1" applyFill="1" applyBorder="1" applyProtection="1"/>
    <xf numFmtId="0" fontId="15" fillId="0" borderId="0" xfId="0" applyFont="1"/>
    <xf numFmtId="3" fontId="6" fillId="0" borderId="0" xfId="0" applyNumberFormat="1" applyFont="1"/>
    <xf numFmtId="3" fontId="16" fillId="0" borderId="0" xfId="0" applyNumberFormat="1" applyFont="1" applyProtection="1"/>
    <xf numFmtId="3" fontId="12" fillId="0" borderId="0" xfId="0" applyNumberFormat="1" applyFont="1" applyProtection="1"/>
    <xf numFmtId="3" fontId="17" fillId="0" borderId="0" xfId="0" applyNumberFormat="1" applyFont="1" applyAlignment="1" applyProtection="1">
      <alignment horizontal="left"/>
    </xf>
    <xf numFmtId="3" fontId="12" fillId="0" borderId="0" xfId="0" applyNumberFormat="1" applyFont="1"/>
    <xf numFmtId="3" fontId="18" fillId="0" borderId="0" xfId="0" applyNumberFormat="1" applyFont="1" applyAlignment="1" applyProtection="1">
      <alignment horizontal="left"/>
    </xf>
    <xf numFmtId="3" fontId="19" fillId="0" borderId="0" xfId="0" applyNumberFormat="1" applyFont="1" applyAlignment="1" applyProtection="1">
      <alignment horizontal="left"/>
    </xf>
    <xf numFmtId="3" fontId="12" fillId="0" borderId="0" xfId="0" applyNumberFormat="1" applyFont="1" applyAlignment="1" applyProtection="1">
      <alignment horizontal="left"/>
    </xf>
    <xf numFmtId="3" fontId="20" fillId="0" borderId="59" xfId="0" applyNumberFormat="1" applyFont="1" applyBorder="1" applyAlignment="1" applyProtection="1">
      <alignment horizontal="right"/>
    </xf>
    <xf numFmtId="3" fontId="20" fillId="0" borderId="60" xfId="0" applyNumberFormat="1" applyFont="1" applyBorder="1" applyProtection="1"/>
    <xf numFmtId="3" fontId="20" fillId="0" borderId="61" xfId="0" applyNumberFormat="1" applyFont="1" applyBorder="1" applyAlignment="1" applyProtection="1">
      <alignment horizontal="center"/>
    </xf>
    <xf numFmtId="3" fontId="20" fillId="0" borderId="62" xfId="0" applyNumberFormat="1" applyFont="1" applyBorder="1" applyProtection="1"/>
    <xf numFmtId="3" fontId="20" fillId="0" borderId="61" xfId="0" applyNumberFormat="1" applyFont="1" applyBorder="1" applyAlignment="1" applyProtection="1">
      <alignment horizontal="left"/>
    </xf>
    <xf numFmtId="3" fontId="20" fillId="0" borderId="61" xfId="0" applyNumberFormat="1" applyFont="1" applyBorder="1" applyProtection="1"/>
    <xf numFmtId="3" fontId="20" fillId="0" borderId="63" xfId="0" applyNumberFormat="1" applyFont="1" applyBorder="1" applyProtection="1"/>
    <xf numFmtId="3" fontId="20" fillId="0" borderId="64" xfId="0" applyNumberFormat="1" applyFont="1" applyBorder="1" applyAlignment="1" applyProtection="1">
      <alignment horizontal="center"/>
    </xf>
    <xf numFmtId="3" fontId="20" fillId="0" borderId="65" xfId="0" applyNumberFormat="1" applyFont="1" applyBorder="1" applyProtection="1"/>
    <xf numFmtId="3" fontId="20" fillId="0" borderId="64" xfId="0" applyNumberFormat="1" applyFont="1" applyBorder="1" applyProtection="1"/>
    <xf numFmtId="3" fontId="20" fillId="0" borderId="66" xfId="0" applyNumberFormat="1" applyFont="1" applyBorder="1" applyAlignment="1" applyProtection="1">
      <alignment horizontal="left"/>
    </xf>
    <xf numFmtId="3" fontId="20" fillId="0" borderId="67" xfId="0" applyNumberFormat="1" applyFont="1" applyBorder="1" applyProtection="1"/>
    <xf numFmtId="3" fontId="20" fillId="0" borderId="68" xfId="0" applyNumberFormat="1" applyFont="1" applyBorder="1" applyAlignment="1" applyProtection="1">
      <alignment horizontal="left"/>
    </xf>
    <xf numFmtId="3" fontId="20" fillId="0" borderId="51" xfId="0" applyNumberFormat="1" applyFont="1" applyBorder="1" applyAlignment="1" applyProtection="1">
      <alignment horizontal="center"/>
    </xf>
    <xf numFmtId="3" fontId="20" fillId="0" borderId="34" xfId="0" applyNumberFormat="1" applyFont="1" applyBorder="1" applyAlignment="1" applyProtection="1">
      <alignment horizontal="center"/>
    </xf>
    <xf numFmtId="3" fontId="20" fillId="0" borderId="38" xfId="0" applyNumberFormat="1" applyFont="1" applyBorder="1" applyAlignment="1" applyProtection="1">
      <alignment horizontal="center"/>
    </xf>
    <xf numFmtId="3" fontId="20" fillId="0" borderId="36" xfId="0" applyNumberFormat="1" applyFont="1" applyBorder="1" applyAlignment="1" applyProtection="1">
      <alignment horizontal="center"/>
    </xf>
    <xf numFmtId="3" fontId="20" fillId="0" borderId="56" xfId="0" applyNumberFormat="1" applyFont="1" applyBorder="1" applyAlignment="1" applyProtection="1">
      <alignment horizontal="center"/>
    </xf>
    <xf numFmtId="3" fontId="20" fillId="0" borderId="69" xfId="0" applyNumberFormat="1" applyFont="1" applyBorder="1" applyAlignment="1" applyProtection="1">
      <alignment horizontal="center"/>
    </xf>
    <xf numFmtId="3" fontId="12" fillId="0" borderId="70" xfId="0" applyNumberFormat="1" applyFont="1" applyBorder="1" applyAlignment="1" applyProtection="1">
      <alignment horizontal="left"/>
    </xf>
    <xf numFmtId="3" fontId="12" fillId="0" borderId="22" xfId="0" applyNumberFormat="1" applyFont="1" applyBorder="1" applyProtection="1"/>
    <xf numFmtId="3" fontId="12" fillId="0" borderId="7" xfId="0" quotePrefix="1" applyNumberFormat="1" applyFont="1" applyBorder="1" applyAlignment="1" applyProtection="1">
      <alignment horizontal="center"/>
    </xf>
    <xf numFmtId="0" fontId="12" fillId="0" borderId="7" xfId="0" applyFont="1" applyBorder="1"/>
    <xf numFmtId="3" fontId="12" fillId="0" borderId="7" xfId="0" quotePrefix="1" applyNumberFormat="1" applyFont="1" applyBorder="1" applyAlignment="1" applyProtection="1">
      <alignment horizontal="right"/>
    </xf>
    <xf numFmtId="3" fontId="12" fillId="0" borderId="71" xfId="0" applyNumberFormat="1" applyFont="1" applyBorder="1" applyProtection="1"/>
    <xf numFmtId="3" fontId="12" fillId="0" borderId="72" xfId="0" applyNumberFormat="1" applyFont="1" applyBorder="1" applyAlignment="1" applyProtection="1">
      <alignment horizontal="left"/>
    </xf>
    <xf numFmtId="3" fontId="12" fillId="0" borderId="7" xfId="0" quotePrefix="1" applyNumberFormat="1" applyFont="1" applyFill="1" applyBorder="1" applyAlignment="1" applyProtection="1">
      <alignment horizontal="center"/>
    </xf>
    <xf numFmtId="3" fontId="12" fillId="0" borderId="22" xfId="0" applyNumberFormat="1" applyFont="1" applyFill="1" applyBorder="1" applyProtection="1"/>
    <xf numFmtId="0" fontId="12" fillId="0" borderId="7" xfId="0" applyFont="1" applyFill="1" applyBorder="1"/>
    <xf numFmtId="3" fontId="12" fillId="0" borderId="7" xfId="0" quotePrefix="1" applyNumberFormat="1" applyFont="1" applyFill="1" applyBorder="1" applyAlignment="1" applyProtection="1">
      <alignment horizontal="right"/>
    </xf>
    <xf numFmtId="3" fontId="12" fillId="0" borderId="71" xfId="0" applyNumberFormat="1" applyFont="1" applyFill="1" applyBorder="1" applyProtection="1"/>
    <xf numFmtId="3" fontId="12" fillId="0" borderId="7" xfId="0" applyNumberFormat="1" applyFont="1" applyBorder="1" applyProtection="1"/>
    <xf numFmtId="3" fontId="12" fillId="0" borderId="7" xfId="0" applyNumberFormat="1" applyFont="1" applyBorder="1" applyAlignment="1" applyProtection="1">
      <alignment horizontal="right"/>
    </xf>
    <xf numFmtId="3" fontId="12" fillId="0" borderId="7" xfId="0" applyNumberFormat="1" applyFont="1" applyBorder="1" applyAlignment="1" applyProtection="1">
      <alignment horizontal="center"/>
    </xf>
    <xf numFmtId="3" fontId="20" fillId="3" borderId="72" xfId="0" applyNumberFormat="1" applyFont="1" applyFill="1" applyBorder="1" applyAlignment="1" applyProtection="1">
      <alignment horizontal="left"/>
    </xf>
    <xf numFmtId="3" fontId="20" fillId="3" borderId="7" xfId="0" applyNumberFormat="1" applyFont="1" applyFill="1" applyBorder="1" applyProtection="1"/>
    <xf numFmtId="3" fontId="20" fillId="3" borderId="22" xfId="0" applyNumberFormat="1" applyFont="1" applyFill="1" applyBorder="1" applyProtection="1"/>
    <xf numFmtId="3" fontId="20" fillId="3" borderId="7" xfId="0" applyNumberFormat="1" applyFont="1" applyFill="1" applyBorder="1"/>
    <xf numFmtId="3" fontId="20" fillId="4" borderId="73" xfId="0" applyNumberFormat="1" applyFont="1" applyFill="1" applyBorder="1" applyProtection="1"/>
    <xf numFmtId="3" fontId="12" fillId="0" borderId="74" xfId="0" applyNumberFormat="1" applyFont="1" applyBorder="1" applyAlignment="1" applyProtection="1">
      <alignment horizontal="left"/>
    </xf>
    <xf numFmtId="3" fontId="20" fillId="0" borderId="75" xfId="0" applyNumberFormat="1" applyFont="1" applyBorder="1" applyAlignment="1" applyProtection="1">
      <alignment horizontal="left"/>
    </xf>
    <xf numFmtId="3" fontId="20" fillId="0" borderId="76" xfId="0" applyNumberFormat="1" applyFont="1" applyBorder="1" applyProtection="1"/>
    <xf numFmtId="3" fontId="20" fillId="0" borderId="77" xfId="0" applyNumberFormat="1" applyFont="1" applyBorder="1" applyProtection="1"/>
    <xf numFmtId="3" fontId="20" fillId="0" borderId="76" xfId="0" applyNumberFormat="1" applyFont="1" applyBorder="1"/>
    <xf numFmtId="3" fontId="20" fillId="0" borderId="78" xfId="0" applyNumberFormat="1" applyFont="1" applyFill="1" applyBorder="1" applyProtection="1"/>
    <xf numFmtId="0" fontId="20" fillId="0" borderId="0" xfId="0" applyFont="1"/>
    <xf numFmtId="3" fontId="21" fillId="0" borderId="0" xfId="0" applyNumberFormat="1" applyFont="1" applyAlignment="1" applyProtection="1">
      <alignment horizontal="left"/>
    </xf>
    <xf numFmtId="3" fontId="21" fillId="0" borderId="0" xfId="0" applyNumberFormat="1" applyFont="1" applyProtection="1"/>
    <xf numFmtId="3" fontId="12" fillId="0" borderId="0" xfId="0" applyNumberFormat="1" applyFont="1" applyBorder="1" applyProtection="1"/>
    <xf numFmtId="3" fontId="12" fillId="0" borderId="0" xfId="0" applyNumberFormat="1" applyFont="1" applyBorder="1"/>
    <xf numFmtId="3" fontId="12" fillId="0" borderId="0" xfId="0" applyNumberFormat="1" applyFont="1" applyFill="1" applyBorder="1" applyProtection="1"/>
    <xf numFmtId="3" fontId="16" fillId="0" borderId="0" xfId="0" applyNumberFormat="1" applyFont="1"/>
    <xf numFmtId="0" fontId="12" fillId="0" borderId="0" xfId="0" applyFont="1"/>
    <xf numFmtId="3" fontId="20" fillId="0" borderId="79" xfId="0" applyNumberFormat="1" applyFont="1" applyBorder="1" applyAlignment="1" applyProtection="1">
      <alignment horizontal="right"/>
    </xf>
    <xf numFmtId="3" fontId="20" fillId="0" borderId="64" xfId="0" applyNumberFormat="1" applyFont="1" applyBorder="1" applyAlignment="1" applyProtection="1">
      <alignment horizontal="left"/>
    </xf>
    <xf numFmtId="3" fontId="20" fillId="0" borderId="81" xfId="0" applyNumberFormat="1" applyFont="1" applyBorder="1" applyAlignment="1" applyProtection="1">
      <alignment horizontal="left"/>
    </xf>
    <xf numFmtId="3" fontId="20" fillId="0" borderId="19" xfId="0" applyNumberFormat="1" applyFont="1" applyBorder="1" applyAlignment="1" applyProtection="1">
      <alignment horizontal="center"/>
    </xf>
    <xf numFmtId="3" fontId="20" fillId="0" borderId="52" xfId="0" applyNumberFormat="1" applyFont="1" applyBorder="1" applyAlignment="1" applyProtection="1">
      <alignment horizontal="center"/>
    </xf>
    <xf numFmtId="3" fontId="20" fillId="0" borderId="54" xfId="0" applyNumberFormat="1" applyFont="1" applyBorder="1" applyAlignment="1" applyProtection="1">
      <alignment horizontal="center"/>
    </xf>
    <xf numFmtId="3" fontId="12" fillId="0" borderId="22" xfId="1" applyNumberFormat="1" applyFont="1" applyBorder="1" applyProtection="1"/>
    <xf numFmtId="3" fontId="12" fillId="0" borderId="22" xfId="0" applyNumberFormat="1" applyFont="1" applyBorder="1" applyAlignment="1" applyProtection="1">
      <alignment horizontal="right"/>
    </xf>
    <xf numFmtId="3" fontId="12" fillId="0" borderId="7" xfId="1" quotePrefix="1" applyNumberFormat="1" applyFont="1" applyFill="1" applyBorder="1" applyProtection="1"/>
    <xf numFmtId="3" fontId="12" fillId="0" borderId="7" xfId="0" applyNumberFormat="1" applyFont="1" applyFill="1" applyBorder="1" applyProtection="1"/>
    <xf numFmtId="3" fontId="12" fillId="0" borderId="7" xfId="0" applyNumberFormat="1" applyFont="1" applyFill="1" applyBorder="1" applyAlignment="1" applyProtection="1">
      <alignment horizontal="center"/>
    </xf>
    <xf numFmtId="3" fontId="12" fillId="0" borderId="7" xfId="0" applyNumberFormat="1" applyFont="1" applyFill="1" applyBorder="1" applyAlignment="1" applyProtection="1">
      <alignment horizontal="right"/>
    </xf>
    <xf numFmtId="3" fontId="12" fillId="0" borderId="7" xfId="1" applyNumberFormat="1" applyFont="1" applyBorder="1" applyProtection="1"/>
    <xf numFmtId="3" fontId="12" fillId="0" borderId="7" xfId="1" applyNumberFormat="1" applyFont="1" applyBorder="1" applyAlignment="1" applyProtection="1">
      <alignment horizontal="right"/>
    </xf>
    <xf numFmtId="3" fontId="12" fillId="0" borderId="7" xfId="3" applyNumberFormat="1" applyFont="1" applyBorder="1" applyAlignment="1" applyProtection="1">
      <alignment horizontal="right"/>
    </xf>
    <xf numFmtId="3" fontId="12" fillId="0" borderId="7" xfId="1" applyNumberFormat="1" applyFont="1" applyBorder="1" applyAlignment="1" applyProtection="1">
      <alignment horizontal="center"/>
    </xf>
    <xf numFmtId="3" fontId="20" fillId="3" borderId="82" xfId="0" applyNumberFormat="1" applyFont="1" applyFill="1" applyBorder="1" applyProtection="1"/>
    <xf numFmtId="3" fontId="20" fillId="0" borderId="75" xfId="3" applyNumberFormat="1" applyFont="1" applyBorder="1" applyAlignment="1" applyProtection="1">
      <alignment horizontal="left"/>
    </xf>
    <xf numFmtId="3" fontId="20" fillId="0" borderId="83" xfId="0" applyNumberFormat="1" applyFont="1" applyBorder="1" applyProtection="1"/>
    <xf numFmtId="3" fontId="21" fillId="0" borderId="0" xfId="0" applyNumberFormat="1" applyFont="1" applyBorder="1" applyProtection="1"/>
    <xf numFmtId="3" fontId="21" fillId="0" borderId="0" xfId="0" applyNumberFormat="1" applyFont="1"/>
    <xf numFmtId="3" fontId="20" fillId="0" borderId="22" xfId="0" applyNumberFormat="1" applyFont="1" applyBorder="1" applyProtection="1"/>
    <xf numFmtId="3" fontId="12" fillId="0" borderId="72" xfId="0" applyNumberFormat="1" applyFont="1" applyFill="1" applyBorder="1" applyAlignment="1" applyProtection="1">
      <alignment horizontal="left"/>
    </xf>
    <xf numFmtId="3" fontId="20" fillId="0" borderId="22" xfId="0" applyNumberFormat="1" applyFont="1" applyFill="1" applyBorder="1" applyProtection="1"/>
    <xf numFmtId="3" fontId="10" fillId="0" borderId="0" xfId="0" applyNumberFormat="1" applyFont="1" applyFill="1"/>
    <xf numFmtId="3" fontId="12" fillId="0" borderId="84" xfId="0" applyNumberFormat="1" applyFont="1" applyBorder="1" applyAlignment="1" applyProtection="1">
      <alignment horizontal="left"/>
    </xf>
    <xf numFmtId="3" fontId="12" fillId="0" borderId="14" xfId="0" applyNumberFormat="1" applyFont="1" applyBorder="1" applyProtection="1"/>
    <xf numFmtId="3" fontId="12" fillId="0" borderId="85" xfId="0" applyNumberFormat="1" applyFont="1" applyBorder="1" applyProtection="1"/>
    <xf numFmtId="0" fontId="12" fillId="0" borderId="14" xfId="0" applyFont="1" applyBorder="1"/>
    <xf numFmtId="3" fontId="12" fillId="0" borderId="14" xfId="0" quotePrefix="1" applyNumberFormat="1" applyFont="1" applyBorder="1" applyAlignment="1" applyProtection="1">
      <alignment horizontal="center"/>
    </xf>
    <xf numFmtId="3" fontId="20" fillId="0" borderId="85" xfId="0" applyNumberFormat="1" applyFont="1" applyBorder="1" applyProtection="1"/>
    <xf numFmtId="3" fontId="12" fillId="0" borderId="86" xfId="0" applyNumberFormat="1" applyFont="1" applyBorder="1" applyProtection="1"/>
    <xf numFmtId="3" fontId="12" fillId="0" borderId="7" xfId="0" applyNumberFormat="1" applyFont="1" applyBorder="1" applyAlignment="1" applyProtection="1">
      <alignment horizontal="left"/>
    </xf>
    <xf numFmtId="3" fontId="20" fillId="3" borderId="22" xfId="0" applyNumberFormat="1" applyFont="1" applyFill="1" applyBorder="1" applyAlignment="1" applyProtection="1">
      <alignment horizontal="left"/>
    </xf>
    <xf numFmtId="3" fontId="9" fillId="3" borderId="22" xfId="0" applyNumberFormat="1" applyFont="1" applyFill="1" applyBorder="1"/>
    <xf numFmtId="3" fontId="20" fillId="3" borderId="22" xfId="0" applyNumberFormat="1" applyFont="1" applyFill="1" applyBorder="1"/>
    <xf numFmtId="3" fontId="20" fillId="3" borderId="71" xfId="0" applyNumberFormat="1" applyFont="1" applyFill="1" applyBorder="1" applyProtection="1"/>
    <xf numFmtId="3" fontId="12" fillId="0" borderId="87" xfId="0" applyNumberFormat="1" applyFont="1" applyBorder="1" applyAlignment="1" applyProtection="1">
      <alignment horizontal="left"/>
    </xf>
    <xf numFmtId="3" fontId="22" fillId="0" borderId="88" xfId="0" applyNumberFormat="1" applyFont="1" applyBorder="1" applyAlignment="1" applyProtection="1">
      <alignment horizontal="left"/>
    </xf>
    <xf numFmtId="3" fontId="23" fillId="0" borderId="89" xfId="0" applyNumberFormat="1" applyFont="1" applyBorder="1"/>
    <xf numFmtId="3" fontId="23" fillId="0" borderId="89" xfId="0" applyNumberFormat="1" applyFont="1" applyBorder="1" applyProtection="1"/>
    <xf numFmtId="3" fontId="23" fillId="0" borderId="89" xfId="0" applyNumberFormat="1" applyFont="1" applyBorder="1" applyAlignment="1" applyProtection="1">
      <alignment horizontal="left"/>
    </xf>
    <xf numFmtId="3" fontId="23" fillId="0" borderId="90" xfId="0" applyNumberFormat="1" applyFont="1" applyBorder="1"/>
    <xf numFmtId="3" fontId="22" fillId="0" borderId="84" xfId="0" applyNumberFormat="1" applyFont="1" applyBorder="1" applyAlignment="1" applyProtection="1">
      <alignment horizontal="right"/>
    </xf>
    <xf numFmtId="3" fontId="22" fillId="0" borderId="23" xfId="0" applyNumberFormat="1" applyFont="1" applyBorder="1" applyProtection="1"/>
    <xf numFmtId="3" fontId="22" fillId="0" borderId="24" xfId="0" applyNumberFormat="1" applyFont="1" applyBorder="1" applyAlignment="1" applyProtection="1">
      <alignment horizontal="center"/>
    </xf>
    <xf numFmtId="3" fontId="22" fillId="0" borderId="24" xfId="0" applyNumberFormat="1" applyFont="1" applyBorder="1" applyProtection="1"/>
    <xf numFmtId="3" fontId="22" fillId="0" borderId="25" xfId="0" applyNumberFormat="1" applyFont="1" applyBorder="1" applyProtection="1"/>
    <xf numFmtId="3" fontId="22" fillId="0" borderId="24" xfId="0" applyNumberFormat="1" applyFont="1" applyBorder="1" applyAlignment="1" applyProtection="1">
      <alignment horizontal="left"/>
    </xf>
    <xf numFmtId="3" fontId="22" fillId="0" borderId="81" xfId="0" applyNumberFormat="1" applyFont="1" applyBorder="1" applyAlignment="1" applyProtection="1">
      <alignment horizontal="left"/>
    </xf>
    <xf numFmtId="3" fontId="22" fillId="0" borderId="19" xfId="0" applyNumberFormat="1" applyFont="1" applyBorder="1" applyAlignment="1" applyProtection="1">
      <alignment horizontal="center"/>
    </xf>
    <xf numFmtId="3" fontId="22" fillId="0" borderId="52" xfId="0" applyNumberFormat="1" applyFont="1" applyBorder="1" applyAlignment="1" applyProtection="1">
      <alignment horizontal="center"/>
    </xf>
    <xf numFmtId="3" fontId="22" fillId="0" borderId="54" xfId="0" applyNumberFormat="1" applyFont="1" applyBorder="1" applyAlignment="1" applyProtection="1">
      <alignment horizontal="center"/>
    </xf>
    <xf numFmtId="3" fontId="22" fillId="0" borderId="69" xfId="0" applyNumberFormat="1" applyFont="1" applyBorder="1" applyAlignment="1" applyProtection="1">
      <alignment horizontal="center"/>
    </xf>
    <xf numFmtId="3" fontId="23" fillId="0" borderId="70" xfId="0" applyNumberFormat="1" applyFont="1" applyBorder="1" applyAlignment="1" applyProtection="1">
      <alignment horizontal="left"/>
    </xf>
    <xf numFmtId="3" fontId="23" fillId="0" borderId="22" xfId="1" applyNumberFormat="1" applyFont="1" applyBorder="1" applyAlignment="1" applyProtection="1">
      <alignment horizontal="right"/>
    </xf>
    <xf numFmtId="3" fontId="23" fillId="0" borderId="22" xfId="0" applyNumberFormat="1" applyFont="1" applyBorder="1" applyAlignment="1" applyProtection="1">
      <alignment horizontal="right"/>
    </xf>
    <xf numFmtId="3" fontId="23" fillId="0" borderId="7" xfId="0" applyNumberFormat="1" applyFont="1" applyBorder="1" applyAlignment="1" applyProtection="1">
      <alignment horizontal="right"/>
    </xf>
    <xf numFmtId="3" fontId="23" fillId="0" borderId="55" xfId="0" applyNumberFormat="1" applyFont="1" applyBorder="1" applyAlignment="1" applyProtection="1">
      <alignment horizontal="right"/>
    </xf>
    <xf numFmtId="3" fontId="23" fillId="0" borderId="71" xfId="0" applyNumberFormat="1" applyFont="1" applyBorder="1" applyAlignment="1" applyProtection="1">
      <alignment horizontal="right"/>
    </xf>
    <xf numFmtId="3" fontId="23" fillId="0" borderId="72" xfId="0" applyNumberFormat="1" applyFont="1" applyBorder="1" applyAlignment="1" applyProtection="1">
      <alignment horizontal="left"/>
    </xf>
    <xf numFmtId="49" fontId="23" fillId="0" borderId="7" xfId="1" applyNumberFormat="1" applyFont="1" applyBorder="1" applyAlignment="1" applyProtection="1">
      <alignment horizontal="center"/>
    </xf>
    <xf numFmtId="3" fontId="23" fillId="0" borderId="7" xfId="1" quotePrefix="1" applyNumberFormat="1" applyFont="1" applyBorder="1" applyAlignment="1" applyProtection="1">
      <alignment horizontal="right"/>
    </xf>
    <xf numFmtId="3" fontId="23" fillId="0" borderId="7" xfId="1" applyNumberFormat="1" applyFont="1" applyBorder="1" applyAlignment="1" applyProtection="1">
      <alignment horizontal="right"/>
    </xf>
    <xf numFmtId="3" fontId="23" fillId="0" borderId="7" xfId="3" applyNumberFormat="1" applyFont="1" applyBorder="1" applyAlignment="1" applyProtection="1">
      <alignment horizontal="right"/>
    </xf>
    <xf numFmtId="3" fontId="22" fillId="1" borderId="72" xfId="0" applyNumberFormat="1" applyFont="1" applyFill="1" applyBorder="1" applyAlignment="1" applyProtection="1">
      <alignment horizontal="left"/>
    </xf>
    <xf numFmtId="3" fontId="22" fillId="1" borderId="7" xfId="0" applyNumberFormat="1" applyFont="1" applyFill="1" applyBorder="1" applyAlignment="1" applyProtection="1">
      <alignment horizontal="right"/>
    </xf>
    <xf numFmtId="3" fontId="22" fillId="1" borderId="82" xfId="0" applyNumberFormat="1" applyFont="1" applyFill="1" applyBorder="1" applyAlignment="1" applyProtection="1">
      <alignment horizontal="right"/>
    </xf>
    <xf numFmtId="3" fontId="23" fillId="0" borderId="92" xfId="0" applyNumberFormat="1" applyFont="1" applyBorder="1" applyAlignment="1" applyProtection="1">
      <alignment horizontal="left"/>
    </xf>
    <xf numFmtId="3" fontId="23" fillId="0" borderId="74" xfId="0" applyNumberFormat="1" applyFont="1" applyBorder="1" applyAlignment="1" applyProtection="1">
      <alignment horizontal="left"/>
    </xf>
    <xf numFmtId="3" fontId="22" fillId="0" borderId="72" xfId="3" applyNumberFormat="1" applyFont="1" applyBorder="1" applyAlignment="1" applyProtection="1">
      <alignment horizontal="left"/>
    </xf>
    <xf numFmtId="3" fontId="22" fillId="0" borderId="7" xfId="0" applyNumberFormat="1" applyFont="1" applyBorder="1" applyAlignment="1" applyProtection="1">
      <alignment horizontal="right"/>
    </xf>
    <xf numFmtId="3" fontId="22" fillId="0" borderId="82" xfId="0" applyNumberFormat="1" applyFont="1" applyBorder="1" applyAlignment="1" applyProtection="1">
      <alignment horizontal="right"/>
    </xf>
    <xf numFmtId="3" fontId="24" fillId="0" borderId="93" xfId="0" applyNumberFormat="1" applyFont="1" applyBorder="1" applyAlignment="1" applyProtection="1">
      <alignment horizontal="left"/>
    </xf>
    <xf numFmtId="3" fontId="25" fillId="0" borderId="94" xfId="0" applyNumberFormat="1" applyFont="1" applyBorder="1" applyProtection="1"/>
    <xf numFmtId="3" fontId="25" fillId="0" borderId="94" xfId="0" applyNumberFormat="1" applyFont="1" applyBorder="1" applyAlignment="1" applyProtection="1">
      <alignment horizontal="left"/>
    </xf>
    <xf numFmtId="3" fontId="25" fillId="0" borderId="94" xfId="0" applyNumberFormat="1" applyFont="1" applyBorder="1"/>
    <xf numFmtId="3" fontId="25" fillId="0" borderId="95" xfId="0" applyNumberFormat="1" applyFont="1" applyBorder="1"/>
    <xf numFmtId="0" fontId="0" fillId="0" borderId="0" xfId="0" applyFill="1"/>
    <xf numFmtId="0" fontId="26" fillId="0" borderId="88" xfId="0" applyFont="1" applyFill="1" applyBorder="1"/>
    <xf numFmtId="0" fontId="0" fillId="0" borderId="96" xfId="0" applyFill="1" applyBorder="1"/>
    <xf numFmtId="0" fontId="0" fillId="0" borderId="97" xfId="0" applyFill="1" applyBorder="1" applyAlignment="1">
      <alignment horizontal="center"/>
    </xf>
    <xf numFmtId="0" fontId="0" fillId="0" borderId="98" xfId="0" applyFill="1" applyBorder="1" applyAlignment="1">
      <alignment horizontal="center"/>
    </xf>
    <xf numFmtId="0" fontId="0" fillId="0" borderId="67" xfId="0" applyFill="1" applyBorder="1" applyAlignment="1">
      <alignment horizontal="center"/>
    </xf>
    <xf numFmtId="0" fontId="0" fillId="0" borderId="99" xfId="0" applyFill="1" applyBorder="1"/>
    <xf numFmtId="164" fontId="0" fillId="0" borderId="72" xfId="1" applyNumberFormat="1" applyFont="1" applyFill="1" applyBorder="1"/>
    <xf numFmtId="164" fontId="0" fillId="0" borderId="7" xfId="1" applyNumberFormat="1" applyFont="1" applyFill="1" applyBorder="1"/>
    <xf numFmtId="164" fontId="0" fillId="0" borderId="82" xfId="1" applyNumberFormat="1" applyFont="1" applyFill="1" applyBorder="1"/>
    <xf numFmtId="164" fontId="0" fillId="0" borderId="22" xfId="1" applyNumberFormat="1" applyFont="1" applyFill="1" applyBorder="1"/>
    <xf numFmtId="0" fontId="0" fillId="0" borderId="72" xfId="0" applyFill="1" applyBorder="1"/>
    <xf numFmtId="0" fontId="0" fillId="0" borderId="7" xfId="0" applyFill="1" applyBorder="1"/>
    <xf numFmtId="0" fontId="0" fillId="0" borderId="82" xfId="0" applyFill="1" applyBorder="1"/>
    <xf numFmtId="3" fontId="0" fillId="0" borderId="72" xfId="0" applyNumberFormat="1" applyFill="1" applyBorder="1"/>
    <xf numFmtId="3" fontId="0" fillId="0" borderId="82" xfId="0" applyNumberFormat="1" applyFill="1" applyBorder="1"/>
    <xf numFmtId="3" fontId="0" fillId="0" borderId="7" xfId="0" applyNumberFormat="1" applyFill="1" applyBorder="1"/>
    <xf numFmtId="164" fontId="0" fillId="0" borderId="86" xfId="1" applyNumberFormat="1" applyFont="1" applyFill="1" applyBorder="1"/>
    <xf numFmtId="0" fontId="0" fillId="0" borderId="100" xfId="0" applyFill="1" applyBorder="1"/>
    <xf numFmtId="164" fontId="0" fillId="0" borderId="75" xfId="1" applyNumberFormat="1" applyFont="1" applyFill="1" applyBorder="1"/>
    <xf numFmtId="164" fontId="0" fillId="0" borderId="14" xfId="1" applyNumberFormat="1" applyFont="1" applyFill="1" applyBorder="1"/>
    <xf numFmtId="164" fontId="0" fillId="0" borderId="83" xfId="1" applyNumberFormat="1" applyFont="1" applyFill="1" applyBorder="1"/>
    <xf numFmtId="164" fontId="0" fillId="0" borderId="85" xfId="1" applyNumberFormat="1" applyFont="1" applyFill="1" applyBorder="1"/>
    <xf numFmtId="164" fontId="0" fillId="0" borderId="76" xfId="1" applyNumberFormat="1" applyFont="1" applyFill="1" applyBorder="1"/>
    <xf numFmtId="0" fontId="0" fillId="0" borderId="75" xfId="0" applyFill="1" applyBorder="1"/>
    <xf numFmtId="0" fontId="0" fillId="0" borderId="76" xfId="0" applyFill="1" applyBorder="1"/>
    <xf numFmtId="0" fontId="0" fillId="0" borderId="83" xfId="0" applyFill="1" applyBorder="1"/>
    <xf numFmtId="3" fontId="0" fillId="0" borderId="75" xfId="0" applyNumberFormat="1" applyFill="1" applyBorder="1"/>
    <xf numFmtId="3" fontId="0" fillId="0" borderId="83" xfId="0" applyNumberFormat="1" applyFill="1" applyBorder="1"/>
    <xf numFmtId="0" fontId="2" fillId="3" borderId="92" xfId="0" applyFont="1" applyFill="1" applyBorder="1"/>
    <xf numFmtId="164" fontId="2" fillId="3" borderId="92" xfId="1" applyNumberFormat="1" applyFont="1" applyFill="1" applyBorder="1"/>
    <xf numFmtId="164" fontId="0" fillId="3" borderId="101" xfId="1" applyNumberFormat="1" applyFont="1" applyFill="1" applyBorder="1"/>
    <xf numFmtId="164" fontId="2" fillId="3" borderId="102" xfId="1" applyNumberFormat="1" applyFont="1" applyFill="1" applyBorder="1"/>
    <xf numFmtId="164" fontId="2" fillId="3" borderId="101" xfId="1" applyNumberFormat="1" applyFont="1" applyFill="1" applyBorder="1"/>
    <xf numFmtId="0" fontId="2" fillId="3" borderId="103" xfId="0" applyFont="1" applyFill="1" applyBorder="1"/>
    <xf numFmtId="0" fontId="2" fillId="3" borderId="85" xfId="0" applyFont="1" applyFill="1" applyBorder="1"/>
    <xf numFmtId="3" fontId="2" fillId="3" borderId="86" xfId="0" applyNumberFormat="1" applyFont="1" applyFill="1" applyBorder="1"/>
    <xf numFmtId="0" fontId="2" fillId="3" borderId="86" xfId="0" applyFont="1" applyFill="1" applyBorder="1"/>
    <xf numFmtId="3" fontId="2" fillId="3" borderId="103" xfId="0" applyNumberFormat="1" applyFont="1" applyFill="1" applyBorder="1"/>
    <xf numFmtId="164" fontId="0" fillId="0" borderId="97" xfId="1" applyNumberFormat="1" applyFont="1" applyFill="1" applyBorder="1"/>
    <xf numFmtId="164" fontId="0" fillId="0" borderId="67" xfId="1" applyNumberFormat="1" applyFont="1" applyFill="1" applyBorder="1"/>
    <xf numFmtId="164" fontId="0" fillId="0" borderId="98" xfId="1" applyNumberFormat="1" applyFont="1" applyFill="1" applyBorder="1"/>
    <xf numFmtId="0" fontId="0" fillId="0" borderId="97" xfId="0" applyFill="1" applyBorder="1"/>
    <xf numFmtId="0" fontId="0" fillId="0" borderId="98" xfId="0" applyFill="1" applyBorder="1"/>
    <xf numFmtId="0" fontId="0" fillId="0" borderId="67" xfId="0" applyFill="1" applyBorder="1"/>
    <xf numFmtId="3" fontId="0" fillId="0" borderId="97" xfId="0" applyNumberFormat="1" applyFill="1" applyBorder="1"/>
    <xf numFmtId="3" fontId="0" fillId="0" borderId="67" xfId="0" applyNumberFormat="1" applyFill="1" applyBorder="1"/>
    <xf numFmtId="0" fontId="2" fillId="3" borderId="104" xfId="0" applyFont="1" applyFill="1" applyBorder="1"/>
    <xf numFmtId="164" fontId="2" fillId="3" borderId="87" xfId="1" applyNumberFormat="1" applyFont="1" applyFill="1" applyBorder="1"/>
    <xf numFmtId="164" fontId="2" fillId="3" borderId="104" xfId="1" applyNumberFormat="1" applyFont="1" applyFill="1" applyBorder="1"/>
    <xf numFmtId="164" fontId="2" fillId="3" borderId="105" xfId="1" applyNumberFormat="1" applyFont="1" applyFill="1" applyBorder="1"/>
    <xf numFmtId="0" fontId="2" fillId="3" borderId="70" xfId="0" applyFont="1" applyFill="1" applyBorder="1"/>
    <xf numFmtId="0" fontId="2" fillId="3" borderId="22" xfId="0" applyFont="1" applyFill="1" applyBorder="1"/>
    <xf numFmtId="0" fontId="2" fillId="3" borderId="71" xfId="0" applyFont="1" applyFill="1" applyBorder="1"/>
    <xf numFmtId="3" fontId="2" fillId="3" borderId="70" xfId="0" applyNumberFormat="1" applyFont="1" applyFill="1" applyBorder="1"/>
    <xf numFmtId="3" fontId="2" fillId="3" borderId="71" xfId="0" applyNumberFormat="1" applyFont="1" applyFill="1" applyBorder="1"/>
    <xf numFmtId="0" fontId="2" fillId="0" borderId="106" xfId="0" applyFont="1" applyFill="1" applyBorder="1"/>
    <xf numFmtId="164" fontId="2" fillId="0" borderId="100" xfId="1" applyNumberFormat="1" applyFont="1" applyFill="1" applyBorder="1"/>
    <xf numFmtId="164" fontId="2" fillId="0" borderId="106" xfId="1" applyNumberFormat="1" applyFont="1" applyFill="1" applyBorder="1"/>
    <xf numFmtId="164" fontId="2" fillId="0" borderId="107" xfId="1" applyNumberFormat="1" applyFont="1" applyFill="1" applyBorder="1"/>
    <xf numFmtId="164" fontId="2" fillId="0" borderId="108" xfId="1" applyNumberFormat="1" applyFont="1" applyFill="1" applyBorder="1"/>
    <xf numFmtId="0" fontId="27" fillId="0" borderId="0" xfId="0" applyFont="1" applyFill="1" applyBorder="1"/>
    <xf numFmtId="164" fontId="2" fillId="0" borderId="0" xfId="1" applyNumberFormat="1" applyFont="1" applyFill="1" applyBorder="1"/>
    <xf numFmtId="3" fontId="0" fillId="0" borderId="0" xfId="0" applyNumberFormat="1" applyFill="1"/>
    <xf numFmtId="0" fontId="19" fillId="0" borderId="0" xfId="4" applyFont="1"/>
    <xf numFmtId="0" fontId="28" fillId="0" borderId="109" xfId="0" applyFont="1" applyFill="1" applyBorder="1" applyAlignment="1"/>
    <xf numFmtId="0" fontId="0" fillId="0" borderId="7" xfId="0" applyFill="1" applyBorder="1" applyAlignment="1">
      <alignment horizontal="center"/>
    </xf>
    <xf numFmtId="0" fontId="0" fillId="0" borderId="25" xfId="0" applyFill="1" applyBorder="1" applyAlignment="1">
      <alignment horizontal="center"/>
    </xf>
    <xf numFmtId="164" fontId="0" fillId="0" borderId="7" xfId="1" applyNumberFormat="1" applyFont="1" applyFill="1" applyBorder="1" applyAlignment="1">
      <alignment horizontal="center" vertical="center"/>
    </xf>
    <xf numFmtId="3" fontId="12" fillId="0" borderId="22" xfId="4" applyNumberFormat="1" applyFont="1" applyFill="1" applyBorder="1" applyAlignment="1" applyProtection="1">
      <alignment horizontal="right"/>
    </xf>
    <xf numFmtId="3" fontId="12" fillId="0" borderId="22" xfId="4" applyNumberFormat="1" applyFont="1" applyBorder="1" applyAlignment="1" applyProtection="1">
      <alignment horizontal="right"/>
    </xf>
    <xf numFmtId="3" fontId="12" fillId="0" borderId="7" xfId="4" applyNumberFormat="1" applyFont="1" applyFill="1" applyBorder="1" applyAlignment="1" applyProtection="1">
      <alignment horizontal="right"/>
    </xf>
    <xf numFmtId="0" fontId="28" fillId="0" borderId="7" xfId="0" applyFont="1" applyFill="1" applyBorder="1" applyAlignment="1">
      <alignment horizontal="right"/>
    </xf>
    <xf numFmtId="3" fontId="12" fillId="0" borderId="7" xfId="4" applyNumberFormat="1" applyFont="1" applyBorder="1" applyAlignment="1" applyProtection="1">
      <alignment horizontal="right"/>
    </xf>
    <xf numFmtId="0" fontId="28" fillId="0" borderId="7" xfId="0" applyFont="1" applyBorder="1" applyAlignment="1">
      <alignment horizontal="right"/>
    </xf>
    <xf numFmtId="164" fontId="0" fillId="0" borderId="14" xfId="1" applyNumberFormat="1" applyFont="1" applyFill="1" applyBorder="1" applyAlignment="1">
      <alignment horizontal="center" vertical="center"/>
    </xf>
    <xf numFmtId="3" fontId="20" fillId="0" borderId="7" xfId="4" applyNumberFormat="1" applyFont="1" applyBorder="1" applyAlignment="1" applyProtection="1">
      <alignment horizontal="right"/>
    </xf>
    <xf numFmtId="3" fontId="20" fillId="0" borderId="22" xfId="4" applyNumberFormat="1" applyFont="1" applyBorder="1" applyAlignment="1" applyProtection="1">
      <alignment horizontal="right"/>
    </xf>
    <xf numFmtId="0" fontId="2" fillId="3" borderId="14" xfId="0" applyFont="1" applyFill="1" applyBorder="1"/>
    <xf numFmtId="167" fontId="29" fillId="3" borderId="7" xfId="1" applyNumberFormat="1" applyFont="1" applyFill="1" applyBorder="1" applyAlignment="1">
      <alignment horizontal="center" vertical="center" wrapText="1"/>
    </xf>
    <xf numFmtId="167" fontId="29" fillId="5" borderId="7" xfId="1" applyNumberFormat="1" applyFont="1" applyFill="1" applyBorder="1" applyAlignment="1">
      <alignment horizontal="center" vertical="center" wrapText="1"/>
    </xf>
    <xf numFmtId="3" fontId="2" fillId="3" borderId="110" xfId="0" applyNumberFormat="1" applyFont="1" applyFill="1" applyBorder="1"/>
    <xf numFmtId="3" fontId="2" fillId="3" borderId="7" xfId="0" applyNumberFormat="1" applyFont="1" applyFill="1" applyBorder="1"/>
    <xf numFmtId="3" fontId="2" fillId="3" borderId="14" xfId="0" applyNumberFormat="1" applyFont="1" applyFill="1" applyBorder="1"/>
    <xf numFmtId="0" fontId="2" fillId="3" borderId="7" xfId="0" applyFont="1" applyFill="1" applyBorder="1"/>
    <xf numFmtId="3" fontId="0" fillId="0" borderId="7" xfId="0" applyNumberFormat="1" applyFill="1" applyBorder="1" applyAlignment="1">
      <alignment horizontal="center" vertical="center"/>
    </xf>
    <xf numFmtId="167" fontId="30" fillId="0" borderId="7" xfId="1" applyNumberFormat="1" applyFont="1" applyFill="1" applyBorder="1" applyAlignment="1">
      <alignment horizontal="center" vertical="center" wrapText="1"/>
    </xf>
    <xf numFmtId="167" fontId="0" fillId="0" borderId="7" xfId="0" applyNumberFormat="1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167" fontId="0" fillId="0" borderId="7" xfId="0" applyNumberFormat="1" applyFill="1" applyBorder="1"/>
    <xf numFmtId="0" fontId="0" fillId="0" borderId="0" xfId="0" applyFill="1" applyBorder="1"/>
    <xf numFmtId="3" fontId="2" fillId="3" borderId="7" xfId="0" applyNumberFormat="1" applyFont="1" applyFill="1" applyBorder="1" applyAlignment="1">
      <alignment horizontal="center" vertical="center"/>
    </xf>
    <xf numFmtId="3" fontId="31" fillId="3" borderId="7" xfId="0" applyNumberFormat="1" applyFont="1" applyFill="1" applyBorder="1" applyAlignment="1">
      <alignment horizontal="center" vertical="center"/>
    </xf>
    <xf numFmtId="3" fontId="20" fillId="3" borderId="7" xfId="4" applyNumberFormat="1" applyFont="1" applyFill="1" applyBorder="1" applyAlignment="1" applyProtection="1">
      <alignment horizontal="right"/>
    </xf>
    <xf numFmtId="0" fontId="2" fillId="0" borderId="7" xfId="0" applyFont="1" applyFill="1" applyBorder="1"/>
    <xf numFmtId="3" fontId="2" fillId="0" borderId="7" xfId="0" applyNumberFormat="1" applyFont="1" applyFill="1" applyBorder="1"/>
    <xf numFmtId="3" fontId="22" fillId="0" borderId="0" xfId="0" applyNumberFormat="1" applyFont="1" applyFill="1" applyBorder="1" applyAlignment="1" applyProtection="1">
      <alignment horizontal="left"/>
    </xf>
    <xf numFmtId="0" fontId="23" fillId="0" borderId="0" xfId="0" applyFont="1" applyFill="1" applyBorder="1" applyAlignment="1">
      <alignment horizontal="center" vertical="center"/>
    </xf>
    <xf numFmtId="0" fontId="33" fillId="0" borderId="111" xfId="0" applyFont="1" applyFill="1" applyBorder="1" applyAlignment="1">
      <alignment horizontal="left"/>
    </xf>
    <xf numFmtId="0" fontId="34" fillId="0" borderId="114" xfId="0" applyFont="1" applyFill="1" applyBorder="1" applyAlignment="1">
      <alignment vertical="center"/>
    </xf>
    <xf numFmtId="0" fontId="35" fillId="0" borderId="7" xfId="0" applyFont="1" applyFill="1" applyBorder="1" applyAlignment="1">
      <alignment horizontal="center" vertical="center"/>
    </xf>
    <xf numFmtId="167" fontId="35" fillId="0" borderId="7" xfId="1" applyNumberFormat="1" applyFont="1" applyFill="1" applyBorder="1" applyAlignment="1">
      <alignment horizontal="center"/>
    </xf>
    <xf numFmtId="167" fontId="35" fillId="0" borderId="115" xfId="1" applyNumberFormat="1" applyFont="1" applyFill="1" applyBorder="1" applyAlignment="1">
      <alignment horizontal="center"/>
    </xf>
    <xf numFmtId="0" fontId="35" fillId="0" borderId="114" xfId="0" applyFont="1" applyFill="1" applyBorder="1" applyAlignment="1">
      <alignment vertical="center"/>
    </xf>
    <xf numFmtId="167" fontId="35" fillId="0" borderId="7" xfId="1" applyNumberFormat="1" applyFont="1" applyFill="1" applyBorder="1" applyAlignment="1">
      <alignment vertical="center"/>
    </xf>
    <xf numFmtId="167" fontId="5" fillId="0" borderId="7" xfId="1" applyNumberFormat="1" applyFont="1" applyFill="1" applyBorder="1" applyAlignment="1">
      <alignment horizontal="center" vertical="center"/>
    </xf>
    <xf numFmtId="167" fontId="5" fillId="0" borderId="7" xfId="1" applyNumberFormat="1" applyFont="1" applyFill="1" applyBorder="1" applyAlignment="1" applyProtection="1">
      <alignment vertical="center"/>
    </xf>
    <xf numFmtId="167" fontId="34" fillId="0" borderId="7" xfId="1" applyNumberFormat="1" applyFont="1" applyFill="1" applyBorder="1"/>
    <xf numFmtId="167" fontId="34" fillId="0" borderId="115" xfId="1" applyNumberFormat="1" applyFont="1" applyFill="1" applyBorder="1"/>
    <xf numFmtId="167" fontId="35" fillId="0" borderId="7" xfId="1" applyNumberFormat="1" applyFont="1" applyFill="1" applyBorder="1"/>
    <xf numFmtId="167" fontId="35" fillId="0" borderId="115" xfId="1" applyNumberFormat="1" applyFont="1" applyFill="1" applyBorder="1"/>
    <xf numFmtId="164" fontId="5" fillId="0" borderId="7" xfId="1" applyNumberFormat="1" applyFont="1" applyFill="1" applyBorder="1" applyAlignment="1">
      <alignment horizontal="center" vertical="center"/>
    </xf>
    <xf numFmtId="167" fontId="34" fillId="0" borderId="7" xfId="1" applyNumberFormat="1" applyFont="1" applyFill="1" applyBorder="1" applyAlignment="1">
      <alignment vertical="center"/>
    </xf>
    <xf numFmtId="167" fontId="36" fillId="0" borderId="115" xfId="1" applyNumberFormat="1" applyFont="1" applyFill="1" applyBorder="1"/>
    <xf numFmtId="0" fontId="5" fillId="0" borderId="114" xfId="0" applyFont="1" applyFill="1" applyBorder="1" applyAlignment="1">
      <alignment vertical="center"/>
    </xf>
    <xf numFmtId="0" fontId="37" fillId="0" borderId="114" xfId="0" applyFont="1" applyFill="1" applyBorder="1" applyAlignment="1">
      <alignment vertical="center"/>
    </xf>
    <xf numFmtId="0" fontId="37" fillId="0" borderId="116" xfId="0" applyFont="1" applyFill="1" applyBorder="1" applyAlignment="1">
      <alignment vertical="center"/>
    </xf>
    <xf numFmtId="167" fontId="34" fillId="0" borderId="52" xfId="1" applyNumberFormat="1" applyFont="1" applyFill="1" applyBorder="1" applyAlignment="1">
      <alignment vertical="center"/>
    </xf>
    <xf numFmtId="167" fontId="35" fillId="0" borderId="52" xfId="1" applyNumberFormat="1" applyFont="1" applyFill="1" applyBorder="1" applyAlignment="1">
      <alignment vertical="center"/>
    </xf>
    <xf numFmtId="167" fontId="34" fillId="0" borderId="52" xfId="1" applyNumberFormat="1" applyFont="1" applyFill="1" applyBorder="1"/>
    <xf numFmtId="167" fontId="34" fillId="0" borderId="117" xfId="1" applyNumberFormat="1" applyFont="1" applyFill="1" applyBorder="1"/>
    <xf numFmtId="0" fontId="38" fillId="0" borderId="0" xfId="0" applyFont="1" applyFill="1" applyBorder="1"/>
    <xf numFmtId="0" fontId="39" fillId="0" borderId="0" xfId="0" applyFont="1" applyFill="1"/>
    <xf numFmtId="0" fontId="22" fillId="0" borderId="0" xfId="4" applyFont="1" applyFill="1"/>
    <xf numFmtId="0" fontId="40" fillId="0" borderId="0" xfId="0" applyFont="1" applyFill="1" applyAlignment="1">
      <alignment horizontal="center" vertical="center"/>
    </xf>
    <xf numFmtId="0" fontId="41" fillId="0" borderId="0" xfId="0" applyFont="1" applyFill="1" applyBorder="1" applyAlignment="1">
      <alignment horizontal="center" vertical="center"/>
    </xf>
    <xf numFmtId="0" fontId="34" fillId="0" borderId="111" xfId="0" applyFont="1" applyFill="1" applyBorder="1" applyAlignment="1">
      <alignment horizontal="left"/>
    </xf>
    <xf numFmtId="0" fontId="34" fillId="0" borderId="114" xfId="0" applyFont="1" applyFill="1" applyBorder="1" applyAlignment="1">
      <alignment horizontal="left"/>
    </xf>
    <xf numFmtId="0" fontId="35" fillId="0" borderId="7" xfId="0" applyFont="1" applyFill="1" applyBorder="1" applyAlignment="1">
      <alignment horizontal="center"/>
    </xf>
    <xf numFmtId="0" fontId="35" fillId="0" borderId="115" xfId="0" applyFont="1" applyFill="1" applyBorder="1" applyAlignment="1">
      <alignment horizontal="center"/>
    </xf>
    <xf numFmtId="0" fontId="35" fillId="0" borderId="114" xfId="0" applyFont="1" applyFill="1" applyBorder="1"/>
    <xf numFmtId="167" fontId="35" fillId="0" borderId="7" xfId="1" applyNumberFormat="1" applyFont="1" applyFill="1" applyBorder="1" applyAlignment="1">
      <alignment horizontal="center" vertical="center"/>
    </xf>
    <xf numFmtId="167" fontId="5" fillId="0" borderId="7" xfId="1" applyNumberFormat="1" applyFont="1" applyFill="1" applyBorder="1" applyAlignment="1" applyProtection="1">
      <alignment horizontal="center" vertical="center"/>
    </xf>
    <xf numFmtId="164" fontId="35" fillId="0" borderId="7" xfId="0" applyNumberFormat="1" applyFont="1" applyFill="1" applyBorder="1"/>
    <xf numFmtId="167" fontId="37" fillId="0" borderId="7" xfId="1" applyNumberFormat="1" applyFont="1" applyFill="1" applyBorder="1" applyAlignment="1" applyProtection="1">
      <alignment horizontal="center" vertical="center"/>
    </xf>
    <xf numFmtId="0" fontId="33" fillId="0" borderId="114" xfId="0" applyFont="1" applyFill="1" applyBorder="1" applyAlignment="1">
      <alignment vertical="center"/>
    </xf>
    <xf numFmtId="167" fontId="33" fillId="0" borderId="7" xfId="1" applyNumberFormat="1" applyFont="1" applyFill="1" applyBorder="1"/>
    <xf numFmtId="167" fontId="42" fillId="0" borderId="7" xfId="1" applyNumberFormat="1" applyFont="1" applyFill="1" applyBorder="1"/>
    <xf numFmtId="164" fontId="33" fillId="0" borderId="7" xfId="0" applyNumberFormat="1" applyFont="1" applyFill="1" applyBorder="1"/>
    <xf numFmtId="167" fontId="33" fillId="0" borderId="115" xfId="1" applyNumberFormat="1" applyFont="1" applyFill="1" applyBorder="1"/>
    <xf numFmtId="0" fontId="34" fillId="0" borderId="114" xfId="0" applyFont="1" applyFill="1" applyBorder="1" applyAlignment="1">
      <alignment horizontal="left" vertical="top"/>
    </xf>
    <xf numFmtId="0" fontId="34" fillId="0" borderId="116" xfId="0" applyFont="1" applyFill="1" applyBorder="1"/>
    <xf numFmtId="0" fontId="28" fillId="0" borderId="0" xfId="0" applyFont="1" applyFill="1"/>
    <xf numFmtId="3" fontId="17" fillId="0" borderId="0" xfId="0" applyNumberFormat="1" applyFont="1" applyFill="1" applyAlignment="1" applyProtection="1">
      <alignment horizontal="left"/>
    </xf>
    <xf numFmtId="0" fontId="43" fillId="0" borderId="88" xfId="0" applyFont="1" applyFill="1" applyBorder="1"/>
    <xf numFmtId="0" fontId="43" fillId="0" borderId="88" xfId="0" applyFont="1" applyFill="1" applyBorder="1" applyAlignment="1">
      <alignment horizontal="center" vertical="center"/>
    </xf>
    <xf numFmtId="0" fontId="43" fillId="0" borderId="89" xfId="0" applyFont="1" applyFill="1" applyBorder="1" applyAlignment="1">
      <alignment horizontal="center" vertical="center"/>
    </xf>
    <xf numFmtId="0" fontId="43" fillId="0" borderId="90" xfId="0" applyFont="1" applyFill="1" applyBorder="1" applyAlignment="1">
      <alignment horizontal="center" vertical="center"/>
    </xf>
    <xf numFmtId="0" fontId="28" fillId="0" borderId="96" xfId="0" applyFont="1" applyFill="1" applyBorder="1"/>
    <xf numFmtId="0" fontId="28" fillId="0" borderId="97" xfId="0" applyFont="1" applyFill="1" applyBorder="1" applyAlignment="1">
      <alignment horizontal="center"/>
    </xf>
    <xf numFmtId="0" fontId="28" fillId="0" borderId="98" xfId="0" applyFont="1" applyFill="1" applyBorder="1" applyAlignment="1">
      <alignment horizontal="center"/>
    </xf>
    <xf numFmtId="0" fontId="28" fillId="0" borderId="67" xfId="0" applyFont="1" applyFill="1" applyBorder="1" applyAlignment="1">
      <alignment horizontal="center"/>
    </xf>
    <xf numFmtId="0" fontId="28" fillId="0" borderId="63" xfId="0" applyFont="1" applyFill="1" applyBorder="1" applyAlignment="1">
      <alignment horizontal="center"/>
    </xf>
    <xf numFmtId="0" fontId="28" fillId="0" borderId="7" xfId="0" applyFont="1" applyFill="1" applyBorder="1" applyAlignment="1">
      <alignment horizontal="center"/>
    </xf>
    <xf numFmtId="0" fontId="28" fillId="0" borderId="80" xfId="0" applyFont="1" applyFill="1" applyBorder="1" applyAlignment="1">
      <alignment horizontal="center"/>
    </xf>
    <xf numFmtId="0" fontId="28" fillId="0" borderId="99" xfId="0" applyFont="1" applyFill="1" applyBorder="1"/>
    <xf numFmtId="1" fontId="28" fillId="0" borderId="7" xfId="5" applyNumberFormat="1" applyFont="1" applyFill="1" applyBorder="1" applyAlignment="1">
      <alignment vertical="center"/>
    </xf>
    <xf numFmtId="1" fontId="44" fillId="0" borderId="7" xfId="5" applyNumberFormat="1" applyFont="1" applyFill="1" applyBorder="1" applyAlignment="1">
      <alignment vertical="center"/>
    </xf>
    <xf numFmtId="1" fontId="28" fillId="0" borderId="24" xfId="5" applyNumberFormat="1" applyFont="1" applyFill="1" applyBorder="1" applyAlignment="1">
      <alignment vertical="center"/>
    </xf>
    <xf numFmtId="1" fontId="28" fillId="0" borderId="91" xfId="5" applyNumberFormat="1" applyFont="1" applyFill="1" applyBorder="1" applyAlignment="1">
      <alignment vertical="center"/>
    </xf>
    <xf numFmtId="1" fontId="28" fillId="0" borderId="72" xfId="1" applyNumberFormat="1" applyFont="1" applyFill="1" applyBorder="1" applyAlignment="1">
      <alignment vertical="center"/>
    </xf>
    <xf numFmtId="1" fontId="28" fillId="0" borderId="7" xfId="1" applyNumberFormat="1" applyFont="1" applyFill="1" applyBorder="1" applyAlignment="1">
      <alignment vertical="center"/>
    </xf>
    <xf numFmtId="1" fontId="28" fillId="0" borderId="82" xfId="5" applyNumberFormat="1" applyFont="1" applyFill="1" applyBorder="1" applyAlignment="1">
      <alignment horizontal="right" vertical="center"/>
    </xf>
    <xf numFmtId="1" fontId="28" fillId="0" borderId="82" xfId="5" applyNumberFormat="1" applyFont="1" applyFill="1" applyBorder="1" applyAlignment="1">
      <alignment horizontal="center" vertical="center"/>
    </xf>
    <xf numFmtId="1" fontId="45" fillId="0" borderId="7" xfId="0" applyNumberFormat="1" applyFont="1" applyFill="1" applyBorder="1" applyAlignment="1">
      <alignment vertical="center" wrapText="1"/>
    </xf>
    <xf numFmtId="1" fontId="28" fillId="0" borderId="72" xfId="0" applyNumberFormat="1" applyFont="1" applyFill="1" applyBorder="1" applyAlignment="1">
      <alignment vertical="center"/>
    </xf>
    <xf numFmtId="1" fontId="28" fillId="0" borderId="7" xfId="0" applyNumberFormat="1" applyFont="1" applyFill="1" applyBorder="1" applyAlignment="1">
      <alignment vertical="center"/>
    </xf>
    <xf numFmtId="1" fontId="28" fillId="0" borderId="82" xfId="0" applyNumberFormat="1" applyFont="1" applyFill="1" applyBorder="1" applyAlignment="1">
      <alignment vertical="center"/>
    </xf>
    <xf numFmtId="1" fontId="46" fillId="0" borderId="7" xfId="0" applyNumberFormat="1" applyFont="1" applyFill="1" applyBorder="1" applyAlignment="1">
      <alignment vertical="center" wrapText="1"/>
    </xf>
    <xf numFmtId="1" fontId="28" fillId="0" borderId="72" xfId="5" applyNumberFormat="1" applyFont="1" applyFill="1" applyBorder="1" applyAlignment="1">
      <alignment vertical="center"/>
    </xf>
    <xf numFmtId="1" fontId="28" fillId="0" borderId="82" xfId="5" applyNumberFormat="1" applyFont="1" applyFill="1" applyBorder="1" applyAlignment="1">
      <alignment vertical="center"/>
    </xf>
    <xf numFmtId="1" fontId="28" fillId="0" borderId="25" xfId="5" applyNumberFormat="1" applyFont="1" applyFill="1" applyBorder="1" applyAlignment="1">
      <alignment vertical="center"/>
    </xf>
    <xf numFmtId="1" fontId="28" fillId="0" borderId="22" xfId="1" applyNumberFormat="1" applyFont="1" applyFill="1" applyBorder="1" applyAlignment="1">
      <alignment vertical="center"/>
    </xf>
    <xf numFmtId="0" fontId="28" fillId="0" borderId="100" xfId="0" applyFont="1" applyFill="1" applyBorder="1"/>
    <xf numFmtId="1" fontId="28" fillId="0" borderId="75" xfId="1" applyNumberFormat="1" applyFont="1" applyFill="1" applyBorder="1" applyAlignment="1">
      <alignment vertical="center"/>
    </xf>
    <xf numFmtId="1" fontId="28" fillId="0" borderId="14" xfId="1" applyNumberFormat="1" applyFont="1" applyFill="1" applyBorder="1" applyAlignment="1">
      <alignment vertical="center"/>
    </xf>
    <xf numFmtId="1" fontId="28" fillId="0" borderId="85" xfId="1" applyNumberFormat="1" applyFont="1" applyFill="1" applyBorder="1" applyAlignment="1">
      <alignment vertical="center"/>
    </xf>
    <xf numFmtId="1" fontId="28" fillId="0" borderId="76" xfId="1" applyNumberFormat="1" applyFont="1" applyFill="1" applyBorder="1" applyAlignment="1">
      <alignment vertical="center"/>
    </xf>
    <xf numFmtId="1" fontId="28" fillId="0" borderId="75" xfId="0" applyNumberFormat="1" applyFont="1" applyFill="1" applyBorder="1" applyAlignment="1">
      <alignment vertical="center"/>
    </xf>
    <xf numFmtId="1" fontId="28" fillId="0" borderId="76" xfId="0" applyNumberFormat="1" applyFont="1" applyFill="1" applyBorder="1" applyAlignment="1">
      <alignment vertical="center"/>
    </xf>
    <xf numFmtId="1" fontId="28" fillId="0" borderId="83" xfId="0" applyNumberFormat="1" applyFont="1" applyFill="1" applyBorder="1" applyAlignment="1">
      <alignment vertical="center"/>
    </xf>
    <xf numFmtId="0" fontId="31" fillId="0" borderId="92" xfId="0" applyFont="1" applyFill="1" applyBorder="1"/>
    <xf numFmtId="1" fontId="31" fillId="0" borderId="92" xfId="1" applyNumberFormat="1" applyFont="1" applyFill="1" applyBorder="1"/>
    <xf numFmtId="1" fontId="28" fillId="0" borderId="101" xfId="1" applyNumberFormat="1" applyFont="1" applyFill="1" applyBorder="1"/>
    <xf numFmtId="1" fontId="31" fillId="0" borderId="101" xfId="1" applyNumberFormat="1" applyFont="1" applyFill="1" applyBorder="1"/>
    <xf numFmtId="1" fontId="31" fillId="0" borderId="85" xfId="0" applyNumberFormat="1" applyFont="1" applyFill="1" applyBorder="1"/>
    <xf numFmtId="1" fontId="28" fillId="0" borderId="97" xfId="1" applyNumberFormat="1" applyFont="1" applyFill="1" applyBorder="1"/>
    <xf numFmtId="1" fontId="28" fillId="0" borderId="7" xfId="1" applyNumberFormat="1" applyFont="1" applyFill="1" applyBorder="1"/>
    <xf numFmtId="1" fontId="28" fillId="0" borderId="72" xfId="1" applyNumberFormat="1" applyFont="1" applyFill="1" applyBorder="1"/>
    <xf numFmtId="1" fontId="28" fillId="0" borderId="22" xfId="1" applyNumberFormat="1" applyFont="1" applyFill="1" applyBorder="1"/>
    <xf numFmtId="1" fontId="28" fillId="0" borderId="72" xfId="0" applyNumberFormat="1" applyFont="1" applyFill="1" applyBorder="1"/>
    <xf numFmtId="1" fontId="28" fillId="0" borderId="82" xfId="0" applyNumberFormat="1" applyFont="1" applyFill="1" applyBorder="1"/>
    <xf numFmtId="1" fontId="28" fillId="0" borderId="7" xfId="0" applyNumberFormat="1" applyFont="1" applyFill="1" applyBorder="1"/>
    <xf numFmtId="1" fontId="28" fillId="0" borderId="75" xfId="1" applyNumberFormat="1" applyFont="1" applyFill="1" applyBorder="1"/>
    <xf numFmtId="1" fontId="28" fillId="0" borderId="14" xfId="1" applyNumberFormat="1" applyFont="1" applyFill="1" applyBorder="1"/>
    <xf numFmtId="1" fontId="28" fillId="0" borderId="85" xfId="1" applyNumberFormat="1" applyFont="1" applyFill="1" applyBorder="1"/>
    <xf numFmtId="1" fontId="28" fillId="0" borderId="76" xfId="1" applyNumberFormat="1" applyFont="1" applyFill="1" applyBorder="1"/>
    <xf numFmtId="1" fontId="28" fillId="0" borderId="75" xfId="0" applyNumberFormat="1" applyFont="1" applyFill="1" applyBorder="1"/>
    <xf numFmtId="1" fontId="28" fillId="0" borderId="76" xfId="0" applyNumberFormat="1" applyFont="1" applyFill="1" applyBorder="1"/>
    <xf numFmtId="1" fontId="28" fillId="0" borderId="83" xfId="0" applyNumberFormat="1" applyFont="1" applyFill="1" applyBorder="1"/>
    <xf numFmtId="0" fontId="31" fillId="0" borderId="104" xfId="0" applyFont="1" applyFill="1" applyBorder="1"/>
    <xf numFmtId="1" fontId="31" fillId="0" borderId="87" xfId="1" applyNumberFormat="1" applyFont="1" applyFill="1" applyBorder="1"/>
    <xf numFmtId="1" fontId="31" fillId="0" borderId="104" xfId="1" applyNumberFormat="1" applyFont="1" applyFill="1" applyBorder="1"/>
    <xf numFmtId="1" fontId="31" fillId="0" borderId="22" xfId="0" applyNumberFormat="1" applyFont="1" applyFill="1" applyBorder="1"/>
    <xf numFmtId="1" fontId="31" fillId="0" borderId="87" xfId="1" applyNumberFormat="1" applyFont="1" applyFill="1" applyBorder="1" applyAlignment="1">
      <alignment horizontal="right"/>
    </xf>
    <xf numFmtId="0" fontId="31" fillId="0" borderId="106" xfId="0" applyFont="1" applyFill="1" applyBorder="1"/>
    <xf numFmtId="1" fontId="31" fillId="0" borderId="100" xfId="1" applyNumberFormat="1" applyFont="1" applyFill="1" applyBorder="1"/>
    <xf numFmtId="1" fontId="31" fillId="0" borderId="100" xfId="1" applyNumberFormat="1" applyFont="1" applyFill="1" applyBorder="1" applyAlignment="1">
      <alignment horizontal="right"/>
    </xf>
    <xf numFmtId="0" fontId="47" fillId="0" borderId="0" xfId="0" applyFont="1" applyFill="1" applyBorder="1"/>
    <xf numFmtId="164" fontId="31" fillId="0" borderId="0" xfId="1" applyNumberFormat="1" applyFont="1" applyFill="1" applyBorder="1"/>
    <xf numFmtId="164" fontId="28" fillId="0" borderId="0" xfId="0" applyNumberFormat="1" applyFont="1" applyFill="1"/>
    <xf numFmtId="9" fontId="28" fillId="0" borderId="0" xfId="2" applyFont="1" applyFill="1"/>
    <xf numFmtId="3" fontId="28" fillId="0" borderId="0" xfId="0" applyNumberFormat="1" applyFont="1" applyFill="1"/>
    <xf numFmtId="0" fontId="19" fillId="0" borderId="0" xfId="4" applyFont="1" applyFill="1"/>
    <xf numFmtId="0" fontId="28" fillId="0" borderId="7" xfId="0" applyFont="1" applyFill="1" applyBorder="1"/>
    <xf numFmtId="0" fontId="28" fillId="0" borderId="23" xfId="0" applyFont="1" applyFill="1" applyBorder="1" applyAlignment="1">
      <alignment horizontal="center"/>
    </xf>
    <xf numFmtId="0" fontId="28" fillId="0" borderId="24" xfId="0" applyFont="1" applyFill="1" applyBorder="1" applyAlignment="1">
      <alignment horizontal="center"/>
    </xf>
    <xf numFmtId="0" fontId="28" fillId="0" borderId="25" xfId="0" applyFont="1" applyFill="1" applyBorder="1" applyAlignment="1">
      <alignment horizontal="center"/>
    </xf>
    <xf numFmtId="0" fontId="28" fillId="0" borderId="23" xfId="0" applyFont="1" applyFill="1" applyBorder="1" applyAlignment="1">
      <alignment horizontal="center" vertical="center"/>
    </xf>
    <xf numFmtId="0" fontId="28" fillId="0" borderId="24" xfId="0" applyFont="1" applyFill="1" applyBorder="1" applyAlignment="1">
      <alignment horizontal="center" vertical="center"/>
    </xf>
    <xf numFmtId="0" fontId="28" fillId="0" borderId="25" xfId="0" applyFont="1" applyFill="1" applyBorder="1" applyAlignment="1">
      <alignment horizontal="center" vertical="center"/>
    </xf>
    <xf numFmtId="164" fontId="12" fillId="0" borderId="25" xfId="5" applyNumberFormat="1" applyFont="1" applyFill="1" applyBorder="1" applyAlignment="1">
      <alignment horizontal="center" vertical="center"/>
    </xf>
    <xf numFmtId="164" fontId="12" fillId="0" borderId="7" xfId="5" applyNumberFormat="1" applyFont="1" applyFill="1" applyBorder="1" applyAlignment="1">
      <alignment horizontal="center" vertical="center"/>
    </xf>
    <xf numFmtId="164" fontId="28" fillId="0" borderId="82" xfId="5" applyNumberFormat="1" applyFont="1" applyFill="1" applyBorder="1" applyAlignment="1">
      <alignment horizontal="center" vertical="center"/>
    </xf>
    <xf numFmtId="164" fontId="12" fillId="0" borderId="72" xfId="5" applyNumberFormat="1" applyFont="1" applyFill="1" applyBorder="1" applyAlignment="1">
      <alignment horizontal="center" vertical="center"/>
    </xf>
    <xf numFmtId="164" fontId="28" fillId="0" borderId="7" xfId="1" applyNumberFormat="1" applyFont="1" applyFill="1" applyBorder="1" applyAlignment="1">
      <alignment horizontal="center" vertical="center"/>
    </xf>
    <xf numFmtId="3" fontId="28" fillId="0" borderId="102" xfId="0" applyNumberFormat="1" applyFont="1" applyFill="1" applyBorder="1" applyAlignment="1">
      <alignment vertical="center"/>
    </xf>
    <xf numFmtId="0" fontId="31" fillId="0" borderId="14" xfId="0" applyFont="1" applyFill="1" applyBorder="1"/>
    <xf numFmtId="167" fontId="29" fillId="0" borderId="7" xfId="1" applyNumberFormat="1" applyFont="1" applyFill="1" applyBorder="1" applyAlignment="1">
      <alignment horizontal="center" vertical="center" wrapText="1"/>
    </xf>
    <xf numFmtId="3" fontId="28" fillId="0" borderId="7" xfId="0" applyNumberFormat="1" applyFont="1" applyFill="1" applyBorder="1" applyAlignment="1">
      <alignment horizontal="center" vertical="center"/>
    </xf>
    <xf numFmtId="167" fontId="28" fillId="0" borderId="7" xfId="0" applyNumberFormat="1" applyFont="1" applyFill="1" applyBorder="1" applyAlignment="1">
      <alignment horizontal="center" vertical="center"/>
    </xf>
    <xf numFmtId="164" fontId="28" fillId="0" borderId="14" xfId="1" applyNumberFormat="1" applyFont="1" applyFill="1" applyBorder="1" applyAlignment="1">
      <alignment horizontal="center" vertical="center"/>
    </xf>
    <xf numFmtId="0" fontId="31" fillId="0" borderId="7" xfId="0" applyFont="1" applyFill="1" applyBorder="1"/>
    <xf numFmtId="3" fontId="31" fillId="0" borderId="7" xfId="0" applyNumberFormat="1" applyFont="1" applyFill="1" applyBorder="1" applyAlignment="1">
      <alignment horizontal="center" vertical="center"/>
    </xf>
    <xf numFmtId="3" fontId="31" fillId="0" borderId="7" xfId="0" applyNumberFormat="1" applyFont="1" applyFill="1" applyBorder="1"/>
    <xf numFmtId="0" fontId="1" fillId="0" borderId="0" xfId="0" applyFont="1" applyFill="1"/>
    <xf numFmtId="0" fontId="2" fillId="0" borderId="0" xfId="0" applyFont="1" applyFill="1"/>
    <xf numFmtId="0" fontId="49" fillId="0" borderId="111" xfId="6" applyFont="1" applyFill="1" applyBorder="1" applyAlignment="1">
      <alignment horizontal="left"/>
    </xf>
    <xf numFmtId="0" fontId="49" fillId="0" borderId="114" xfId="6" applyFont="1" applyFill="1" applyBorder="1" applyAlignment="1">
      <alignment vertical="center"/>
    </xf>
    <xf numFmtId="0" fontId="50" fillId="0" borderId="7" xfId="6" applyFont="1" applyFill="1" applyBorder="1" applyAlignment="1">
      <alignment horizontal="center" vertical="center"/>
    </xf>
    <xf numFmtId="0" fontId="50" fillId="0" borderId="114" xfId="6" applyFont="1" applyFill="1" applyBorder="1" applyAlignment="1">
      <alignment vertical="center"/>
    </xf>
    <xf numFmtId="167" fontId="50" fillId="0" borderId="7" xfId="1" applyNumberFormat="1" applyFont="1" applyFill="1" applyBorder="1" applyAlignment="1">
      <alignment vertical="center"/>
    </xf>
    <xf numFmtId="167" fontId="28" fillId="0" borderId="7" xfId="1" applyNumberFormat="1" applyFont="1" applyFill="1" applyBorder="1" applyAlignment="1">
      <alignment horizontal="center" vertical="center"/>
    </xf>
    <xf numFmtId="1" fontId="28" fillId="0" borderId="7" xfId="5" applyNumberFormat="1" applyFont="1" applyFill="1" applyBorder="1" applyAlignment="1">
      <alignment horizontal="center" vertical="center"/>
    </xf>
    <xf numFmtId="167" fontId="28" fillId="0" borderId="7" xfId="0" applyNumberFormat="1" applyFont="1" applyFill="1" applyBorder="1"/>
    <xf numFmtId="167" fontId="1" fillId="0" borderId="7" xfId="0" applyNumberFormat="1" applyFont="1" applyFill="1" applyBorder="1"/>
    <xf numFmtId="167" fontId="49" fillId="0" borderId="7" xfId="6" applyNumberFormat="1" applyFont="1" applyFill="1" applyBorder="1"/>
    <xf numFmtId="0" fontId="28" fillId="0" borderId="114" xfId="6" applyFont="1" applyFill="1" applyBorder="1" applyAlignment="1">
      <alignment vertical="center"/>
    </xf>
    <xf numFmtId="0" fontId="31" fillId="0" borderId="114" xfId="6" applyFont="1" applyFill="1" applyBorder="1" applyAlignment="1">
      <alignment vertical="center"/>
    </xf>
    <xf numFmtId="167" fontId="49" fillId="0" borderId="7" xfId="1" applyNumberFormat="1" applyFont="1" applyFill="1" applyBorder="1" applyAlignment="1">
      <alignment vertical="center"/>
    </xf>
    <xf numFmtId="0" fontId="31" fillId="0" borderId="116" xfId="6" applyFont="1" applyFill="1" applyBorder="1" applyAlignment="1">
      <alignment vertical="center"/>
    </xf>
    <xf numFmtId="167" fontId="49" fillId="0" borderId="52" xfId="1" applyNumberFormat="1" applyFont="1" applyFill="1" applyBorder="1" applyAlignment="1">
      <alignment vertical="center"/>
    </xf>
    <xf numFmtId="0" fontId="28" fillId="0" borderId="52" xfId="0" applyFont="1" applyFill="1" applyBorder="1"/>
    <xf numFmtId="0" fontId="28" fillId="0" borderId="121" xfId="6" applyFont="1" applyFill="1" applyBorder="1" applyAlignment="1">
      <alignment vertical="center"/>
    </xf>
    <xf numFmtId="0" fontId="51" fillId="0" borderId="0" xfId="0" applyFont="1"/>
    <xf numFmtId="0" fontId="43" fillId="0" borderId="0" xfId="4" applyFont="1" applyFill="1"/>
    <xf numFmtId="0" fontId="52" fillId="0" borderId="7" xfId="7" applyFont="1" applyFill="1" applyBorder="1" applyAlignment="1">
      <alignment horizontal="left"/>
    </xf>
    <xf numFmtId="0" fontId="53" fillId="0" borderId="7" xfId="0" applyFont="1" applyBorder="1" applyAlignment="1">
      <alignment horizontal="center"/>
    </xf>
    <xf numFmtId="0" fontId="53" fillId="0" borderId="7" xfId="0" applyFont="1" applyFill="1" applyBorder="1" applyAlignment="1">
      <alignment horizontal="center"/>
    </xf>
    <xf numFmtId="0" fontId="53" fillId="0" borderId="7" xfId="7" applyFont="1" applyFill="1" applyBorder="1"/>
    <xf numFmtId="1" fontId="54" fillId="0" borderId="7" xfId="5" applyNumberFormat="1" applyFont="1" applyFill="1" applyBorder="1" applyAlignment="1">
      <alignment horizontal="center" vertical="center"/>
    </xf>
    <xf numFmtId="1" fontId="51" fillId="0" borderId="7" xfId="0" applyNumberFormat="1" applyFont="1" applyBorder="1"/>
    <xf numFmtId="167" fontId="54" fillId="0" borderId="7" xfId="1" applyNumberFormat="1" applyFont="1" applyFill="1" applyBorder="1" applyAlignment="1">
      <alignment horizontal="center" vertical="center"/>
    </xf>
    <xf numFmtId="1" fontId="51" fillId="0" borderId="7" xfId="0" applyNumberFormat="1" applyFont="1" applyFill="1" applyBorder="1"/>
    <xf numFmtId="1" fontId="54" fillId="6" borderId="7" xfId="5" applyNumberFormat="1" applyFont="1" applyFill="1" applyBorder="1" applyAlignment="1">
      <alignment horizontal="center" vertical="center"/>
    </xf>
    <xf numFmtId="1" fontId="51" fillId="6" borderId="7" xfId="0" applyNumberFormat="1" applyFont="1" applyFill="1" applyBorder="1"/>
    <xf numFmtId="0" fontId="52" fillId="0" borderId="7" xfId="7" applyFont="1" applyFill="1" applyBorder="1" applyAlignment="1">
      <alignment vertical="center"/>
    </xf>
    <xf numFmtId="1" fontId="43" fillId="0" borderId="7" xfId="5" applyNumberFormat="1" applyFont="1" applyFill="1" applyBorder="1" applyAlignment="1">
      <alignment horizontal="center" vertical="center"/>
    </xf>
    <xf numFmtId="0" fontId="52" fillId="0" borderId="7" xfId="7" applyFont="1" applyFill="1" applyBorder="1" applyAlignment="1">
      <alignment horizontal="left" vertical="top"/>
    </xf>
    <xf numFmtId="1" fontId="43" fillId="0" borderId="7" xfId="5" applyNumberFormat="1" applyFont="1" applyFill="1" applyBorder="1" applyAlignment="1">
      <alignment horizontal="right" vertical="center"/>
    </xf>
    <xf numFmtId="0" fontId="52" fillId="7" borderId="7" xfId="7" applyFont="1" applyFill="1" applyBorder="1"/>
    <xf numFmtId="167" fontId="52" fillId="0" borderId="7" xfId="1" applyNumberFormat="1" applyFont="1" applyFill="1" applyBorder="1" applyAlignment="1">
      <alignment vertical="center"/>
    </xf>
    <xf numFmtId="0" fontId="50" fillId="8" borderId="114" xfId="6" applyFont="1" applyFill="1" applyBorder="1" applyAlignment="1">
      <alignment vertical="center"/>
    </xf>
    <xf numFmtId="167" fontId="50" fillId="8" borderId="7" xfId="1" applyNumberFormat="1" applyFont="1" applyFill="1" applyBorder="1" applyAlignment="1">
      <alignment vertical="center"/>
    </xf>
    <xf numFmtId="1" fontId="28" fillId="8" borderId="7" xfId="0" applyNumberFormat="1" applyFont="1" applyFill="1" applyBorder="1"/>
    <xf numFmtId="167" fontId="28" fillId="8" borderId="7" xfId="1" applyNumberFormat="1" applyFont="1" applyFill="1" applyBorder="1" applyAlignment="1">
      <alignment horizontal="center" vertical="center"/>
    </xf>
    <xf numFmtId="1" fontId="28" fillId="8" borderId="7" xfId="5" applyNumberFormat="1" applyFont="1" applyFill="1" applyBorder="1" applyAlignment="1">
      <alignment horizontal="center" vertical="center"/>
    </xf>
    <xf numFmtId="167" fontId="28" fillId="8" borderId="7" xfId="0" applyNumberFormat="1" applyFont="1" applyFill="1" applyBorder="1"/>
    <xf numFmtId="167" fontId="1" fillId="8" borderId="7" xfId="0" applyNumberFormat="1" applyFont="1" applyFill="1" applyBorder="1"/>
    <xf numFmtId="0" fontId="0" fillId="8" borderId="0" xfId="0" applyFill="1"/>
    <xf numFmtId="0" fontId="28" fillId="8" borderId="99" xfId="0" applyFont="1" applyFill="1" applyBorder="1"/>
    <xf numFmtId="1" fontId="28" fillId="8" borderId="7" xfId="1" applyNumberFormat="1" applyFont="1" applyFill="1" applyBorder="1" applyAlignment="1">
      <alignment vertical="center"/>
    </xf>
    <xf numFmtId="1" fontId="28" fillId="8" borderId="24" xfId="5" applyNumberFormat="1" applyFont="1" applyFill="1" applyBorder="1" applyAlignment="1">
      <alignment vertical="center"/>
    </xf>
    <xf numFmtId="1" fontId="28" fillId="8" borderId="7" xfId="5" applyNumberFormat="1" applyFont="1" applyFill="1" applyBorder="1" applyAlignment="1">
      <alignment vertical="center"/>
    </xf>
    <xf numFmtId="1" fontId="28" fillId="8" borderId="91" xfId="5" applyNumberFormat="1" applyFont="1" applyFill="1" applyBorder="1" applyAlignment="1">
      <alignment vertical="center"/>
    </xf>
    <xf numFmtId="1" fontId="28" fillId="8" borderId="72" xfId="0" applyNumberFormat="1" applyFont="1" applyFill="1" applyBorder="1" applyAlignment="1">
      <alignment vertical="center"/>
    </xf>
    <xf numFmtId="1" fontId="28" fillId="8" borderId="82" xfId="0" applyNumberFormat="1" applyFont="1" applyFill="1" applyBorder="1" applyAlignment="1">
      <alignment vertical="center"/>
    </xf>
    <xf numFmtId="1" fontId="28" fillId="8" borderId="82" xfId="5" applyNumberFormat="1" applyFont="1" applyFill="1" applyBorder="1" applyAlignment="1">
      <alignment horizontal="right" vertical="center"/>
    </xf>
    <xf numFmtId="1" fontId="28" fillId="8" borderId="82" xfId="5" applyNumberFormat="1" applyFont="1" applyFill="1" applyBorder="1" applyAlignment="1">
      <alignment horizontal="center" vertical="center"/>
    </xf>
    <xf numFmtId="3" fontId="10" fillId="8" borderId="0" xfId="0" applyNumberFormat="1" applyFont="1" applyFill="1"/>
    <xf numFmtId="0" fontId="35" fillId="8" borderId="114" xfId="0" applyFont="1" applyFill="1" applyBorder="1" applyAlignment="1">
      <alignment vertical="center"/>
    </xf>
    <xf numFmtId="167" fontId="35" fillId="8" borderId="7" xfId="1" applyNumberFormat="1" applyFont="1" applyFill="1" applyBorder="1" applyAlignment="1">
      <alignment vertical="center"/>
    </xf>
    <xf numFmtId="167" fontId="5" fillId="8" borderId="7" xfId="1" applyNumberFormat="1" applyFont="1" applyFill="1" applyBorder="1" applyAlignment="1">
      <alignment horizontal="center" vertical="center"/>
    </xf>
    <xf numFmtId="167" fontId="5" fillId="8" borderId="7" xfId="1" applyNumberFormat="1" applyFont="1" applyFill="1" applyBorder="1" applyAlignment="1" applyProtection="1">
      <alignment vertical="center"/>
    </xf>
    <xf numFmtId="167" fontId="35" fillId="8" borderId="7" xfId="1" applyNumberFormat="1" applyFont="1" applyFill="1" applyBorder="1"/>
    <xf numFmtId="167" fontId="35" fillId="8" borderId="115" xfId="1" applyNumberFormat="1" applyFont="1" applyFill="1" applyBorder="1"/>
    <xf numFmtId="0" fontId="55" fillId="0" borderId="0" xfId="0" applyFont="1" applyFill="1"/>
    <xf numFmtId="0" fontId="2" fillId="9" borderId="7" xfId="0" applyFont="1" applyFill="1" applyBorder="1"/>
    <xf numFmtId="167" fontId="2" fillId="0" borderId="7" xfId="1" applyNumberFormat="1" applyFont="1" applyFill="1" applyBorder="1"/>
    <xf numFmtId="0" fontId="0" fillId="0" borderId="7" xfId="0" applyFont="1" applyFill="1" applyBorder="1"/>
    <xf numFmtId="167" fontId="1" fillId="0" borderId="7" xfId="1" applyNumberFormat="1" applyFont="1" applyFill="1" applyBorder="1"/>
    <xf numFmtId="167" fontId="50" fillId="0" borderId="22" xfId="5" applyNumberFormat="1" applyFont="1" applyFill="1" applyBorder="1" applyAlignment="1">
      <alignment horizontal="center" vertical="center"/>
    </xf>
    <xf numFmtId="164" fontId="56" fillId="0" borderId="22" xfId="1" applyNumberFormat="1" applyFont="1" applyFill="1" applyBorder="1"/>
    <xf numFmtId="167" fontId="1" fillId="0" borderId="7" xfId="1" applyNumberFormat="1" applyFont="1" applyFill="1" applyBorder="1" applyAlignment="1">
      <alignment horizontal="center"/>
    </xf>
    <xf numFmtId="167" fontId="50" fillId="0" borderId="7" xfId="5" applyNumberFormat="1" applyFont="1" applyFill="1" applyBorder="1" applyAlignment="1">
      <alignment horizontal="center" vertical="center"/>
    </xf>
    <xf numFmtId="164" fontId="56" fillId="0" borderId="7" xfId="1" applyNumberFormat="1" applyFont="1" applyFill="1" applyBorder="1"/>
    <xf numFmtId="167" fontId="0" fillId="0" borderId="7" xfId="1" applyNumberFormat="1" applyFont="1" applyFill="1" applyBorder="1" applyAlignment="1">
      <alignment horizontal="center"/>
    </xf>
    <xf numFmtId="167" fontId="50" fillId="0" borderId="7" xfId="5" applyNumberFormat="1" applyFont="1" applyFill="1" applyBorder="1" applyAlignment="1">
      <alignment vertical="center"/>
    </xf>
    <xf numFmtId="167" fontId="0" fillId="0" borderId="7" xfId="5" applyNumberFormat="1" applyFont="1" applyFill="1" applyBorder="1" applyAlignment="1">
      <alignment horizontal="center" vertical="center"/>
    </xf>
    <xf numFmtId="167" fontId="0" fillId="0" borderId="7" xfId="5" applyNumberFormat="1" applyFont="1" applyFill="1" applyBorder="1" applyAlignment="1">
      <alignment vertical="center"/>
    </xf>
    <xf numFmtId="167" fontId="49" fillId="0" borderId="7" xfId="6" applyNumberFormat="1" applyFont="1" applyFill="1" applyBorder="1" applyAlignment="1">
      <alignment horizontal="center"/>
    </xf>
    <xf numFmtId="167" fontId="2" fillId="0" borderId="7" xfId="1" applyNumberFormat="1" applyFont="1" applyFill="1" applyBorder="1" applyAlignment="1">
      <alignment horizontal="center"/>
    </xf>
    <xf numFmtId="0" fontId="57" fillId="0" borderId="85" xfId="0" applyFont="1" applyFill="1" applyBorder="1"/>
    <xf numFmtId="0" fontId="57" fillId="0" borderId="0" xfId="0" applyFont="1" applyFill="1"/>
    <xf numFmtId="167" fontId="0" fillId="0" borderId="0" xfId="0" applyNumberFormat="1" applyFill="1"/>
    <xf numFmtId="3" fontId="28" fillId="8" borderId="7" xfId="4" applyNumberFormat="1" applyFont="1" applyFill="1" applyBorder="1"/>
    <xf numFmtId="0" fontId="49" fillId="9" borderId="7" xfId="6" applyFont="1" applyFill="1" applyBorder="1" applyAlignment="1">
      <alignment horizontal="left"/>
    </xf>
    <xf numFmtId="0" fontId="49" fillId="9" borderId="7" xfId="6" applyFont="1" applyFill="1" applyBorder="1" applyAlignment="1">
      <alignment vertical="center"/>
    </xf>
    <xf numFmtId="0" fontId="50" fillId="9" borderId="7" xfId="6" applyFont="1" applyFill="1" applyBorder="1" applyAlignment="1">
      <alignment horizontal="center" vertical="center"/>
    </xf>
    <xf numFmtId="167" fontId="50" fillId="9" borderId="7" xfId="5" applyNumberFormat="1" applyFont="1" applyFill="1" applyBorder="1" applyAlignment="1">
      <alignment horizontal="center" vertical="center"/>
    </xf>
    <xf numFmtId="3" fontId="10" fillId="9" borderId="7" xfId="4" applyNumberFormat="1" applyFont="1" applyFill="1" applyBorder="1"/>
    <xf numFmtId="0" fontId="2" fillId="9" borderId="7" xfId="0" applyFont="1" applyFill="1" applyBorder="1" applyAlignment="1">
      <alignment horizontal="center"/>
    </xf>
    <xf numFmtId="0" fontId="50" fillId="0" borderId="7" xfId="6" applyFont="1" applyFill="1" applyBorder="1" applyAlignment="1">
      <alignment vertical="center"/>
    </xf>
    <xf numFmtId="1" fontId="28" fillId="0" borderId="22" xfId="0" applyNumberFormat="1" applyFont="1" applyFill="1" applyBorder="1"/>
    <xf numFmtId="167" fontId="50" fillId="0" borderId="22" xfId="5" applyNumberFormat="1" applyFont="1" applyFill="1" applyBorder="1" applyAlignment="1">
      <alignment vertical="center"/>
    </xf>
    <xf numFmtId="3" fontId="28" fillId="0" borderId="7" xfId="4" applyNumberFormat="1" applyFont="1" applyFill="1" applyBorder="1"/>
    <xf numFmtId="0" fontId="0" fillId="0" borderId="0" xfId="0" applyFont="1" applyFill="1"/>
    <xf numFmtId="167" fontId="2" fillId="9" borderId="7" xfId="1" applyNumberFormat="1" applyFont="1" applyFill="1" applyBorder="1"/>
    <xf numFmtId="0" fontId="28" fillId="0" borderId="7" xfId="6" applyFont="1" applyFill="1" applyBorder="1" applyAlignment="1">
      <alignment vertical="center"/>
    </xf>
    <xf numFmtId="0" fontId="31" fillId="9" borderId="23" xfId="6" applyFont="1" applyFill="1" applyBorder="1" applyAlignment="1">
      <alignment vertical="center"/>
    </xf>
    <xf numFmtId="0" fontId="57" fillId="0" borderId="0" xfId="0" applyFont="1"/>
    <xf numFmtId="167" fontId="2" fillId="0" borderId="0" xfId="1" applyNumberFormat="1" applyFont="1" applyFill="1" applyBorder="1"/>
    <xf numFmtId="0" fontId="2" fillId="0" borderId="0" xfId="0" applyFont="1"/>
    <xf numFmtId="1" fontId="0" fillId="0" borderId="0" xfId="0" applyNumberFormat="1"/>
    <xf numFmtId="167" fontId="0" fillId="0" borderId="0" xfId="0" applyNumberFormat="1"/>
    <xf numFmtId="1" fontId="0" fillId="0" borderId="7" xfId="0" applyNumberFormat="1" applyBorder="1"/>
    <xf numFmtId="0" fontId="2" fillId="0" borderId="7" xfId="0" applyFont="1" applyBorder="1"/>
    <xf numFmtId="3" fontId="58" fillId="0" borderId="7" xfId="0" applyNumberFormat="1" applyFont="1" applyBorder="1"/>
    <xf numFmtId="3" fontId="59" fillId="0" borderId="7" xfId="0" applyNumberFormat="1" applyFont="1" applyBorder="1"/>
    <xf numFmtId="3" fontId="0" fillId="0" borderId="7" xfId="0" applyNumberFormat="1" applyBorder="1"/>
    <xf numFmtId="1" fontId="0" fillId="8" borderId="7" xfId="0" applyNumberFormat="1" applyFill="1" applyBorder="1"/>
    <xf numFmtId="0" fontId="2" fillId="9" borderId="7" xfId="0" applyFont="1" applyFill="1" applyBorder="1" applyAlignment="1">
      <alignment horizontal="center"/>
    </xf>
    <xf numFmtId="0" fontId="60" fillId="0" borderId="0" xfId="0" applyFont="1"/>
    <xf numFmtId="0" fontId="26" fillId="10" borderId="88" xfId="0" applyFont="1" applyFill="1" applyBorder="1"/>
    <xf numFmtId="0" fontId="0" fillId="10" borderId="96" xfId="0" applyFill="1" applyBorder="1"/>
    <xf numFmtId="0" fontId="0" fillId="10" borderId="97" xfId="0" applyFill="1" applyBorder="1" applyAlignment="1">
      <alignment horizontal="center"/>
    </xf>
    <xf numFmtId="0" fontId="0" fillId="10" borderId="98" xfId="0" applyFill="1" applyBorder="1" applyAlignment="1">
      <alignment horizontal="center"/>
    </xf>
    <xf numFmtId="0" fontId="0" fillId="10" borderId="67" xfId="0" applyFill="1" applyBorder="1" applyAlignment="1">
      <alignment horizontal="center"/>
    </xf>
    <xf numFmtId="3" fontId="0" fillId="0" borderId="7" xfId="0" applyNumberFormat="1" applyBorder="1" applyAlignment="1">
      <alignment horizontal="right"/>
    </xf>
    <xf numFmtId="3" fontId="2" fillId="11" borderId="7" xfId="0" applyNumberFormat="1" applyFont="1" applyFill="1" applyBorder="1" applyAlignment="1">
      <alignment horizontal="right"/>
    </xf>
    <xf numFmtId="0" fontId="2" fillId="12" borderId="104" xfId="0" applyFont="1" applyFill="1" applyBorder="1"/>
    <xf numFmtId="3" fontId="2" fillId="10" borderId="7" xfId="0" applyNumberFormat="1" applyFont="1" applyFill="1" applyBorder="1" applyAlignment="1">
      <alignment horizontal="right"/>
    </xf>
    <xf numFmtId="0" fontId="2" fillId="10" borderId="106" xfId="0" applyFont="1" applyFill="1" applyBorder="1"/>
    <xf numFmtId="0" fontId="2" fillId="0" borderId="92" xfId="0" applyFont="1" applyFill="1" applyBorder="1"/>
    <xf numFmtId="3" fontId="0" fillId="0" borderId="0" xfId="0" applyNumberFormat="1"/>
    <xf numFmtId="0" fontId="49" fillId="10" borderId="7" xfId="6" applyFont="1" applyFill="1" applyBorder="1" applyAlignment="1">
      <alignment vertical="center"/>
    </xf>
    <xf numFmtId="167" fontId="1" fillId="10" borderId="7" xfId="1" applyNumberFormat="1" applyFont="1" applyFill="1" applyBorder="1"/>
    <xf numFmtId="0" fontId="31" fillId="10" borderId="23" xfId="6" applyFont="1" applyFill="1" applyBorder="1" applyAlignment="1">
      <alignment vertical="center"/>
    </xf>
    <xf numFmtId="167" fontId="2" fillId="10" borderId="7" xfId="1" applyNumberFormat="1" applyFont="1" applyFill="1" applyBorder="1"/>
    <xf numFmtId="0" fontId="28" fillId="0" borderId="85" xfId="6" applyFont="1" applyFill="1" applyBorder="1" applyAlignment="1">
      <alignment vertical="center"/>
    </xf>
    <xf numFmtId="3" fontId="63" fillId="0" borderId="7" xfId="0" applyNumberFormat="1" applyFont="1" applyBorder="1" applyAlignment="1" applyProtection="1">
      <alignment horizontal="center"/>
    </xf>
    <xf numFmtId="3" fontId="63" fillId="0" borderId="7" xfId="0" applyNumberFormat="1" applyFont="1" applyFill="1" applyBorder="1" applyProtection="1"/>
    <xf numFmtId="3" fontId="63" fillId="0" borderId="7" xfId="0" applyNumberFormat="1" applyFont="1" applyBorder="1" applyAlignment="1" applyProtection="1">
      <alignment horizontal="right"/>
    </xf>
    <xf numFmtId="166" fontId="63" fillId="0" borderId="7" xfId="0" applyNumberFormat="1" applyFont="1" applyBorder="1" applyAlignment="1" applyProtection="1">
      <alignment horizontal="right"/>
    </xf>
    <xf numFmtId="0" fontId="66" fillId="0" borderId="7" xfId="0" applyFont="1" applyBorder="1"/>
    <xf numFmtId="3" fontId="63" fillId="0" borderId="7" xfId="0" quotePrefix="1" applyNumberFormat="1" applyFont="1" applyFill="1" applyBorder="1" applyAlignment="1" applyProtection="1">
      <alignment horizontal="center"/>
    </xf>
    <xf numFmtId="0" fontId="63" fillId="0" borderId="7" xfId="0" applyFont="1" applyFill="1" applyBorder="1"/>
    <xf numFmtId="3" fontId="63" fillId="0" borderId="7" xfId="0" quotePrefix="1" applyNumberFormat="1" applyFont="1" applyFill="1" applyBorder="1" applyAlignment="1" applyProtection="1">
      <alignment horizontal="right"/>
    </xf>
    <xf numFmtId="3" fontId="63" fillId="0" borderId="7" xfId="0" applyNumberFormat="1" applyFont="1" applyFill="1" applyBorder="1" applyAlignment="1" applyProtection="1">
      <alignment horizontal="center"/>
    </xf>
    <xf numFmtId="3" fontId="63" fillId="0" borderId="7" xfId="0" applyNumberFormat="1" applyFont="1" applyFill="1" applyBorder="1" applyAlignment="1" applyProtection="1">
      <alignment horizontal="right"/>
    </xf>
    <xf numFmtId="3" fontId="63" fillId="0" borderId="7" xfId="1" applyNumberFormat="1" applyFont="1" applyBorder="1" applyAlignment="1" applyProtection="1">
      <alignment horizontal="center"/>
    </xf>
    <xf numFmtId="164" fontId="66" fillId="0" borderId="7" xfId="1" applyNumberFormat="1" applyFont="1" applyFill="1" applyBorder="1"/>
    <xf numFmtId="0" fontId="66" fillId="0" borderId="7" xfId="0" applyFont="1" applyFill="1" applyBorder="1"/>
    <xf numFmtId="3" fontId="66" fillId="0" borderId="7" xfId="0" applyNumberFormat="1" applyFont="1" applyFill="1" applyBorder="1"/>
    <xf numFmtId="0" fontId="66" fillId="0" borderId="7" xfId="0" applyFont="1" applyFill="1" applyBorder="1" applyAlignment="1">
      <alignment horizontal="center" vertical="center"/>
    </xf>
    <xf numFmtId="167" fontId="66" fillId="0" borderId="7" xfId="1" applyNumberFormat="1" applyFont="1" applyFill="1" applyBorder="1" applyAlignment="1">
      <alignment horizontal="center"/>
    </xf>
    <xf numFmtId="167" fontId="66" fillId="0" borderId="7" xfId="1" applyNumberFormat="1" applyFont="1" applyFill="1" applyBorder="1" applyAlignment="1">
      <alignment vertical="center"/>
    </xf>
    <xf numFmtId="167" fontId="63" fillId="0" borderId="7" xfId="1" applyNumberFormat="1" applyFont="1" applyFill="1" applyBorder="1" applyAlignment="1">
      <alignment horizontal="center" vertical="center"/>
    </xf>
    <xf numFmtId="167" fontId="63" fillId="0" borderId="7" xfId="1" applyNumberFormat="1" applyFont="1" applyFill="1" applyBorder="1" applyAlignment="1" applyProtection="1">
      <alignment vertical="center"/>
    </xf>
    <xf numFmtId="167" fontId="66" fillId="0" borderId="7" xfId="1" applyNumberFormat="1" applyFont="1" applyFill="1" applyBorder="1"/>
    <xf numFmtId="164" fontId="63" fillId="0" borderId="7" xfId="1" applyNumberFormat="1" applyFont="1" applyFill="1" applyBorder="1" applyAlignment="1">
      <alignment horizontal="center" vertical="center"/>
    </xf>
    <xf numFmtId="1" fontId="63" fillId="0" borderId="7" xfId="5" applyNumberFormat="1" applyFont="1" applyFill="1" applyBorder="1" applyAlignment="1">
      <alignment vertical="center"/>
    </xf>
    <xf numFmtId="1" fontId="63" fillId="0" borderId="7" xfId="1" applyNumberFormat="1" applyFont="1" applyFill="1" applyBorder="1" applyAlignment="1">
      <alignment vertical="center"/>
    </xf>
    <xf numFmtId="1" fontId="63" fillId="0" borderId="7" xfId="0" applyNumberFormat="1" applyFont="1" applyFill="1" applyBorder="1" applyAlignment="1">
      <alignment vertical="center" wrapText="1"/>
    </xf>
    <xf numFmtId="1" fontId="63" fillId="0" borderId="7" xfId="0" applyNumberFormat="1" applyFont="1" applyFill="1" applyBorder="1" applyAlignment="1">
      <alignment vertical="center"/>
    </xf>
    <xf numFmtId="1" fontId="65" fillId="0" borderId="7" xfId="0" applyNumberFormat="1" applyFont="1" applyFill="1" applyBorder="1" applyAlignment="1">
      <alignment vertical="center" wrapText="1"/>
    </xf>
    <xf numFmtId="1" fontId="63" fillId="0" borderId="7" xfId="1" applyNumberFormat="1" applyFont="1" applyFill="1" applyBorder="1"/>
    <xf numFmtId="1" fontId="63" fillId="0" borderId="7" xfId="0" applyNumberFormat="1" applyFont="1" applyFill="1" applyBorder="1"/>
    <xf numFmtId="167" fontId="67" fillId="0" borderId="7" xfId="1" applyNumberFormat="1" applyFont="1" applyFill="1" applyBorder="1" applyAlignment="1">
      <alignment vertical="center"/>
    </xf>
    <xf numFmtId="1" fontId="63" fillId="0" borderId="7" xfId="5" applyNumberFormat="1" applyFont="1" applyFill="1" applyBorder="1" applyAlignment="1">
      <alignment horizontal="center" vertical="center"/>
    </xf>
    <xf numFmtId="167" fontId="63" fillId="0" borderId="7" xfId="0" applyNumberFormat="1" applyFont="1" applyFill="1" applyBorder="1"/>
    <xf numFmtId="167" fontId="66" fillId="0" borderId="7" xfId="0" applyNumberFormat="1" applyFont="1" applyFill="1" applyBorder="1"/>
    <xf numFmtId="167" fontId="67" fillId="0" borderId="7" xfId="5" applyNumberFormat="1" applyFont="1" applyFill="1" applyBorder="1" applyAlignment="1">
      <alignment horizontal="center" vertical="center"/>
    </xf>
    <xf numFmtId="164" fontId="68" fillId="0" borderId="7" xfId="1" applyNumberFormat="1" applyFont="1" applyFill="1" applyBorder="1"/>
    <xf numFmtId="167" fontId="67" fillId="0" borderId="7" xfId="5" applyNumberFormat="1" applyFont="1" applyFill="1" applyBorder="1" applyAlignment="1">
      <alignment vertical="center"/>
    </xf>
    <xf numFmtId="167" fontId="66" fillId="0" borderId="7" xfId="5" applyNumberFormat="1" applyFont="1" applyFill="1" applyBorder="1" applyAlignment="1">
      <alignment horizontal="center" vertical="center"/>
    </xf>
    <xf numFmtId="167" fontId="66" fillId="0" borderId="7" xfId="5" applyNumberFormat="1" applyFont="1" applyFill="1" applyBorder="1" applyAlignment="1">
      <alignment vertical="center"/>
    </xf>
    <xf numFmtId="0" fontId="67" fillId="0" borderId="7" xfId="6" applyFont="1" applyFill="1" applyBorder="1" applyAlignment="1">
      <alignment vertical="center"/>
    </xf>
    <xf numFmtId="37" fontId="63" fillId="0" borderId="7" xfId="0" applyNumberFormat="1" applyFont="1" applyBorder="1" applyAlignment="1" applyProtection="1">
      <alignment horizontal="center"/>
    </xf>
    <xf numFmtId="3" fontId="63" fillId="0" borderId="7" xfId="0" applyNumberFormat="1" applyFont="1" applyFill="1" applyBorder="1" applyAlignment="1" applyProtection="1">
      <alignment horizontal="left"/>
    </xf>
    <xf numFmtId="0" fontId="66" fillId="0" borderId="7" xfId="0" applyFont="1" applyFill="1" applyBorder="1" applyAlignment="1">
      <alignment vertical="center"/>
    </xf>
    <xf numFmtId="1" fontId="63" fillId="0" borderId="7" xfId="5" applyNumberFormat="1" applyFont="1" applyFill="1" applyBorder="1" applyAlignment="1">
      <alignment horizontal="right" vertical="center"/>
    </xf>
    <xf numFmtId="166" fontId="63" fillId="0" borderId="7" xfId="0" applyNumberFormat="1" applyFont="1" applyFill="1" applyBorder="1" applyAlignment="1" applyProtection="1">
      <alignment horizontal="left"/>
    </xf>
    <xf numFmtId="166" fontId="63" fillId="0" borderId="7" xfId="0" applyNumberFormat="1" applyFont="1" applyFill="1" applyBorder="1" applyProtection="1"/>
    <xf numFmtId="37" fontId="63" fillId="0" borderId="7" xfId="0" applyNumberFormat="1" applyFont="1" applyFill="1" applyBorder="1" applyAlignment="1" applyProtection="1">
      <alignment horizontal="center"/>
    </xf>
    <xf numFmtId="37" fontId="63" fillId="0" borderId="7" xfId="0" applyNumberFormat="1" applyFont="1" applyFill="1" applyBorder="1" applyProtection="1"/>
    <xf numFmtId="3" fontId="63" fillId="0" borderId="7" xfId="0" applyNumberFormat="1" applyFont="1" applyFill="1" applyBorder="1"/>
    <xf numFmtId="3" fontId="63" fillId="0" borderId="7" xfId="0" applyNumberFormat="1" applyFont="1" applyFill="1" applyBorder="1" applyAlignment="1" applyProtection="1"/>
    <xf numFmtId="3" fontId="63" fillId="0" borderId="7" xfId="1" applyNumberFormat="1" applyFont="1" applyFill="1" applyBorder="1" applyAlignment="1" applyProtection="1">
      <alignment horizontal="right"/>
    </xf>
    <xf numFmtId="3" fontId="63" fillId="0" borderId="7" xfId="1" applyNumberFormat="1" applyFont="1" applyFill="1" applyBorder="1" applyAlignment="1">
      <alignment horizontal="right"/>
    </xf>
    <xf numFmtId="3" fontId="63" fillId="0" borderId="7" xfId="0" quotePrefix="1" applyNumberFormat="1" applyFont="1" applyFill="1" applyBorder="1" applyProtection="1"/>
    <xf numFmtId="166" fontId="63" fillId="0" borderId="7" xfId="0" quotePrefix="1" applyNumberFormat="1" applyFont="1" applyFill="1" applyBorder="1" applyAlignment="1" applyProtection="1">
      <alignment horizontal="center"/>
    </xf>
    <xf numFmtId="166" fontId="63" fillId="0" borderId="7" xfId="0" quotePrefix="1" applyNumberFormat="1" applyFont="1" applyFill="1" applyBorder="1" applyAlignment="1" applyProtection="1">
      <alignment horizontal="right"/>
    </xf>
    <xf numFmtId="37" fontId="63" fillId="0" borderId="7" xfId="0" applyNumberFormat="1" applyFont="1" applyFill="1" applyBorder="1" applyAlignment="1" applyProtection="1">
      <alignment horizontal="right"/>
    </xf>
    <xf numFmtId="166" fontId="63" fillId="0" borderId="7" xfId="0" applyNumberFormat="1" applyFont="1" applyFill="1" applyBorder="1" applyAlignment="1" applyProtection="1">
      <alignment horizontal="right"/>
    </xf>
    <xf numFmtId="37" fontId="63" fillId="0" borderId="7" xfId="0" quotePrefix="1" applyNumberFormat="1" applyFont="1" applyFill="1" applyBorder="1" applyAlignment="1" applyProtection="1">
      <alignment horizontal="center"/>
    </xf>
    <xf numFmtId="37" fontId="63" fillId="0" borderId="7" xfId="0" applyNumberFormat="1" applyFont="1" applyFill="1" applyBorder="1" applyAlignment="1" applyProtection="1"/>
    <xf numFmtId="3" fontId="66" fillId="0" borderId="7" xfId="0" applyNumberFormat="1" applyFont="1" applyFill="1" applyBorder="1" applyAlignment="1">
      <alignment horizontal="right"/>
    </xf>
    <xf numFmtId="0" fontId="61" fillId="0" borderId="0" xfId="0" applyFont="1" applyAlignment="1"/>
    <xf numFmtId="167" fontId="66" fillId="0" borderId="7" xfId="1" applyNumberFormat="1" applyFont="1" applyFill="1" applyBorder="1" applyAlignment="1">
      <alignment horizontal="center" vertical="center"/>
    </xf>
    <xf numFmtId="167" fontId="63" fillId="0" borderId="7" xfId="1" applyNumberFormat="1" applyFont="1" applyFill="1" applyBorder="1" applyAlignment="1" applyProtection="1">
      <alignment horizontal="center" vertical="center"/>
    </xf>
    <xf numFmtId="167" fontId="64" fillId="0" borderId="7" xfId="1" applyNumberFormat="1" applyFont="1" applyFill="1" applyBorder="1" applyAlignment="1" applyProtection="1">
      <alignment horizontal="center" vertical="center"/>
    </xf>
    <xf numFmtId="49" fontId="63" fillId="0" borderId="7" xfId="1" applyNumberFormat="1" applyFont="1" applyBorder="1" applyAlignment="1" applyProtection="1">
      <alignment horizontal="center"/>
    </xf>
    <xf numFmtId="164" fontId="66" fillId="0" borderId="7" xfId="1" applyNumberFormat="1" applyFont="1" applyFill="1" applyBorder="1" applyAlignment="1">
      <alignment horizontal="center" vertical="center"/>
    </xf>
    <xf numFmtId="0" fontId="63" fillId="0" borderId="7" xfId="0" applyFont="1" applyFill="1" applyBorder="1" applyAlignment="1">
      <alignment horizontal="right"/>
    </xf>
    <xf numFmtId="3" fontId="66" fillId="0" borderId="7" xfId="0" applyNumberFormat="1" applyFont="1" applyFill="1" applyBorder="1" applyAlignment="1">
      <alignment horizontal="center" vertical="center"/>
    </xf>
    <xf numFmtId="167" fontId="63" fillId="0" borderId="7" xfId="1" applyNumberFormat="1" applyFont="1" applyFill="1" applyBorder="1" applyAlignment="1">
      <alignment horizontal="center" vertical="center" wrapText="1"/>
    </xf>
    <xf numFmtId="167" fontId="66" fillId="0" borderId="7" xfId="0" applyNumberFormat="1" applyFont="1" applyFill="1" applyBorder="1" applyAlignment="1">
      <alignment horizontal="center" vertical="center"/>
    </xf>
    <xf numFmtId="164" fontId="63" fillId="0" borderId="7" xfId="5" applyNumberFormat="1" applyFont="1" applyFill="1" applyBorder="1" applyAlignment="1">
      <alignment horizontal="center" vertical="center"/>
    </xf>
    <xf numFmtId="3" fontId="63" fillId="0" borderId="7" xfId="0" applyNumberFormat="1" applyFont="1" applyFill="1" applyBorder="1" applyAlignment="1">
      <alignment horizontal="center" vertical="center"/>
    </xf>
    <xf numFmtId="167" fontId="63" fillId="0" borderId="7" xfId="0" applyNumberFormat="1" applyFont="1" applyFill="1" applyBorder="1" applyAlignment="1">
      <alignment horizontal="center" vertical="center"/>
    </xf>
    <xf numFmtId="1" fontId="63" fillId="6" borderId="7" xfId="5" applyNumberFormat="1" applyFont="1" applyFill="1" applyBorder="1" applyAlignment="1">
      <alignment horizontal="center" vertical="center"/>
    </xf>
    <xf numFmtId="166" fontId="63" fillId="0" borderId="7" xfId="0" applyNumberFormat="1" applyFont="1" applyBorder="1" applyAlignment="1" applyProtection="1">
      <alignment horizontal="center"/>
    </xf>
    <xf numFmtId="0" fontId="63" fillId="0" borderId="123" xfId="6" applyFont="1" applyFill="1" applyBorder="1" applyAlignment="1">
      <alignment vertical="center"/>
    </xf>
    <xf numFmtId="167" fontId="63" fillId="0" borderId="7" xfId="1" applyNumberFormat="1" applyFont="1" applyFill="1" applyBorder="1" applyAlignment="1"/>
    <xf numFmtId="167" fontId="63" fillId="0" borderId="7" xfId="1" applyNumberFormat="1" applyFont="1" applyFill="1" applyBorder="1" applyAlignment="1">
      <alignment vertical="center"/>
    </xf>
    <xf numFmtId="0" fontId="0" fillId="0" borderId="0" xfId="0" applyAlignment="1">
      <alignment horizontal="right"/>
    </xf>
    <xf numFmtId="0" fontId="67" fillId="0" borderId="7" xfId="6" applyFont="1" applyFill="1" applyBorder="1" applyAlignment="1">
      <alignment horizontal="right" vertical="center"/>
    </xf>
    <xf numFmtId="0" fontId="66" fillId="0" borderId="7" xfId="0" applyFont="1" applyFill="1" applyBorder="1" applyAlignment="1">
      <alignment horizontal="right"/>
    </xf>
    <xf numFmtId="0" fontId="66" fillId="0" borderId="7" xfId="0" applyFont="1" applyFill="1" applyBorder="1" applyAlignment="1">
      <alignment horizontal="right" vertical="center"/>
    </xf>
    <xf numFmtId="0" fontId="67" fillId="0" borderId="7" xfId="7" applyFont="1" applyFill="1" applyBorder="1" applyAlignment="1">
      <alignment horizontal="right"/>
    </xf>
    <xf numFmtId="0" fontId="63" fillId="0" borderId="7" xfId="6" applyFont="1" applyFill="1" applyBorder="1" applyAlignment="1">
      <alignment horizontal="right" vertical="center"/>
    </xf>
    <xf numFmtId="0" fontId="0" fillId="0" borderId="0" xfId="0" applyAlignment="1">
      <alignment horizontal="center"/>
    </xf>
    <xf numFmtId="0" fontId="66" fillId="0" borderId="7" xfId="0" applyFont="1" applyBorder="1" applyAlignment="1">
      <alignment horizontal="center"/>
    </xf>
    <xf numFmtId="166" fontId="63" fillId="0" borderId="7" xfId="0" quotePrefix="1" applyNumberFormat="1" applyFont="1" applyBorder="1" applyAlignment="1" applyProtection="1">
      <alignment horizontal="center"/>
    </xf>
    <xf numFmtId="3" fontId="63" fillId="0" borderId="7" xfId="0" applyNumberFormat="1" applyFont="1" applyBorder="1" applyAlignment="1">
      <alignment horizontal="center"/>
    </xf>
    <xf numFmtId="3" fontId="63" fillId="0" borderId="7" xfId="0" quotePrefix="1" applyNumberFormat="1" applyFont="1" applyBorder="1" applyAlignment="1" applyProtection="1">
      <alignment horizontal="center"/>
    </xf>
    <xf numFmtId="3" fontId="63" fillId="0" borderId="7" xfId="3" applyNumberFormat="1" applyFont="1" applyBorder="1" applyAlignment="1" applyProtection="1">
      <alignment horizontal="center"/>
    </xf>
    <xf numFmtId="3" fontId="63" fillId="0" borderId="7" xfId="1" quotePrefix="1" applyNumberFormat="1" applyFont="1" applyBorder="1" applyAlignment="1" applyProtection="1">
      <alignment horizontal="center"/>
    </xf>
    <xf numFmtId="166" fontId="63" fillId="0" borderId="7" xfId="3" applyNumberFormat="1" applyFont="1" applyBorder="1" applyAlignment="1" applyProtection="1">
      <alignment horizontal="center"/>
    </xf>
    <xf numFmtId="3" fontId="63" fillId="0" borderId="7" xfId="1" quotePrefix="1" applyNumberFormat="1" applyFont="1" applyFill="1" applyBorder="1" applyAlignment="1" applyProtection="1">
      <alignment horizontal="center"/>
    </xf>
    <xf numFmtId="0" fontId="67" fillId="0" borderId="7" xfId="6" applyFont="1" applyFill="1" applyBorder="1" applyAlignment="1">
      <alignment horizontal="center" vertical="center"/>
    </xf>
    <xf numFmtId="0" fontId="66" fillId="0" borderId="7" xfId="0" applyFont="1" applyFill="1" applyBorder="1" applyAlignment="1">
      <alignment horizontal="center"/>
    </xf>
    <xf numFmtId="0" fontId="66" fillId="0" borderId="7" xfId="0" quotePrefix="1" applyFont="1" applyFill="1" applyBorder="1" applyAlignment="1">
      <alignment horizontal="center"/>
    </xf>
    <xf numFmtId="3" fontId="63" fillId="0" borderId="7" xfId="4" applyNumberFormat="1" applyFont="1" applyFill="1" applyBorder="1" applyAlignment="1" applyProtection="1">
      <alignment horizontal="center"/>
    </xf>
    <xf numFmtId="3" fontId="63" fillId="0" borderId="7" xfId="4" applyNumberFormat="1" applyFont="1" applyBorder="1" applyAlignment="1" applyProtection="1">
      <alignment horizontal="center"/>
    </xf>
    <xf numFmtId="3" fontId="66" fillId="0" borderId="7" xfId="0" applyNumberFormat="1" applyFont="1" applyFill="1" applyBorder="1" applyAlignment="1">
      <alignment horizontal="center"/>
    </xf>
    <xf numFmtId="0" fontId="63" fillId="0" borderId="7" xfId="0" applyFont="1" applyFill="1" applyBorder="1" applyAlignment="1">
      <alignment horizontal="center"/>
    </xf>
    <xf numFmtId="0" fontId="63" fillId="0" borderId="7" xfId="0" applyFont="1" applyBorder="1" applyAlignment="1">
      <alignment horizontal="center"/>
    </xf>
    <xf numFmtId="3" fontId="64" fillId="0" borderId="7" xfId="4" applyNumberFormat="1" applyFont="1" applyBorder="1" applyAlignment="1" applyProtection="1">
      <alignment horizontal="center"/>
    </xf>
    <xf numFmtId="164" fontId="66" fillId="0" borderId="7" xfId="1" applyNumberFormat="1" applyFont="1" applyFill="1" applyBorder="1" applyAlignment="1">
      <alignment horizontal="center"/>
    </xf>
    <xf numFmtId="167" fontId="66" fillId="0" borderId="7" xfId="0" applyNumberFormat="1" applyFont="1" applyFill="1" applyBorder="1" applyAlignment="1">
      <alignment horizontal="center"/>
    </xf>
    <xf numFmtId="164" fontId="66" fillId="0" borderId="7" xfId="0" applyNumberFormat="1" applyFont="1" applyFill="1" applyBorder="1" applyAlignment="1">
      <alignment horizontal="center"/>
    </xf>
    <xf numFmtId="0" fontId="63" fillId="0" borderId="7" xfId="0" quotePrefix="1" applyFont="1" applyFill="1" applyBorder="1" applyAlignment="1">
      <alignment horizontal="center"/>
    </xf>
    <xf numFmtId="0" fontId="67" fillId="0" borderId="7" xfId="7" applyFont="1" applyFill="1" applyBorder="1" applyAlignment="1">
      <alignment horizontal="center"/>
    </xf>
    <xf numFmtId="1" fontId="66" fillId="0" borderId="7" xfId="0" applyNumberFormat="1" applyFont="1" applyBorder="1" applyAlignment="1">
      <alignment horizontal="center"/>
    </xf>
    <xf numFmtId="1" fontId="66" fillId="0" borderId="7" xfId="0" applyNumberFormat="1" applyFont="1" applyFill="1" applyBorder="1" applyAlignment="1">
      <alignment horizontal="center"/>
    </xf>
    <xf numFmtId="1" fontId="66" fillId="6" borderId="7" xfId="0" applyNumberFormat="1" applyFont="1" applyFill="1" applyBorder="1" applyAlignment="1">
      <alignment horizontal="center"/>
    </xf>
    <xf numFmtId="1" fontId="63" fillId="0" borderId="7" xfId="0" applyNumberFormat="1" applyFont="1" applyFill="1" applyBorder="1" applyAlignment="1">
      <alignment horizontal="center"/>
    </xf>
    <xf numFmtId="3" fontId="63" fillId="0" borderId="7" xfId="4" applyNumberFormat="1" applyFont="1" applyFill="1" applyBorder="1" applyAlignment="1">
      <alignment horizontal="center"/>
    </xf>
    <xf numFmtId="0" fontId="67" fillId="0" borderId="7" xfId="6" quotePrefix="1" applyFont="1" applyFill="1" applyBorder="1" applyAlignment="1">
      <alignment horizontal="center" vertical="center"/>
    </xf>
    <xf numFmtId="0" fontId="39" fillId="0" borderId="7" xfId="0" applyFont="1" applyBorder="1" applyAlignment="1">
      <alignment horizontal="center"/>
    </xf>
    <xf numFmtId="0" fontId="39" fillId="0" borderId="0" xfId="0" applyFont="1" applyAlignment="1">
      <alignment horizontal="center"/>
    </xf>
    <xf numFmtId="0" fontId="63" fillId="0" borderId="7" xfId="0" applyFont="1" applyFill="1" applyBorder="1" applyAlignment="1">
      <alignment horizontal="right" vertical="center"/>
    </xf>
    <xf numFmtId="0" fontId="63" fillId="0" borderId="122" xfId="6" applyFont="1" applyFill="1" applyBorder="1" applyAlignment="1">
      <alignment horizontal="right" vertical="center"/>
    </xf>
    <xf numFmtId="0" fontId="63" fillId="0" borderId="114" xfId="6" applyFont="1" applyFill="1" applyBorder="1" applyAlignment="1">
      <alignment horizontal="right" vertical="center"/>
    </xf>
    <xf numFmtId="0" fontId="66" fillId="0" borderId="7" xfId="0" applyFont="1" applyBorder="1" applyAlignment="1"/>
    <xf numFmtId="166" fontId="63" fillId="0" borderId="7" xfId="0" applyNumberFormat="1" applyFont="1" applyFill="1" applyBorder="1" applyAlignment="1" applyProtection="1"/>
    <xf numFmtId="3" fontId="63" fillId="0" borderId="7" xfId="0" quotePrefix="1" applyNumberFormat="1" applyFont="1" applyFill="1" applyBorder="1" applyAlignment="1" applyProtection="1"/>
    <xf numFmtId="166" fontId="63" fillId="0" borderId="7" xfId="0" quotePrefix="1" applyNumberFormat="1" applyFont="1" applyFill="1" applyBorder="1" applyAlignment="1" applyProtection="1"/>
    <xf numFmtId="1" fontId="63" fillId="0" borderId="7" xfId="1" applyNumberFormat="1" applyFont="1" applyFill="1" applyBorder="1" applyAlignment="1"/>
    <xf numFmtId="1" fontId="63" fillId="0" borderId="7" xfId="0" applyNumberFormat="1" applyFont="1" applyFill="1" applyBorder="1" applyAlignment="1"/>
    <xf numFmtId="3" fontId="66" fillId="0" borderId="7" xfId="0" applyNumberFormat="1" applyFont="1" applyFill="1" applyBorder="1" applyAlignment="1"/>
    <xf numFmtId="0" fontId="0" fillId="0" borderId="0" xfId="0" applyAlignment="1"/>
    <xf numFmtId="1" fontId="66" fillId="0" borderId="7" xfId="1" applyNumberFormat="1" applyFont="1" applyFill="1" applyBorder="1" applyAlignment="1"/>
    <xf numFmtId="1" fontId="66" fillId="0" borderId="7" xfId="1" applyNumberFormat="1" applyFont="1" applyFill="1" applyBorder="1" applyAlignment="1">
      <alignment vertical="center"/>
    </xf>
    <xf numFmtId="0" fontId="2" fillId="9" borderId="24" xfId="4" applyFont="1" applyFill="1" applyBorder="1" applyAlignment="1">
      <alignment horizontal="center" vertical="center"/>
    </xf>
    <xf numFmtId="0" fontId="2" fillId="9" borderId="25" xfId="4" applyFont="1" applyFill="1" applyBorder="1" applyAlignment="1">
      <alignment horizontal="center" vertical="center"/>
    </xf>
    <xf numFmtId="0" fontId="2" fillId="9" borderId="23" xfId="4" applyFont="1" applyFill="1" applyBorder="1" applyAlignment="1">
      <alignment horizontal="center" vertical="center"/>
    </xf>
    <xf numFmtId="0" fontId="2" fillId="9" borderId="23" xfId="0" applyFont="1" applyFill="1" applyBorder="1" applyAlignment="1">
      <alignment horizontal="center"/>
    </xf>
    <xf numFmtId="0" fontId="2" fillId="9" borderId="25" xfId="0" applyFont="1" applyFill="1" applyBorder="1" applyAlignment="1">
      <alignment horizontal="center"/>
    </xf>
    <xf numFmtId="0" fontId="49" fillId="9" borderId="23" xfId="6" applyFont="1" applyFill="1" applyBorder="1" applyAlignment="1">
      <alignment horizontal="center" vertical="center"/>
    </xf>
    <xf numFmtId="0" fontId="49" fillId="9" borderId="24" xfId="6" applyFont="1" applyFill="1" applyBorder="1" applyAlignment="1">
      <alignment horizontal="center" vertical="center"/>
    </xf>
    <xf numFmtId="0" fontId="49" fillId="9" borderId="25" xfId="6" applyFont="1" applyFill="1" applyBorder="1" applyAlignment="1">
      <alignment horizontal="center" vertical="center"/>
    </xf>
    <xf numFmtId="0" fontId="26" fillId="10" borderId="88" xfId="0" applyFont="1" applyFill="1" applyBorder="1" applyAlignment="1">
      <alignment horizontal="center"/>
    </xf>
    <xf numFmtId="0" fontId="26" fillId="10" borderId="89" xfId="0" applyFont="1" applyFill="1" applyBorder="1" applyAlignment="1">
      <alignment horizontal="center"/>
    </xf>
    <xf numFmtId="0" fontId="26" fillId="10" borderId="90" xfId="0" applyFont="1" applyFill="1" applyBorder="1" applyAlignment="1">
      <alignment horizontal="center"/>
    </xf>
    <xf numFmtId="0" fontId="26" fillId="10" borderId="88" xfId="0" applyFont="1" applyFill="1" applyBorder="1" applyAlignment="1">
      <alignment horizontal="center" vertical="center"/>
    </xf>
    <xf numFmtId="0" fontId="26" fillId="10" borderId="89" xfId="0" applyFont="1" applyFill="1" applyBorder="1" applyAlignment="1">
      <alignment horizontal="center" vertical="center"/>
    </xf>
    <xf numFmtId="0" fontId="26" fillId="10" borderId="90" xfId="0" applyFont="1" applyFill="1" applyBorder="1" applyAlignment="1">
      <alignment horizontal="center" vertical="center"/>
    </xf>
    <xf numFmtId="0" fontId="26" fillId="0" borderId="88" xfId="0" applyFont="1" applyFill="1" applyBorder="1" applyAlignment="1">
      <alignment horizontal="center" vertical="center"/>
    </xf>
    <xf numFmtId="0" fontId="26" fillId="0" borderId="89" xfId="0" applyFont="1" applyFill="1" applyBorder="1" applyAlignment="1">
      <alignment horizontal="center" vertical="center"/>
    </xf>
    <xf numFmtId="0" fontId="26" fillId="0" borderId="90" xfId="0" applyFont="1" applyFill="1" applyBorder="1" applyAlignment="1">
      <alignment horizontal="center" vertical="center"/>
    </xf>
    <xf numFmtId="0" fontId="26" fillId="0" borderId="88" xfId="0" applyFont="1" applyFill="1" applyBorder="1" applyAlignment="1">
      <alignment horizontal="center"/>
    </xf>
    <xf numFmtId="0" fontId="26" fillId="0" borderId="89" xfId="0" applyFont="1" applyFill="1" applyBorder="1" applyAlignment="1">
      <alignment horizontal="center"/>
    </xf>
    <xf numFmtId="0" fontId="26" fillId="0" borderId="90" xfId="0" applyFont="1" applyFill="1" applyBorder="1" applyAlignment="1">
      <alignment horizontal="center"/>
    </xf>
    <xf numFmtId="3" fontId="20" fillId="0" borderId="63" xfId="0" applyNumberFormat="1" applyFont="1" applyBorder="1" applyAlignment="1" applyProtection="1">
      <alignment horizontal="center"/>
    </xf>
    <xf numFmtId="3" fontId="20" fillId="0" borderId="80" xfId="0" applyNumberFormat="1" applyFont="1" applyBorder="1" applyAlignment="1" applyProtection="1">
      <alignment horizontal="center"/>
    </xf>
    <xf numFmtId="3" fontId="9" fillId="0" borderId="23" xfId="0" applyNumberFormat="1" applyFont="1" applyBorder="1" applyAlignment="1" applyProtection="1">
      <alignment horizontal="center"/>
    </xf>
    <xf numFmtId="3" fontId="9" fillId="0" borderId="24" xfId="0" applyNumberFormat="1" applyFont="1" applyBorder="1" applyAlignment="1" applyProtection="1">
      <alignment horizontal="center"/>
    </xf>
    <xf numFmtId="3" fontId="9" fillId="0" borderId="25" xfId="0" applyNumberFormat="1" applyFont="1" applyBorder="1" applyAlignment="1" applyProtection="1">
      <alignment horizontal="center"/>
    </xf>
    <xf numFmtId="3" fontId="9" fillId="0" borderId="7" xfId="0" applyNumberFormat="1" applyFont="1" applyBorder="1" applyAlignment="1" applyProtection="1">
      <alignment horizontal="center"/>
    </xf>
    <xf numFmtId="3" fontId="22" fillId="0" borderId="23" xfId="0" applyNumberFormat="1" applyFont="1" applyBorder="1" applyAlignment="1" applyProtection="1">
      <alignment horizontal="center"/>
    </xf>
    <xf numFmtId="3" fontId="22" fillId="0" borderId="91" xfId="0" applyNumberFormat="1" applyFont="1" applyBorder="1" applyAlignment="1" applyProtection="1">
      <alignment horizontal="center"/>
    </xf>
    <xf numFmtId="0" fontId="0" fillId="0" borderId="23" xfId="0" applyFill="1" applyBorder="1" applyAlignment="1">
      <alignment horizontal="center"/>
    </xf>
    <xf numFmtId="0" fontId="0" fillId="0" borderId="24" xfId="0" applyFill="1" applyBorder="1" applyAlignment="1">
      <alignment horizontal="center"/>
    </xf>
    <xf numFmtId="0" fontId="0" fillId="0" borderId="25" xfId="0" applyFill="1" applyBorder="1" applyAlignment="1">
      <alignment horizontal="center"/>
    </xf>
    <xf numFmtId="3" fontId="32" fillId="0" borderId="0" xfId="0" applyNumberFormat="1" applyFont="1" applyFill="1" applyBorder="1" applyAlignment="1" applyProtection="1">
      <alignment horizontal="center" vertical="center"/>
    </xf>
    <xf numFmtId="0" fontId="34" fillId="0" borderId="112" xfId="0" applyFont="1" applyFill="1" applyBorder="1" applyAlignment="1">
      <alignment horizontal="center" vertical="center"/>
    </xf>
    <xf numFmtId="0" fontId="34" fillId="0" borderId="112" xfId="0" applyFont="1" applyFill="1" applyBorder="1" applyAlignment="1">
      <alignment horizontal="center"/>
    </xf>
    <xf numFmtId="0" fontId="34" fillId="0" borderId="113" xfId="0" applyFont="1" applyFill="1" applyBorder="1" applyAlignment="1">
      <alignment horizontal="center"/>
    </xf>
    <xf numFmtId="0" fontId="0" fillId="0" borderId="23" xfId="0" applyFill="1" applyBorder="1" applyAlignment="1">
      <alignment horizontal="center" vertical="center"/>
    </xf>
    <xf numFmtId="0" fontId="0" fillId="0" borderId="24" xfId="0" applyFill="1" applyBorder="1" applyAlignment="1">
      <alignment horizontal="center" vertical="center"/>
    </xf>
    <xf numFmtId="0" fontId="0" fillId="0" borderId="25" xfId="0" applyFill="1" applyBorder="1" applyAlignment="1">
      <alignment horizontal="center" vertical="center"/>
    </xf>
    <xf numFmtId="0" fontId="43" fillId="0" borderId="118" xfId="0" applyFont="1" applyFill="1" applyBorder="1" applyAlignment="1">
      <alignment horizontal="center" vertical="center"/>
    </xf>
    <xf numFmtId="0" fontId="43" fillId="0" borderId="119" xfId="0" applyFont="1" applyFill="1" applyBorder="1" applyAlignment="1">
      <alignment horizontal="center" vertical="center"/>
    </xf>
    <xf numFmtId="0" fontId="43" fillId="0" borderId="120" xfId="0" applyFont="1" applyFill="1" applyBorder="1" applyAlignment="1">
      <alignment horizontal="center" vertical="center"/>
    </xf>
    <xf numFmtId="0" fontId="52" fillId="0" borderId="7" xfId="0" applyFont="1" applyFill="1" applyBorder="1" applyAlignment="1">
      <alignment horizontal="center"/>
    </xf>
    <xf numFmtId="0" fontId="31" fillId="0" borderId="23" xfId="0" applyFont="1" applyFill="1" applyBorder="1" applyAlignment="1">
      <alignment horizontal="center"/>
    </xf>
    <xf numFmtId="0" fontId="31" fillId="0" borderId="25" xfId="0" applyFont="1" applyFill="1" applyBorder="1" applyAlignment="1">
      <alignment horizontal="center"/>
    </xf>
    <xf numFmtId="0" fontId="52" fillId="0" borderId="7" xfId="0" applyFont="1" applyBorder="1" applyAlignment="1">
      <alignment horizontal="center"/>
    </xf>
    <xf numFmtId="0" fontId="49" fillId="0" borderId="112" xfId="6" applyFont="1" applyFill="1" applyBorder="1" applyAlignment="1">
      <alignment horizontal="center" vertical="center"/>
    </xf>
    <xf numFmtId="0" fontId="2" fillId="0" borderId="112" xfId="0" applyFont="1" applyFill="1" applyBorder="1" applyAlignment="1">
      <alignment horizontal="center" vertical="center"/>
    </xf>
    <xf numFmtId="0" fontId="2" fillId="9" borderId="7" xfId="0" applyFont="1" applyFill="1" applyBorder="1" applyAlignment="1">
      <alignment horizontal="center"/>
    </xf>
    <xf numFmtId="167" fontId="2" fillId="9" borderId="23" xfId="1" applyNumberFormat="1" applyFont="1" applyFill="1" applyBorder="1" applyAlignment="1">
      <alignment horizontal="center"/>
    </xf>
    <xf numFmtId="167" fontId="2" fillId="9" borderId="24" xfId="1" applyNumberFormat="1" applyFont="1" applyFill="1" applyBorder="1" applyAlignment="1">
      <alignment horizontal="center"/>
    </xf>
    <xf numFmtId="167" fontId="2" fillId="9" borderId="25" xfId="1" applyNumberFormat="1" applyFont="1" applyFill="1" applyBorder="1" applyAlignment="1">
      <alignment horizontal="center"/>
    </xf>
    <xf numFmtId="166" fontId="63" fillId="0" borderId="7" xfId="0" applyNumberFormat="1" applyFont="1" applyFill="1" applyBorder="1" applyAlignment="1" applyProtection="1">
      <alignment horizontal="center"/>
    </xf>
    <xf numFmtId="166" fontId="63" fillId="0" borderId="7" xfId="0" applyNumberFormat="1" applyFont="1" applyBorder="1" applyAlignment="1" applyProtection="1">
      <alignment horizontal="center"/>
    </xf>
  </cellXfs>
  <cellStyles count="8">
    <cellStyle name="Euro - Style1" xfId="3" xr:uid="{00000000-0005-0000-0000-000000000000}"/>
    <cellStyle name="Milliers" xfId="1" builtinId="3"/>
    <cellStyle name="Milliers 2" xfId="5" xr:uid="{00000000-0005-0000-0000-000002000000}"/>
    <cellStyle name="Normal" xfId="0" builtinId="0"/>
    <cellStyle name="Normal 2 2" xfId="4" xr:uid="{00000000-0005-0000-0000-000004000000}"/>
    <cellStyle name="Normal 9" xfId="7" xr:uid="{00000000-0005-0000-0000-000005000000}"/>
    <cellStyle name="Normal_Feuil3" xfId="6" xr:uid="{00000000-0005-0000-0000-000006000000}"/>
    <cellStyle name="Pourcentage" xfId="2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19050</xdr:colOff>
      <xdr:row>189</xdr:row>
      <xdr:rowOff>28575</xdr:rowOff>
    </xdr:from>
    <xdr:ext cx="18531" cy="346948"/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>
          <a:spLocks noChangeArrowheads="1"/>
        </xdr:cNvSpPr>
      </xdr:nvSpPr>
      <xdr:spPr bwMode="auto">
        <a:xfrm>
          <a:off x="3190875" y="47301150"/>
          <a:ext cx="18531" cy="34694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endParaRPr lang="fr-FR" sz="1000" b="1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1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oneCellAnchor>
  <xdr:oneCellAnchor>
    <xdr:from>
      <xdr:col>2</xdr:col>
      <xdr:colOff>0</xdr:colOff>
      <xdr:row>525</xdr:row>
      <xdr:rowOff>0</xdr:rowOff>
    </xdr:from>
    <xdr:ext cx="27765" cy="429492"/>
    <xdr:sp macro="" textlink="">
      <xdr:nvSpPr>
        <xdr:cNvPr id="3" name="Text Box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>
          <a:spLocks noChangeArrowheads="1"/>
        </xdr:cNvSpPr>
      </xdr:nvSpPr>
      <xdr:spPr bwMode="auto">
        <a:xfrm>
          <a:off x="2371725" y="130749675"/>
          <a:ext cx="27765" cy="42949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27432" tIns="27432" rIns="0" bIns="0" anchor="t" upright="1">
          <a:spAutoFit/>
        </a:bodyPr>
        <a:lstStyle/>
        <a:p>
          <a:pPr algn="l" rtl="0">
            <a:defRPr sz="1000"/>
          </a:pPr>
          <a:endParaRPr lang="fr-FR" sz="1200" b="1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200" b="1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0</xdr:colOff>
      <xdr:row>178</xdr:row>
      <xdr:rowOff>0</xdr:rowOff>
    </xdr:from>
    <xdr:ext cx="27765" cy="429492"/>
    <xdr:sp macro="" textlink="">
      <xdr:nvSpPr>
        <xdr:cNvPr id="2" name="Text Box 2">
          <a:extLst>
            <a:ext uri="{FF2B5EF4-FFF2-40B4-BE49-F238E27FC236}">
              <a16:creationId xmlns:a16="http://schemas.microsoft.com/office/drawing/2014/main" id="{B44AEE1A-D93B-42CD-840C-C97137E787F1}"/>
            </a:ext>
          </a:extLst>
        </xdr:cNvPr>
        <xdr:cNvSpPr txBox="1">
          <a:spLocks noChangeArrowheads="1"/>
        </xdr:cNvSpPr>
      </xdr:nvSpPr>
      <xdr:spPr bwMode="auto">
        <a:xfrm>
          <a:off x="1695450" y="101145975"/>
          <a:ext cx="27765" cy="42949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27432" tIns="27432" rIns="0" bIns="0" anchor="t" upright="1">
          <a:spAutoFit/>
        </a:bodyPr>
        <a:lstStyle/>
        <a:p>
          <a:pPr algn="l" rtl="0">
            <a:defRPr sz="1000"/>
          </a:pPr>
          <a:endParaRPr lang="fr-FR" sz="1200" b="1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200" b="1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19050</xdr:colOff>
      <xdr:row>56</xdr:row>
      <xdr:rowOff>0</xdr:rowOff>
    </xdr:from>
    <xdr:ext cx="18531" cy="346948"/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id="{41ADF0A3-4182-470A-90B3-5631E99FF85B}"/>
            </a:ext>
          </a:extLst>
        </xdr:cNvPr>
        <xdr:cNvSpPr txBox="1">
          <a:spLocks noChangeArrowheads="1"/>
        </xdr:cNvSpPr>
      </xdr:nvSpPr>
      <xdr:spPr bwMode="auto">
        <a:xfrm>
          <a:off x="2476500" y="36852225"/>
          <a:ext cx="18531" cy="34694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endParaRPr lang="fr-FR" sz="1000" b="1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1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W1045"/>
  <sheetViews>
    <sheetView topLeftCell="A728" zoomScale="80" zoomScaleNormal="80" workbookViewId="0">
      <selection activeCell="I1049" sqref="I1049"/>
    </sheetView>
  </sheetViews>
  <sheetFormatPr baseColWidth="10" defaultRowHeight="15" x14ac:dyDescent="0.25"/>
  <cols>
    <col min="2" max="2" width="14" customWidth="1"/>
    <col min="4" max="4" width="12.85546875" customWidth="1"/>
    <col min="5" max="5" width="14.140625" customWidth="1"/>
    <col min="7" max="7" width="12.85546875" customWidth="1"/>
    <col min="8" max="8" width="14.140625" customWidth="1"/>
    <col min="10" max="10" width="14" customWidth="1"/>
    <col min="16" max="16" width="13.5703125" customWidth="1"/>
    <col min="19" max="19" width="13" customWidth="1"/>
    <col min="20" max="20" width="14.42578125" customWidth="1"/>
    <col min="21" max="21" width="14.140625" customWidth="1"/>
    <col min="23" max="23" width="15" customWidth="1"/>
    <col min="24" max="24" width="14.5703125" customWidth="1"/>
    <col min="27" max="27" width="17" customWidth="1"/>
    <col min="39" max="39" width="17.85546875" customWidth="1"/>
  </cols>
  <sheetData>
    <row r="1" spans="1:29" ht="15.75" x14ac:dyDescent="0.25">
      <c r="A1" s="1"/>
      <c r="B1" s="2" t="s">
        <v>0</v>
      </c>
      <c r="C1" s="1"/>
      <c r="D1" s="1"/>
      <c r="E1" s="1"/>
      <c r="F1" s="1"/>
      <c r="G1" s="1"/>
      <c r="H1" s="1"/>
      <c r="I1" s="2" t="s">
        <v>1</v>
      </c>
      <c r="J1" s="1"/>
      <c r="K1" s="1"/>
      <c r="L1" s="1"/>
      <c r="M1" s="1"/>
      <c r="N1" s="1"/>
      <c r="O1" s="1"/>
      <c r="P1" s="1"/>
      <c r="Q1" s="1"/>
      <c r="R1" s="3"/>
      <c r="S1" s="3"/>
      <c r="T1" s="3"/>
      <c r="U1" s="3"/>
      <c r="V1" s="3"/>
      <c r="W1" s="4"/>
      <c r="X1" s="4"/>
      <c r="Y1" s="3"/>
      <c r="Z1" s="3"/>
      <c r="AA1" s="3"/>
      <c r="AB1" s="3"/>
      <c r="AC1" s="3"/>
    </row>
    <row r="2" spans="1:29" ht="15.75" x14ac:dyDescent="0.25">
      <c r="A2" s="5" t="s">
        <v>2</v>
      </c>
      <c r="B2" s="6"/>
      <c r="C2" s="7" t="s">
        <v>3</v>
      </c>
      <c r="D2" s="8"/>
      <c r="E2" s="6"/>
      <c r="F2" s="9" t="s">
        <v>4</v>
      </c>
      <c r="G2" s="8"/>
      <c r="H2" s="6"/>
      <c r="I2" s="7" t="s">
        <v>5</v>
      </c>
      <c r="J2" s="8"/>
      <c r="K2" s="6"/>
      <c r="L2" s="7" t="s">
        <v>6</v>
      </c>
      <c r="M2" s="8"/>
      <c r="N2" s="6"/>
      <c r="O2" s="7" t="s">
        <v>7</v>
      </c>
      <c r="P2" s="8"/>
      <c r="Q2" s="6"/>
      <c r="R2" s="7" t="s">
        <v>8</v>
      </c>
      <c r="S2" s="8"/>
      <c r="T2" s="6"/>
      <c r="U2" s="9" t="s">
        <v>9</v>
      </c>
      <c r="V2" s="8"/>
      <c r="W2" s="10" t="s">
        <v>10</v>
      </c>
      <c r="X2" s="11"/>
      <c r="Y2" s="3"/>
      <c r="Z2" s="3"/>
      <c r="AA2" s="3"/>
      <c r="AB2" s="3"/>
      <c r="AC2" s="3"/>
    </row>
    <row r="3" spans="1:29" ht="15.75" x14ac:dyDescent="0.25">
      <c r="A3" s="12" t="s">
        <v>11</v>
      </c>
      <c r="B3" s="13" t="s">
        <v>12</v>
      </c>
      <c r="C3" s="13" t="s">
        <v>13</v>
      </c>
      <c r="D3" s="13" t="s">
        <v>14</v>
      </c>
      <c r="E3" s="13" t="s">
        <v>12</v>
      </c>
      <c r="F3" s="13" t="s">
        <v>13</v>
      </c>
      <c r="G3" s="13" t="s">
        <v>14</v>
      </c>
      <c r="H3" s="13" t="s">
        <v>12</v>
      </c>
      <c r="I3" s="13" t="s">
        <v>13</v>
      </c>
      <c r="J3" s="13" t="s">
        <v>14</v>
      </c>
      <c r="K3" s="13" t="s">
        <v>12</v>
      </c>
      <c r="L3" s="13" t="s">
        <v>13</v>
      </c>
      <c r="M3" s="13" t="s">
        <v>14</v>
      </c>
      <c r="N3" s="13" t="s">
        <v>12</v>
      </c>
      <c r="O3" s="13" t="s">
        <v>13</v>
      </c>
      <c r="P3" s="13" t="s">
        <v>14</v>
      </c>
      <c r="Q3" s="13" t="s">
        <v>12</v>
      </c>
      <c r="R3" s="13" t="s">
        <v>13</v>
      </c>
      <c r="S3" s="13" t="s">
        <v>14</v>
      </c>
      <c r="T3" s="13" t="s">
        <v>12</v>
      </c>
      <c r="U3" s="13" t="s">
        <v>13</v>
      </c>
      <c r="V3" s="13" t="s">
        <v>14</v>
      </c>
      <c r="W3" s="14" t="s">
        <v>12</v>
      </c>
      <c r="X3" s="14" t="s">
        <v>14</v>
      </c>
      <c r="Y3" s="3"/>
      <c r="Z3" s="3"/>
      <c r="AA3" s="3"/>
      <c r="AB3" s="3"/>
      <c r="AC3" s="3"/>
    </row>
    <row r="4" spans="1:29" ht="15.75" x14ac:dyDescent="0.25">
      <c r="A4" s="15" t="s">
        <v>15</v>
      </c>
      <c r="B4" s="16">
        <v>90900</v>
      </c>
      <c r="C4" s="16">
        <v>356</v>
      </c>
      <c r="D4" s="16">
        <v>32360</v>
      </c>
      <c r="E4" s="16">
        <v>42800</v>
      </c>
      <c r="F4" s="16">
        <v>456</v>
      </c>
      <c r="G4" s="16">
        <v>19517</v>
      </c>
      <c r="H4" s="16">
        <v>300</v>
      </c>
      <c r="I4" s="16">
        <v>500</v>
      </c>
      <c r="J4" s="16">
        <v>150</v>
      </c>
      <c r="K4" s="16"/>
      <c r="L4" s="16"/>
      <c r="M4" s="16"/>
      <c r="N4" s="16">
        <v>4500</v>
      </c>
      <c r="O4" s="16">
        <v>600</v>
      </c>
      <c r="P4" s="16">
        <v>2700</v>
      </c>
      <c r="Q4" s="16"/>
      <c r="R4" s="16"/>
      <c r="S4" s="16"/>
      <c r="T4" s="16"/>
      <c r="U4" s="16"/>
      <c r="V4" s="16"/>
      <c r="W4" s="17">
        <v>138500</v>
      </c>
      <c r="X4" s="17">
        <v>54727</v>
      </c>
      <c r="Y4" s="3"/>
      <c r="Z4" s="3"/>
      <c r="AA4" s="3"/>
      <c r="AB4" s="3"/>
      <c r="AC4" s="3"/>
    </row>
    <row r="5" spans="1:29" ht="15.75" x14ac:dyDescent="0.25">
      <c r="A5" s="15" t="s">
        <v>16</v>
      </c>
      <c r="B5" s="18"/>
      <c r="C5" s="18"/>
      <c r="D5" s="18"/>
      <c r="E5" s="18"/>
      <c r="F5" s="18"/>
      <c r="G5" s="18"/>
      <c r="H5" s="18"/>
      <c r="I5" s="18"/>
      <c r="J5" s="18"/>
      <c r="K5" s="18"/>
      <c r="L5" s="18"/>
      <c r="M5" s="18"/>
      <c r="N5" s="18"/>
      <c r="O5" s="18"/>
      <c r="P5" s="18"/>
      <c r="Q5" s="18"/>
      <c r="R5" s="18"/>
      <c r="S5" s="16"/>
      <c r="T5" s="16"/>
      <c r="U5" s="16"/>
      <c r="V5" s="16"/>
      <c r="W5" s="19"/>
      <c r="X5" s="19"/>
      <c r="Y5" s="3"/>
      <c r="Z5" s="3"/>
      <c r="AA5" s="3"/>
      <c r="AB5" s="3"/>
      <c r="AC5" s="3"/>
    </row>
    <row r="6" spans="1:29" ht="15.75" x14ac:dyDescent="0.25">
      <c r="A6" s="15" t="s">
        <v>17</v>
      </c>
      <c r="B6" s="16">
        <v>46100</v>
      </c>
      <c r="C6" s="16">
        <v>137</v>
      </c>
      <c r="D6" s="16">
        <v>6316</v>
      </c>
      <c r="E6" s="16">
        <v>16000</v>
      </c>
      <c r="F6" s="16">
        <v>109</v>
      </c>
      <c r="G6" s="16">
        <v>1744</v>
      </c>
      <c r="H6" s="18" t="s">
        <v>18</v>
      </c>
      <c r="I6" s="18" t="s">
        <v>18</v>
      </c>
      <c r="J6" s="18" t="s">
        <v>18</v>
      </c>
      <c r="K6" s="18" t="s">
        <v>18</v>
      </c>
      <c r="L6" s="18" t="s">
        <v>18</v>
      </c>
      <c r="M6" s="18" t="s">
        <v>18</v>
      </c>
      <c r="N6" s="18" t="s">
        <v>18</v>
      </c>
      <c r="O6" s="18" t="s">
        <v>18</v>
      </c>
      <c r="P6" s="18" t="s">
        <v>18</v>
      </c>
      <c r="Q6" s="16"/>
      <c r="R6" s="16"/>
      <c r="S6" s="16"/>
      <c r="T6" s="16"/>
      <c r="U6" s="16"/>
      <c r="V6" s="16"/>
      <c r="W6" s="17">
        <v>62100</v>
      </c>
      <c r="X6" s="17">
        <v>8060</v>
      </c>
      <c r="Y6" s="3"/>
      <c r="Z6" s="3"/>
      <c r="AA6" s="3"/>
      <c r="AB6" s="3"/>
      <c r="AC6" s="3"/>
    </row>
    <row r="7" spans="1:29" ht="15.75" x14ac:dyDescent="0.25">
      <c r="A7" s="15" t="s">
        <v>19</v>
      </c>
      <c r="B7" s="16">
        <v>104500</v>
      </c>
      <c r="C7" s="16">
        <v>412</v>
      </c>
      <c r="D7" s="16">
        <v>43054</v>
      </c>
      <c r="E7" s="16">
        <v>90250</v>
      </c>
      <c r="F7" s="16">
        <v>592</v>
      </c>
      <c r="G7" s="16">
        <v>53428</v>
      </c>
      <c r="H7" s="16">
        <v>10730</v>
      </c>
      <c r="I7" s="16">
        <v>1762</v>
      </c>
      <c r="J7" s="16">
        <v>18910</v>
      </c>
      <c r="K7" s="16">
        <v>175</v>
      </c>
      <c r="L7" s="16">
        <v>2250</v>
      </c>
      <c r="M7" s="16">
        <v>394</v>
      </c>
      <c r="N7" s="16">
        <v>10000</v>
      </c>
      <c r="O7" s="16">
        <v>900</v>
      </c>
      <c r="P7" s="16">
        <v>9000</v>
      </c>
      <c r="Q7" s="16"/>
      <c r="R7" s="16"/>
      <c r="S7" s="16"/>
      <c r="T7" s="16"/>
      <c r="U7" s="16"/>
      <c r="V7" s="16"/>
      <c r="W7" s="17">
        <v>215655</v>
      </c>
      <c r="X7" s="17">
        <v>124786</v>
      </c>
      <c r="Y7" s="3"/>
      <c r="Z7" s="3"/>
      <c r="AA7" s="3"/>
      <c r="AB7" s="3"/>
      <c r="AC7" s="3"/>
    </row>
    <row r="8" spans="1:29" ht="15.75" x14ac:dyDescent="0.25">
      <c r="A8" s="15" t="s">
        <v>20</v>
      </c>
      <c r="B8" s="16">
        <v>15270</v>
      </c>
      <c r="C8" s="16">
        <v>487</v>
      </c>
      <c r="D8" s="16">
        <v>7435</v>
      </c>
      <c r="E8" s="16">
        <v>50700</v>
      </c>
      <c r="F8" s="16">
        <v>799</v>
      </c>
      <c r="G8" s="16">
        <v>40509</v>
      </c>
      <c r="H8" s="16">
        <v>200</v>
      </c>
      <c r="I8" s="16">
        <v>270</v>
      </c>
      <c r="J8" s="16">
        <v>54</v>
      </c>
      <c r="K8" s="18" t="s">
        <v>18</v>
      </c>
      <c r="L8" s="18" t="s">
        <v>18</v>
      </c>
      <c r="M8" s="18" t="s">
        <v>18</v>
      </c>
      <c r="N8" s="18" t="s">
        <v>18</v>
      </c>
      <c r="O8" s="18" t="s">
        <v>18</v>
      </c>
      <c r="P8" s="18" t="s">
        <v>18</v>
      </c>
      <c r="Q8" s="16"/>
      <c r="R8" s="16"/>
      <c r="S8" s="16"/>
      <c r="T8" s="16"/>
      <c r="U8" s="16"/>
      <c r="V8" s="16"/>
      <c r="W8" s="17">
        <v>66170</v>
      </c>
      <c r="X8" s="17">
        <v>47998</v>
      </c>
      <c r="Y8" s="3"/>
      <c r="Z8" s="3"/>
      <c r="AA8" s="3"/>
      <c r="AB8" s="3"/>
      <c r="AC8" s="3"/>
    </row>
    <row r="9" spans="1:29" ht="15.75" x14ac:dyDescent="0.25">
      <c r="A9" s="15" t="s">
        <v>21</v>
      </c>
      <c r="B9" s="16">
        <v>37000</v>
      </c>
      <c r="C9" s="16">
        <v>112</v>
      </c>
      <c r="D9" s="16">
        <v>4144</v>
      </c>
      <c r="E9" s="16">
        <v>800</v>
      </c>
      <c r="F9" s="16">
        <v>100</v>
      </c>
      <c r="G9" s="16">
        <v>80</v>
      </c>
      <c r="H9" s="16">
        <v>100</v>
      </c>
      <c r="I9" s="16">
        <v>400</v>
      </c>
      <c r="J9" s="16">
        <v>400</v>
      </c>
      <c r="K9" s="18" t="s">
        <v>18</v>
      </c>
      <c r="L9" s="18" t="s">
        <v>18</v>
      </c>
      <c r="M9" s="18" t="s">
        <v>18</v>
      </c>
      <c r="N9" s="18" t="s">
        <v>18</v>
      </c>
      <c r="O9" s="18" t="s">
        <v>18</v>
      </c>
      <c r="P9" s="18" t="s">
        <v>18</v>
      </c>
      <c r="Q9" s="16"/>
      <c r="R9" s="16"/>
      <c r="S9" s="16"/>
      <c r="T9" s="16"/>
      <c r="U9" s="16"/>
      <c r="V9" s="16"/>
      <c r="W9" s="17">
        <v>37900</v>
      </c>
      <c r="X9" s="17">
        <v>4624</v>
      </c>
      <c r="Y9" s="3"/>
      <c r="Z9" s="3"/>
      <c r="AA9" s="3"/>
      <c r="AB9" s="3"/>
      <c r="AC9" s="3"/>
    </row>
    <row r="10" spans="1:29" ht="15.75" x14ac:dyDescent="0.25">
      <c r="A10" s="15" t="s">
        <v>22</v>
      </c>
      <c r="B10" s="16">
        <v>61548</v>
      </c>
      <c r="C10" s="16">
        <v>7</v>
      </c>
      <c r="D10" s="16">
        <v>451</v>
      </c>
      <c r="E10" s="18" t="s">
        <v>18</v>
      </c>
      <c r="F10" s="18" t="s">
        <v>18</v>
      </c>
      <c r="G10" s="18" t="s">
        <v>18</v>
      </c>
      <c r="H10" s="16">
        <v>13020</v>
      </c>
      <c r="I10" s="16">
        <v>916</v>
      </c>
      <c r="J10" s="16">
        <v>11926</v>
      </c>
      <c r="K10" s="18" t="s">
        <v>18</v>
      </c>
      <c r="L10" s="18" t="s">
        <v>18</v>
      </c>
      <c r="M10" s="18" t="s">
        <v>18</v>
      </c>
      <c r="N10" s="18" t="s">
        <v>18</v>
      </c>
      <c r="O10" s="18" t="s">
        <v>18</v>
      </c>
      <c r="P10" s="18" t="s">
        <v>18</v>
      </c>
      <c r="Q10" s="16">
        <v>1897</v>
      </c>
      <c r="R10" s="16">
        <v>1393</v>
      </c>
      <c r="S10" s="16">
        <v>2642</v>
      </c>
      <c r="T10" s="16"/>
      <c r="U10" s="16"/>
      <c r="V10" s="16"/>
      <c r="W10" s="17">
        <v>76465</v>
      </c>
      <c r="X10" s="17">
        <v>15000</v>
      </c>
      <c r="Y10" s="3"/>
      <c r="Z10" s="3"/>
      <c r="AA10" s="3"/>
      <c r="AB10" s="3"/>
      <c r="AC10" s="3"/>
    </row>
    <row r="11" spans="1:29" ht="15.75" x14ac:dyDescent="0.25">
      <c r="A11" s="15" t="s">
        <v>23</v>
      </c>
      <c r="B11" s="16">
        <v>107200</v>
      </c>
      <c r="C11" s="16">
        <v>436</v>
      </c>
      <c r="D11" s="16">
        <v>46739</v>
      </c>
      <c r="E11" s="16">
        <v>52000</v>
      </c>
      <c r="F11" s="16">
        <v>500</v>
      </c>
      <c r="G11" s="16">
        <v>26000</v>
      </c>
      <c r="H11" s="16">
        <v>1300</v>
      </c>
      <c r="I11" s="16">
        <v>442</v>
      </c>
      <c r="J11" s="16">
        <v>575</v>
      </c>
      <c r="K11" s="18" t="s">
        <v>18</v>
      </c>
      <c r="L11" s="18" t="s">
        <v>18</v>
      </c>
      <c r="M11" s="18" t="s">
        <v>18</v>
      </c>
      <c r="N11" s="16">
        <v>3800</v>
      </c>
      <c r="O11" s="16">
        <v>830</v>
      </c>
      <c r="P11" s="16">
        <v>3154</v>
      </c>
      <c r="Q11" s="16"/>
      <c r="R11" s="16"/>
      <c r="S11" s="16"/>
      <c r="T11" s="16"/>
      <c r="U11" s="16"/>
      <c r="V11" s="16"/>
      <c r="W11" s="17">
        <v>164300</v>
      </c>
      <c r="X11" s="17">
        <v>76458</v>
      </c>
      <c r="Y11" s="3"/>
      <c r="Z11" s="3"/>
      <c r="AA11" s="3"/>
      <c r="AB11" s="3"/>
      <c r="AC11" s="3"/>
    </row>
    <row r="12" spans="1:29" ht="15.75" x14ac:dyDescent="0.25">
      <c r="A12" s="15" t="s">
        <v>24</v>
      </c>
      <c r="B12" s="16">
        <v>2730</v>
      </c>
      <c r="C12" s="16">
        <v>563</v>
      </c>
      <c r="D12" s="16">
        <v>1537</v>
      </c>
      <c r="E12" s="16">
        <v>13200</v>
      </c>
      <c r="F12" s="16">
        <v>675</v>
      </c>
      <c r="G12" s="16">
        <v>8910</v>
      </c>
      <c r="H12" s="16">
        <v>1570</v>
      </c>
      <c r="I12" s="16">
        <v>556</v>
      </c>
      <c r="J12" s="16">
        <v>873</v>
      </c>
      <c r="K12" s="16">
        <v>140</v>
      </c>
      <c r="L12" s="16">
        <v>1000</v>
      </c>
      <c r="M12" s="16">
        <v>140</v>
      </c>
      <c r="N12" s="16">
        <v>48000</v>
      </c>
      <c r="O12" s="16">
        <v>1000</v>
      </c>
      <c r="P12" s="16">
        <v>4800</v>
      </c>
      <c r="Q12" s="16"/>
      <c r="R12" s="16"/>
      <c r="S12" s="16"/>
      <c r="T12" s="16"/>
      <c r="U12" s="16"/>
      <c r="V12" s="16"/>
      <c r="W12" s="17">
        <v>65640</v>
      </c>
      <c r="X12" s="17">
        <v>594460</v>
      </c>
      <c r="Y12" s="3"/>
      <c r="Z12" s="3"/>
      <c r="AA12" s="3"/>
      <c r="AB12" s="3"/>
      <c r="AC12" s="3"/>
    </row>
    <row r="13" spans="1:29" ht="15.75" x14ac:dyDescent="0.25">
      <c r="A13" s="20" t="s">
        <v>25</v>
      </c>
      <c r="B13" s="21">
        <v>465248</v>
      </c>
      <c r="C13" s="21">
        <v>305</v>
      </c>
      <c r="D13" s="21">
        <v>142036</v>
      </c>
      <c r="E13" s="21">
        <v>265750</v>
      </c>
      <c r="F13" s="21">
        <v>565</v>
      </c>
      <c r="G13" s="21">
        <v>150188</v>
      </c>
      <c r="H13" s="21">
        <v>27220</v>
      </c>
      <c r="I13" s="21">
        <v>1208</v>
      </c>
      <c r="J13" s="21">
        <v>32888</v>
      </c>
      <c r="K13" s="21">
        <v>315</v>
      </c>
      <c r="L13" s="21">
        <v>1695</v>
      </c>
      <c r="M13" s="21">
        <v>634</v>
      </c>
      <c r="N13" s="21">
        <v>66300</v>
      </c>
      <c r="O13" s="21">
        <v>948</v>
      </c>
      <c r="P13" s="21">
        <v>62854</v>
      </c>
      <c r="Q13" s="21">
        <v>1897</v>
      </c>
      <c r="R13" s="21">
        <v>1393</v>
      </c>
      <c r="S13" s="21">
        <v>242</v>
      </c>
      <c r="T13" s="21"/>
      <c r="U13" s="21"/>
      <c r="V13" s="21"/>
      <c r="W13" s="22">
        <v>826730</v>
      </c>
      <c r="X13" s="22">
        <v>391142</v>
      </c>
      <c r="Y13" s="3"/>
      <c r="Z13" s="3"/>
      <c r="AA13" s="3"/>
      <c r="AB13" s="3"/>
      <c r="AC13" s="3"/>
    </row>
    <row r="14" spans="1:29" ht="15.75" x14ac:dyDescent="0.25">
      <c r="A14" s="15" t="s">
        <v>26</v>
      </c>
      <c r="B14" s="16">
        <v>31111</v>
      </c>
      <c r="C14" s="16">
        <v>749</v>
      </c>
      <c r="D14" s="16">
        <v>23302</v>
      </c>
      <c r="E14" s="16">
        <v>106154</v>
      </c>
      <c r="F14" s="16">
        <v>890</v>
      </c>
      <c r="G14" s="16">
        <v>94477</v>
      </c>
      <c r="H14" s="16">
        <v>17570</v>
      </c>
      <c r="I14" s="16">
        <v>835</v>
      </c>
      <c r="J14" s="16">
        <v>14671</v>
      </c>
      <c r="K14" s="16">
        <v>19820</v>
      </c>
      <c r="L14" s="16">
        <v>1317</v>
      </c>
      <c r="M14" s="16">
        <v>26103</v>
      </c>
      <c r="N14" s="16">
        <v>25000</v>
      </c>
      <c r="O14" s="16">
        <v>1200</v>
      </c>
      <c r="P14" s="16">
        <v>30000</v>
      </c>
      <c r="Q14" s="16"/>
      <c r="R14" s="16"/>
      <c r="S14" s="16"/>
      <c r="T14" s="16">
        <v>500</v>
      </c>
      <c r="U14" s="16"/>
      <c r="V14" s="16">
        <v>169</v>
      </c>
      <c r="W14" s="17">
        <v>200155</v>
      </c>
      <c r="X14" s="17">
        <v>188722</v>
      </c>
      <c r="Y14" s="3"/>
      <c r="Z14" s="3"/>
      <c r="AA14" s="3"/>
      <c r="AB14" s="3"/>
      <c r="AC14" s="3"/>
    </row>
    <row r="15" spans="1:29" ht="15.75" x14ac:dyDescent="0.25">
      <c r="A15" s="15" t="s">
        <v>27</v>
      </c>
      <c r="B15" s="16">
        <v>47886</v>
      </c>
      <c r="C15" s="16">
        <v>261</v>
      </c>
      <c r="D15" s="16">
        <v>12498</v>
      </c>
      <c r="E15" s="16">
        <v>85757</v>
      </c>
      <c r="F15" s="16">
        <v>612</v>
      </c>
      <c r="G15" s="16">
        <v>52483</v>
      </c>
      <c r="H15" s="16">
        <v>5758</v>
      </c>
      <c r="I15" s="16">
        <v>532</v>
      </c>
      <c r="J15" s="16">
        <v>3063</v>
      </c>
      <c r="K15" s="16">
        <v>26458</v>
      </c>
      <c r="L15" s="16">
        <v>1532</v>
      </c>
      <c r="M15" s="16">
        <v>40534</v>
      </c>
      <c r="N15" s="16">
        <v>5080</v>
      </c>
      <c r="O15" s="16">
        <v>450</v>
      </c>
      <c r="P15" s="16">
        <v>2286</v>
      </c>
      <c r="Q15" s="16"/>
      <c r="R15" s="16"/>
      <c r="S15" s="16"/>
      <c r="T15" s="16"/>
      <c r="U15" s="16"/>
      <c r="V15" s="16"/>
      <c r="W15" s="17">
        <v>170939</v>
      </c>
      <c r="X15" s="17">
        <v>110864</v>
      </c>
      <c r="Y15" s="3"/>
      <c r="Z15" s="3"/>
      <c r="AA15" s="3"/>
      <c r="AB15" s="3"/>
      <c r="AC15" s="3"/>
    </row>
    <row r="16" spans="1:29" ht="15.75" x14ac:dyDescent="0.25">
      <c r="A16" s="15" t="s">
        <v>28</v>
      </c>
      <c r="B16" s="16">
        <v>27985</v>
      </c>
      <c r="C16" s="16">
        <v>448</v>
      </c>
      <c r="D16" s="16">
        <v>12537</v>
      </c>
      <c r="E16" s="16">
        <v>47600</v>
      </c>
      <c r="F16" s="16">
        <v>468</v>
      </c>
      <c r="G16" s="16">
        <v>22277</v>
      </c>
      <c r="H16" s="16">
        <v>4344</v>
      </c>
      <c r="I16" s="16">
        <v>493</v>
      </c>
      <c r="J16" s="16">
        <v>2142</v>
      </c>
      <c r="K16" s="16">
        <v>7980</v>
      </c>
      <c r="L16" s="16">
        <v>950</v>
      </c>
      <c r="M16" s="16">
        <v>7581</v>
      </c>
      <c r="N16" s="18" t="s">
        <v>18</v>
      </c>
      <c r="O16" s="18" t="s">
        <v>18</v>
      </c>
      <c r="P16" s="18" t="s">
        <v>18</v>
      </c>
      <c r="Q16" s="16"/>
      <c r="R16" s="16"/>
      <c r="S16" s="16"/>
      <c r="T16" s="16">
        <v>208</v>
      </c>
      <c r="U16" s="16"/>
      <c r="V16" s="16">
        <v>116</v>
      </c>
      <c r="W16" s="17">
        <v>88117</v>
      </c>
      <c r="X16" s="17">
        <v>44653</v>
      </c>
      <c r="Y16" s="3"/>
      <c r="Z16" s="3"/>
      <c r="AA16" s="3"/>
      <c r="AB16" s="3"/>
      <c r="AC16" s="3"/>
    </row>
    <row r="17" spans="1:29" ht="15.75" x14ac:dyDescent="0.25">
      <c r="A17" s="15" t="s">
        <v>29</v>
      </c>
      <c r="B17" s="16">
        <v>20406</v>
      </c>
      <c r="C17" s="16">
        <v>487</v>
      </c>
      <c r="D17" s="16">
        <v>9938</v>
      </c>
      <c r="E17" s="16">
        <v>71887</v>
      </c>
      <c r="F17" s="16">
        <v>590</v>
      </c>
      <c r="G17" s="16">
        <v>42413</v>
      </c>
      <c r="H17" s="16">
        <v>8893</v>
      </c>
      <c r="I17" s="16">
        <v>495</v>
      </c>
      <c r="J17" s="16">
        <v>4402</v>
      </c>
      <c r="K17" s="16">
        <v>2890</v>
      </c>
      <c r="L17" s="16">
        <v>864</v>
      </c>
      <c r="M17" s="16">
        <v>2497</v>
      </c>
      <c r="N17" s="18" t="s">
        <v>18</v>
      </c>
      <c r="O17" s="18" t="s">
        <v>18</v>
      </c>
      <c r="P17" s="18" t="s">
        <v>18</v>
      </c>
      <c r="Q17" s="16"/>
      <c r="R17" s="16"/>
      <c r="S17" s="16"/>
      <c r="T17" s="16"/>
      <c r="U17" s="16"/>
      <c r="V17" s="16"/>
      <c r="W17" s="17">
        <v>104076</v>
      </c>
      <c r="X17" s="17">
        <v>59250</v>
      </c>
      <c r="Y17" s="3"/>
      <c r="Z17" s="3"/>
      <c r="AA17" s="3"/>
      <c r="AB17" s="3"/>
      <c r="AC17" s="3"/>
    </row>
    <row r="18" spans="1:29" ht="15.75" x14ac:dyDescent="0.25">
      <c r="A18" s="15" t="s">
        <v>30</v>
      </c>
      <c r="B18" s="16">
        <v>47201</v>
      </c>
      <c r="C18" s="16">
        <v>581</v>
      </c>
      <c r="D18" s="16">
        <v>27424</v>
      </c>
      <c r="E18" s="16">
        <v>98067</v>
      </c>
      <c r="F18" s="16">
        <v>771</v>
      </c>
      <c r="G18" s="16">
        <v>75610</v>
      </c>
      <c r="H18" s="16">
        <v>7028</v>
      </c>
      <c r="I18" s="16">
        <v>816</v>
      </c>
      <c r="J18" s="16">
        <v>5735</v>
      </c>
      <c r="K18" s="16">
        <v>2170</v>
      </c>
      <c r="L18" s="16">
        <v>797</v>
      </c>
      <c r="M18" s="16">
        <v>1929</v>
      </c>
      <c r="N18" s="16">
        <v>4285</v>
      </c>
      <c r="O18" s="16">
        <v>600</v>
      </c>
      <c r="P18" s="16">
        <v>2571</v>
      </c>
      <c r="Q18" s="16"/>
      <c r="R18" s="16"/>
      <c r="S18" s="16"/>
      <c r="T18" s="16"/>
      <c r="U18" s="16"/>
      <c r="V18" s="16"/>
      <c r="W18" s="17">
        <v>158751</v>
      </c>
      <c r="X18" s="17">
        <v>113069</v>
      </c>
      <c r="Y18" s="3"/>
      <c r="Z18" s="3"/>
      <c r="AA18" s="3"/>
      <c r="AB18" s="3"/>
      <c r="AC18" s="3"/>
    </row>
    <row r="19" spans="1:29" ht="15.75" x14ac:dyDescent="0.25">
      <c r="A19" s="23" t="s">
        <v>31</v>
      </c>
      <c r="B19" s="21">
        <v>174589</v>
      </c>
      <c r="C19" s="21">
        <v>491</v>
      </c>
      <c r="D19" s="21">
        <v>85699</v>
      </c>
      <c r="E19" s="21">
        <v>409465</v>
      </c>
      <c r="F19" s="21">
        <v>702</v>
      </c>
      <c r="G19" s="21">
        <v>287260</v>
      </c>
      <c r="H19" s="24">
        <v>43593</v>
      </c>
      <c r="I19" s="24">
        <v>688</v>
      </c>
      <c r="J19" s="24">
        <v>30013</v>
      </c>
      <c r="K19" s="24">
        <v>59318</v>
      </c>
      <c r="L19" s="24">
        <v>1322</v>
      </c>
      <c r="M19" s="24">
        <v>78444</v>
      </c>
      <c r="N19" s="24">
        <v>34365</v>
      </c>
      <c r="O19" s="24">
        <v>1014</v>
      </c>
      <c r="P19" s="24">
        <v>34857</v>
      </c>
      <c r="Q19" s="24"/>
      <c r="R19" s="24"/>
      <c r="S19" s="24"/>
      <c r="T19" s="24">
        <v>708</v>
      </c>
      <c r="U19" s="24"/>
      <c r="V19" s="24">
        <v>285</v>
      </c>
      <c r="W19" s="25">
        <v>722038</v>
      </c>
      <c r="X19" s="25">
        <v>516558</v>
      </c>
      <c r="Y19" s="3"/>
      <c r="Z19" s="3"/>
      <c r="AA19" s="3"/>
      <c r="AB19" s="3"/>
      <c r="AC19" s="3"/>
    </row>
    <row r="20" spans="1:29" ht="15.75" x14ac:dyDescent="0.25">
      <c r="A20" s="15" t="s">
        <v>32</v>
      </c>
      <c r="B20" s="16">
        <v>639837</v>
      </c>
      <c r="C20" s="16">
        <v>356</v>
      </c>
      <c r="D20" s="16">
        <v>227735</v>
      </c>
      <c r="E20" s="16">
        <v>675215</v>
      </c>
      <c r="F20" s="16">
        <v>648</v>
      </c>
      <c r="G20" s="6">
        <v>437448</v>
      </c>
      <c r="H20" s="26">
        <v>70813</v>
      </c>
      <c r="I20" s="26">
        <v>888</v>
      </c>
      <c r="J20" s="26">
        <v>62901</v>
      </c>
      <c r="K20" s="26">
        <v>69633</v>
      </c>
      <c r="L20" s="26">
        <v>1324</v>
      </c>
      <c r="M20" s="26">
        <v>78978</v>
      </c>
      <c r="N20" s="26">
        <v>100665</v>
      </c>
      <c r="O20" s="26">
        <v>971</v>
      </c>
      <c r="P20" s="26">
        <v>97711</v>
      </c>
      <c r="Q20" s="26">
        <v>1897</v>
      </c>
      <c r="R20" s="26">
        <v>1393</v>
      </c>
      <c r="S20" s="26">
        <v>2642</v>
      </c>
      <c r="T20" s="26">
        <v>708</v>
      </c>
      <c r="U20" s="26"/>
      <c r="V20" s="26">
        <v>285</v>
      </c>
      <c r="W20" s="27">
        <v>1548768</v>
      </c>
      <c r="X20" s="27">
        <v>907700</v>
      </c>
      <c r="Y20" s="3"/>
      <c r="Z20" s="3"/>
      <c r="AA20" s="3"/>
      <c r="AB20" s="3"/>
      <c r="AC20" s="3"/>
    </row>
    <row r="21" spans="1:29" ht="15.75" x14ac:dyDescent="0.25">
      <c r="A21" s="28"/>
      <c r="B21" s="28"/>
      <c r="C21" s="28"/>
      <c r="D21" s="28"/>
      <c r="E21" s="28"/>
      <c r="F21" s="28"/>
      <c r="G21" s="28"/>
      <c r="H21" s="29"/>
      <c r="I21" s="29"/>
      <c r="J21" s="29"/>
      <c r="K21" s="29"/>
      <c r="L21" s="29"/>
      <c r="M21" s="29"/>
      <c r="N21" s="29"/>
      <c r="O21" s="29"/>
      <c r="P21" s="29"/>
      <c r="Q21" s="29"/>
      <c r="R21" s="29"/>
      <c r="S21" s="29"/>
      <c r="T21" s="29"/>
      <c r="U21" s="29"/>
      <c r="V21" s="29"/>
      <c r="W21" s="30"/>
      <c r="X21" s="31"/>
      <c r="Y21" s="3"/>
      <c r="Z21" s="3"/>
      <c r="AA21" s="3"/>
      <c r="AB21" s="3"/>
      <c r="AC21" s="3"/>
    </row>
    <row r="22" spans="1:29" ht="15.75" x14ac:dyDescent="0.25">
      <c r="A22" s="1"/>
      <c r="B22" s="32" t="s">
        <v>33</v>
      </c>
      <c r="C22" s="1"/>
      <c r="D22" s="1"/>
      <c r="E22" s="1"/>
      <c r="F22" s="1"/>
      <c r="G22" s="1"/>
      <c r="H22" s="1"/>
      <c r="I22" s="1"/>
      <c r="J22" s="1"/>
      <c r="K22" s="1"/>
      <c r="L22" s="32" t="s">
        <v>34</v>
      </c>
      <c r="M22" s="1"/>
      <c r="N22" s="33"/>
      <c r="O22" s="32" t="s">
        <v>35</v>
      </c>
      <c r="P22" s="33"/>
      <c r="Q22" s="33"/>
      <c r="R22" s="1"/>
      <c r="S22" s="32" t="s">
        <v>36</v>
      </c>
      <c r="T22" s="1"/>
      <c r="U22" s="1"/>
      <c r="V22" s="1"/>
      <c r="W22" s="34"/>
      <c r="X22" s="34"/>
      <c r="Y22" s="3"/>
      <c r="Z22" s="3"/>
      <c r="AA22" s="3"/>
      <c r="AB22" s="3"/>
      <c r="AC22" s="3"/>
    </row>
    <row r="23" spans="1:29" ht="15.75" x14ac:dyDescent="0.25">
      <c r="A23" s="35" t="s">
        <v>2</v>
      </c>
      <c r="B23" s="6"/>
      <c r="C23" s="7" t="s">
        <v>37</v>
      </c>
      <c r="D23" s="8"/>
      <c r="E23" s="6"/>
      <c r="F23" s="7" t="s">
        <v>38</v>
      </c>
      <c r="G23" s="8"/>
      <c r="H23" s="6"/>
      <c r="I23" s="7" t="s">
        <v>39</v>
      </c>
      <c r="J23" s="8"/>
      <c r="K23" s="6"/>
      <c r="L23" s="9" t="s">
        <v>40</v>
      </c>
      <c r="M23" s="8"/>
      <c r="N23" s="6"/>
      <c r="O23" s="9" t="s">
        <v>41</v>
      </c>
      <c r="P23" s="8"/>
      <c r="Q23" s="6"/>
      <c r="R23" s="9" t="s">
        <v>42</v>
      </c>
      <c r="S23" s="8"/>
      <c r="T23" s="6"/>
      <c r="U23" s="9" t="s">
        <v>43</v>
      </c>
      <c r="V23" s="8"/>
      <c r="W23" s="36"/>
      <c r="X23" s="37" t="s">
        <v>44</v>
      </c>
      <c r="Y23" s="3"/>
      <c r="Z23" s="3"/>
      <c r="AA23" s="3"/>
      <c r="AB23" s="3"/>
      <c r="AC23" s="3"/>
    </row>
    <row r="24" spans="1:29" ht="15.75" x14ac:dyDescent="0.25">
      <c r="A24" s="12" t="s">
        <v>11</v>
      </c>
      <c r="B24" s="38" t="s">
        <v>12</v>
      </c>
      <c r="C24" s="13" t="s">
        <v>13</v>
      </c>
      <c r="D24" s="13" t="s">
        <v>14</v>
      </c>
      <c r="E24" s="13" t="s">
        <v>12</v>
      </c>
      <c r="F24" s="13" t="s">
        <v>13</v>
      </c>
      <c r="G24" s="13" t="s">
        <v>14</v>
      </c>
      <c r="H24" s="13" t="s">
        <v>12</v>
      </c>
      <c r="I24" s="13" t="s">
        <v>13</v>
      </c>
      <c r="J24" s="13" t="s">
        <v>14</v>
      </c>
      <c r="K24" s="13" t="s">
        <v>12</v>
      </c>
      <c r="L24" s="13" t="s">
        <v>13</v>
      </c>
      <c r="M24" s="13" t="s">
        <v>14</v>
      </c>
      <c r="N24" s="13" t="s">
        <v>12</v>
      </c>
      <c r="O24" s="13" t="s">
        <v>13</v>
      </c>
      <c r="P24" s="13" t="s">
        <v>14</v>
      </c>
      <c r="Q24" s="13" t="s">
        <v>12</v>
      </c>
      <c r="R24" s="13" t="s">
        <v>13</v>
      </c>
      <c r="S24" s="13" t="s">
        <v>14</v>
      </c>
      <c r="T24" s="13" t="s">
        <v>12</v>
      </c>
      <c r="U24" s="13" t="s">
        <v>13</v>
      </c>
      <c r="V24" s="13" t="s">
        <v>14</v>
      </c>
      <c r="W24" s="14" t="s">
        <v>12</v>
      </c>
      <c r="X24" s="14" t="s">
        <v>45</v>
      </c>
      <c r="Y24" s="3"/>
      <c r="Z24" s="3"/>
      <c r="AA24" s="3"/>
      <c r="AB24" s="3"/>
      <c r="AC24" s="3"/>
    </row>
    <row r="25" spans="1:29" ht="15.75" x14ac:dyDescent="0.25">
      <c r="A25" s="15" t="s">
        <v>15</v>
      </c>
      <c r="B25" s="39">
        <v>3600</v>
      </c>
      <c r="C25" s="39">
        <v>436</v>
      </c>
      <c r="D25" s="39">
        <v>1570</v>
      </c>
      <c r="E25" s="39">
        <v>14000</v>
      </c>
      <c r="F25" s="39">
        <v>13</v>
      </c>
      <c r="G25" s="39">
        <v>182</v>
      </c>
      <c r="H25" s="18" t="s">
        <v>18</v>
      </c>
      <c r="I25" s="18" t="s">
        <v>18</v>
      </c>
      <c r="J25" s="18" t="s">
        <v>18</v>
      </c>
      <c r="K25" s="39">
        <v>6900</v>
      </c>
      <c r="L25" s="39">
        <v>184</v>
      </c>
      <c r="M25" s="39">
        <v>1270</v>
      </c>
      <c r="N25" s="18" t="s">
        <v>18</v>
      </c>
      <c r="O25" s="18" t="s">
        <v>18</v>
      </c>
      <c r="P25" s="18" t="s">
        <v>18</v>
      </c>
      <c r="Q25" s="18" t="s">
        <v>18</v>
      </c>
      <c r="R25" s="18" t="s">
        <v>18</v>
      </c>
      <c r="S25" s="18" t="s">
        <v>18</v>
      </c>
      <c r="T25" s="18" t="s">
        <v>18</v>
      </c>
      <c r="U25" s="18" t="s">
        <v>18</v>
      </c>
      <c r="V25" s="18" t="s">
        <v>18</v>
      </c>
      <c r="W25" s="17">
        <v>24500</v>
      </c>
      <c r="X25" s="17">
        <v>3022</v>
      </c>
      <c r="Y25" s="3"/>
      <c r="Z25" s="3"/>
      <c r="AA25" s="3"/>
      <c r="AB25" s="3"/>
      <c r="AC25" s="3"/>
    </row>
    <row r="26" spans="1:29" ht="15.75" x14ac:dyDescent="0.25">
      <c r="A26" s="15" t="s">
        <v>17</v>
      </c>
      <c r="B26" s="39">
        <v>2245</v>
      </c>
      <c r="C26" s="39">
        <v>116</v>
      </c>
      <c r="D26" s="39">
        <v>260</v>
      </c>
      <c r="E26" s="39">
        <v>1200</v>
      </c>
      <c r="F26" s="39">
        <v>150</v>
      </c>
      <c r="G26" s="39">
        <v>180</v>
      </c>
      <c r="H26" s="18" t="s">
        <v>18</v>
      </c>
      <c r="I26" s="18" t="s">
        <v>18</v>
      </c>
      <c r="J26" s="18" t="s">
        <v>18</v>
      </c>
      <c r="K26" s="18" t="s">
        <v>18</v>
      </c>
      <c r="L26" s="18" t="s">
        <v>18</v>
      </c>
      <c r="M26" s="40" t="s">
        <v>18</v>
      </c>
      <c r="N26" s="18" t="s">
        <v>18</v>
      </c>
      <c r="O26" s="18" t="s">
        <v>18</v>
      </c>
      <c r="P26" s="18" t="s">
        <v>18</v>
      </c>
      <c r="Q26" s="18" t="s">
        <v>18</v>
      </c>
      <c r="R26" s="18" t="s">
        <v>18</v>
      </c>
      <c r="S26" s="18" t="s">
        <v>18</v>
      </c>
      <c r="T26" s="18" t="s">
        <v>18</v>
      </c>
      <c r="U26" s="18" t="s">
        <v>18</v>
      </c>
      <c r="V26" s="18" t="s">
        <v>18</v>
      </c>
      <c r="W26" s="19" t="s">
        <v>18</v>
      </c>
      <c r="X26" s="19" t="s">
        <v>18</v>
      </c>
      <c r="Y26" s="3"/>
      <c r="Z26" s="3"/>
      <c r="AA26" s="3"/>
      <c r="AB26" s="3"/>
      <c r="AC26" s="3"/>
    </row>
    <row r="27" spans="1:29" ht="15.75" x14ac:dyDescent="0.25">
      <c r="A27" s="15" t="s">
        <v>46</v>
      </c>
      <c r="B27" s="39">
        <v>41046</v>
      </c>
      <c r="C27" s="39">
        <v>311</v>
      </c>
      <c r="D27" s="39">
        <v>12765</v>
      </c>
      <c r="E27" s="39">
        <v>694</v>
      </c>
      <c r="F27" s="39">
        <v>250</v>
      </c>
      <c r="G27" s="39">
        <v>178</v>
      </c>
      <c r="H27" s="18" t="s">
        <v>18</v>
      </c>
      <c r="I27" s="18" t="s">
        <v>18</v>
      </c>
      <c r="J27" s="18" t="s">
        <v>18</v>
      </c>
      <c r="K27" s="39">
        <v>13179</v>
      </c>
      <c r="L27" s="39">
        <v>405</v>
      </c>
      <c r="M27" s="39">
        <v>5337</v>
      </c>
      <c r="N27" s="39">
        <v>10350</v>
      </c>
      <c r="O27" s="39">
        <v>14137</v>
      </c>
      <c r="P27" s="39">
        <v>146318</v>
      </c>
      <c r="Q27" s="16">
        <v>22425</v>
      </c>
      <c r="R27" s="16">
        <v>25675</v>
      </c>
      <c r="S27" s="16">
        <v>575762</v>
      </c>
      <c r="T27" s="18" t="s">
        <v>18</v>
      </c>
      <c r="U27" s="18" t="s">
        <v>18</v>
      </c>
      <c r="V27" s="18" t="s">
        <v>18</v>
      </c>
      <c r="W27" s="17">
        <v>87694</v>
      </c>
      <c r="X27" s="17">
        <v>740360</v>
      </c>
      <c r="Y27" s="3"/>
      <c r="Z27" s="3"/>
      <c r="AA27" s="3"/>
      <c r="AB27" s="3"/>
      <c r="AC27" s="3"/>
    </row>
    <row r="28" spans="1:29" ht="15.75" x14ac:dyDescent="0.25">
      <c r="A28" s="15" t="s">
        <v>20</v>
      </c>
      <c r="B28" s="39">
        <v>10205</v>
      </c>
      <c r="C28" s="39">
        <v>914</v>
      </c>
      <c r="D28" s="39">
        <v>9327</v>
      </c>
      <c r="E28" s="39">
        <v>10083</v>
      </c>
      <c r="F28" s="39">
        <v>443</v>
      </c>
      <c r="G28" s="39">
        <v>4467</v>
      </c>
      <c r="H28" s="18" t="s">
        <v>18</v>
      </c>
      <c r="I28" s="18" t="s">
        <v>18</v>
      </c>
      <c r="J28" s="18" t="s">
        <v>18</v>
      </c>
      <c r="K28" s="39">
        <v>520</v>
      </c>
      <c r="L28" s="39">
        <v>362</v>
      </c>
      <c r="M28" s="39">
        <v>188</v>
      </c>
      <c r="N28" s="18" t="s">
        <v>18</v>
      </c>
      <c r="O28" s="18" t="s">
        <v>18</v>
      </c>
      <c r="P28" s="18" t="s">
        <v>18</v>
      </c>
      <c r="Q28" s="18" t="s">
        <v>18</v>
      </c>
      <c r="R28" s="18" t="s">
        <v>18</v>
      </c>
      <c r="S28" s="18" t="s">
        <v>18</v>
      </c>
      <c r="T28" s="18" t="s">
        <v>18</v>
      </c>
      <c r="U28" s="18" t="s">
        <v>18</v>
      </c>
      <c r="V28" s="18" t="s">
        <v>18</v>
      </c>
      <c r="W28" s="17">
        <v>20808</v>
      </c>
      <c r="X28" s="17">
        <v>13982</v>
      </c>
      <c r="Y28" s="3"/>
      <c r="Z28" s="3"/>
      <c r="AA28" s="3"/>
      <c r="AB28" s="3"/>
      <c r="AC28" s="3"/>
    </row>
    <row r="29" spans="1:29" ht="15.75" x14ac:dyDescent="0.25">
      <c r="A29" s="15" t="s">
        <v>22</v>
      </c>
      <c r="B29" s="39">
        <v>66</v>
      </c>
      <c r="C29" s="39">
        <v>1515</v>
      </c>
      <c r="D29" s="39">
        <v>100</v>
      </c>
      <c r="E29" s="18" t="s">
        <v>18</v>
      </c>
      <c r="F29" s="18" t="s">
        <v>18</v>
      </c>
      <c r="G29" s="18" t="s">
        <v>18</v>
      </c>
      <c r="H29" s="18" t="s">
        <v>18</v>
      </c>
      <c r="I29" s="18" t="s">
        <v>18</v>
      </c>
      <c r="J29" s="18" t="s">
        <v>18</v>
      </c>
      <c r="K29" s="39">
        <v>893</v>
      </c>
      <c r="L29" s="39">
        <v>700</v>
      </c>
      <c r="M29" s="39">
        <v>625</v>
      </c>
      <c r="N29" s="39">
        <v>154</v>
      </c>
      <c r="O29" s="39">
        <v>14000</v>
      </c>
      <c r="P29" s="39">
        <v>2156</v>
      </c>
      <c r="Q29" s="18" t="s">
        <v>18</v>
      </c>
      <c r="R29" s="18" t="s">
        <v>18</v>
      </c>
      <c r="S29" s="18" t="s">
        <v>18</v>
      </c>
      <c r="T29" s="18" t="s">
        <v>18</v>
      </c>
      <c r="U29" s="18" t="s">
        <v>18</v>
      </c>
      <c r="V29" s="18" t="s">
        <v>18</v>
      </c>
      <c r="W29" s="17">
        <v>11113</v>
      </c>
      <c r="X29" s="17">
        <v>2881</v>
      </c>
      <c r="Y29" s="3"/>
      <c r="Z29" s="3"/>
      <c r="AA29" s="3"/>
      <c r="AB29" s="3"/>
      <c r="AC29" s="3"/>
    </row>
    <row r="30" spans="1:29" ht="15.75" x14ac:dyDescent="0.25">
      <c r="A30" s="15" t="s">
        <v>23</v>
      </c>
      <c r="B30" s="39">
        <v>42080</v>
      </c>
      <c r="C30" s="39">
        <v>1409</v>
      </c>
      <c r="D30" s="39">
        <v>59291</v>
      </c>
      <c r="E30" s="39">
        <v>2750</v>
      </c>
      <c r="F30" s="39">
        <v>386</v>
      </c>
      <c r="G30" s="39">
        <v>1062</v>
      </c>
      <c r="H30" s="18" t="s">
        <v>18</v>
      </c>
      <c r="I30" s="18" t="s">
        <v>18</v>
      </c>
      <c r="J30" s="18" t="s">
        <v>18</v>
      </c>
      <c r="K30" s="39">
        <v>1270</v>
      </c>
      <c r="L30" s="39">
        <v>609</v>
      </c>
      <c r="M30" s="39">
        <v>773</v>
      </c>
      <c r="N30" s="18" t="s">
        <v>18</v>
      </c>
      <c r="O30" s="18" t="s">
        <v>18</v>
      </c>
      <c r="P30" s="18" t="s">
        <v>18</v>
      </c>
      <c r="Q30" s="18" t="s">
        <v>18</v>
      </c>
      <c r="R30" s="18" t="s">
        <v>18</v>
      </c>
      <c r="S30" s="18" t="s">
        <v>18</v>
      </c>
      <c r="T30" s="18" t="s">
        <v>18</v>
      </c>
      <c r="U30" s="18" t="s">
        <v>18</v>
      </c>
      <c r="V30" s="18" t="s">
        <v>18</v>
      </c>
      <c r="W30" s="17">
        <v>46100</v>
      </c>
      <c r="X30" s="17">
        <v>61126</v>
      </c>
      <c r="Y30" s="3"/>
      <c r="Z30" s="3"/>
      <c r="AA30" s="3"/>
      <c r="AB30" s="3"/>
      <c r="AC30" s="3"/>
    </row>
    <row r="31" spans="1:29" ht="15.75" x14ac:dyDescent="0.25">
      <c r="A31" s="15" t="s">
        <v>24</v>
      </c>
      <c r="B31" s="39">
        <v>4615</v>
      </c>
      <c r="C31" s="39">
        <v>704</v>
      </c>
      <c r="D31" s="39">
        <v>3249</v>
      </c>
      <c r="E31" s="39">
        <v>880</v>
      </c>
      <c r="F31" s="39">
        <v>259</v>
      </c>
      <c r="G31" s="39">
        <v>228</v>
      </c>
      <c r="H31" s="18" t="s">
        <v>18</v>
      </c>
      <c r="I31" s="18" t="s">
        <v>18</v>
      </c>
      <c r="J31" s="18" t="s">
        <v>18</v>
      </c>
      <c r="K31" s="39">
        <v>409</v>
      </c>
      <c r="L31" s="39">
        <v>442</v>
      </c>
      <c r="M31" s="39">
        <v>181</v>
      </c>
      <c r="N31" s="18" t="s">
        <v>18</v>
      </c>
      <c r="O31" s="18" t="s">
        <v>18</v>
      </c>
      <c r="P31" s="18" t="s">
        <v>18</v>
      </c>
      <c r="Q31" s="18" t="s">
        <v>18</v>
      </c>
      <c r="R31" s="18" t="s">
        <v>18</v>
      </c>
      <c r="S31" s="18" t="s">
        <v>18</v>
      </c>
      <c r="T31" s="18" t="s">
        <v>18</v>
      </c>
      <c r="U31" s="18" t="s">
        <v>18</v>
      </c>
      <c r="V31" s="18" t="s">
        <v>18</v>
      </c>
      <c r="W31" s="17">
        <v>5904</v>
      </c>
      <c r="X31" s="17">
        <v>3658</v>
      </c>
      <c r="Y31" s="3"/>
      <c r="Z31" s="3"/>
      <c r="AA31" s="3"/>
      <c r="AB31" s="3"/>
      <c r="AC31" s="3"/>
    </row>
    <row r="32" spans="1:29" ht="15.75" x14ac:dyDescent="0.25">
      <c r="A32" s="20" t="s">
        <v>25</v>
      </c>
      <c r="B32" s="41">
        <v>103857</v>
      </c>
      <c r="C32" s="41">
        <v>833</v>
      </c>
      <c r="D32" s="41">
        <v>86562</v>
      </c>
      <c r="E32" s="41">
        <v>29607</v>
      </c>
      <c r="F32" s="41">
        <v>213</v>
      </c>
      <c r="G32" s="41">
        <v>6297</v>
      </c>
      <c r="H32" s="41"/>
      <c r="I32" s="41"/>
      <c r="J32" s="41"/>
      <c r="K32" s="41">
        <v>23171</v>
      </c>
      <c r="L32" s="41">
        <v>361</v>
      </c>
      <c r="M32" s="41">
        <v>8374</v>
      </c>
      <c r="N32" s="41">
        <v>10504</v>
      </c>
      <c r="O32" s="41">
        <v>14135</v>
      </c>
      <c r="P32" s="41">
        <v>148474</v>
      </c>
      <c r="Q32" s="42">
        <v>22425</v>
      </c>
      <c r="R32" s="42">
        <v>25675</v>
      </c>
      <c r="S32" s="42">
        <v>575762</v>
      </c>
      <c r="T32" s="43" t="s">
        <v>18</v>
      </c>
      <c r="U32" s="43" t="s">
        <v>18</v>
      </c>
      <c r="V32" s="43" t="s">
        <v>18</v>
      </c>
      <c r="W32" s="44">
        <v>189564</v>
      </c>
      <c r="X32" s="44">
        <v>825469</v>
      </c>
      <c r="Y32" s="3"/>
      <c r="Z32" s="3"/>
      <c r="AA32" s="3"/>
      <c r="AB32" s="3"/>
      <c r="AC32" s="3"/>
    </row>
    <row r="33" spans="1:29" ht="15.75" x14ac:dyDescent="0.25">
      <c r="A33" s="15" t="s">
        <v>47</v>
      </c>
      <c r="B33" s="39">
        <v>35386</v>
      </c>
      <c r="C33" s="39">
        <v>1028</v>
      </c>
      <c r="D33" s="39">
        <v>36377</v>
      </c>
      <c r="E33" s="39">
        <v>1022</v>
      </c>
      <c r="F33" s="39">
        <v>292</v>
      </c>
      <c r="G33" s="39">
        <v>298</v>
      </c>
      <c r="H33" s="39">
        <v>4604</v>
      </c>
      <c r="I33" s="39">
        <v>1139</v>
      </c>
      <c r="J33" s="39">
        <v>5244</v>
      </c>
      <c r="K33" s="39">
        <v>665</v>
      </c>
      <c r="L33" s="39">
        <v>734</v>
      </c>
      <c r="M33" s="39">
        <v>488</v>
      </c>
      <c r="N33" s="39">
        <v>73</v>
      </c>
      <c r="O33" s="39">
        <v>14000</v>
      </c>
      <c r="P33" s="39">
        <v>1088</v>
      </c>
      <c r="Q33" s="18" t="s">
        <v>18</v>
      </c>
      <c r="R33" s="18" t="s">
        <v>18</v>
      </c>
      <c r="S33" s="18" t="s">
        <v>18</v>
      </c>
      <c r="T33" s="16">
        <v>4436</v>
      </c>
      <c r="U33" s="16">
        <v>1899</v>
      </c>
      <c r="V33" s="16">
        <v>8424</v>
      </c>
      <c r="W33" s="17">
        <v>46186</v>
      </c>
      <c r="X33" s="17">
        <v>51919</v>
      </c>
      <c r="Y33" s="3"/>
      <c r="Z33" s="3"/>
      <c r="AA33" s="3"/>
      <c r="AB33" s="3"/>
      <c r="AC33" s="3"/>
    </row>
    <row r="34" spans="1:29" ht="15.75" x14ac:dyDescent="0.25">
      <c r="A34" s="15" t="s">
        <v>27</v>
      </c>
      <c r="B34" s="39">
        <v>32075</v>
      </c>
      <c r="C34" s="39">
        <v>968</v>
      </c>
      <c r="D34" s="39">
        <v>31049</v>
      </c>
      <c r="E34" s="39">
        <v>1936</v>
      </c>
      <c r="F34" s="39">
        <v>220</v>
      </c>
      <c r="G34" s="39">
        <v>426</v>
      </c>
      <c r="H34" s="39">
        <v>7495</v>
      </c>
      <c r="I34" s="39">
        <v>667</v>
      </c>
      <c r="J34" s="39">
        <v>4999</v>
      </c>
      <c r="K34" s="39">
        <v>42987</v>
      </c>
      <c r="L34" s="39">
        <v>620</v>
      </c>
      <c r="M34" s="39">
        <v>2664</v>
      </c>
      <c r="N34" s="39">
        <v>455</v>
      </c>
      <c r="O34" s="39">
        <v>12000</v>
      </c>
      <c r="P34" s="39">
        <v>5460</v>
      </c>
      <c r="Q34" s="18" t="s">
        <v>18</v>
      </c>
      <c r="R34" s="18" t="s">
        <v>18</v>
      </c>
      <c r="S34" s="18" t="s">
        <v>18</v>
      </c>
      <c r="T34" s="18" t="s">
        <v>18</v>
      </c>
      <c r="U34" s="18" t="s">
        <v>18</v>
      </c>
      <c r="V34" s="18" t="s">
        <v>18</v>
      </c>
      <c r="W34" s="17">
        <v>46258</v>
      </c>
      <c r="X34" s="17">
        <v>44598</v>
      </c>
      <c r="Y34" s="3"/>
      <c r="Z34" s="3"/>
      <c r="AA34" s="3"/>
      <c r="AB34" s="3"/>
      <c r="AC34" s="3"/>
    </row>
    <row r="35" spans="1:29" ht="15.75" x14ac:dyDescent="0.25">
      <c r="A35" s="15" t="s">
        <v>28</v>
      </c>
      <c r="B35" s="39">
        <v>59970</v>
      </c>
      <c r="C35" s="39">
        <v>1003</v>
      </c>
      <c r="D35" s="39">
        <v>60150</v>
      </c>
      <c r="E35" s="39">
        <v>8639</v>
      </c>
      <c r="F35" s="39">
        <v>267</v>
      </c>
      <c r="G35" s="39">
        <v>2307</v>
      </c>
      <c r="H35" s="39">
        <v>1147</v>
      </c>
      <c r="I35" s="39">
        <v>852</v>
      </c>
      <c r="J35" s="39">
        <v>977</v>
      </c>
      <c r="K35" s="39">
        <v>2880</v>
      </c>
      <c r="L35" s="39">
        <v>666</v>
      </c>
      <c r="M35" s="39">
        <v>1918</v>
      </c>
      <c r="N35" s="39">
        <v>1363</v>
      </c>
      <c r="O35" s="39">
        <v>13800</v>
      </c>
      <c r="P35" s="39">
        <v>18809</v>
      </c>
      <c r="Q35" s="18" t="s">
        <v>18</v>
      </c>
      <c r="R35" s="18" t="s">
        <v>18</v>
      </c>
      <c r="S35" s="18" t="s">
        <v>18</v>
      </c>
      <c r="T35" s="18" t="s">
        <v>18</v>
      </c>
      <c r="U35" s="18" t="s">
        <v>18</v>
      </c>
      <c r="V35" s="18" t="s">
        <v>18</v>
      </c>
      <c r="W35" s="17">
        <v>73999</v>
      </c>
      <c r="X35" s="17">
        <v>84161</v>
      </c>
      <c r="Y35" s="3"/>
      <c r="Z35" s="3"/>
      <c r="AA35" s="3"/>
      <c r="AB35" s="3"/>
      <c r="AC35" s="3"/>
    </row>
    <row r="36" spans="1:29" ht="15.75" x14ac:dyDescent="0.25">
      <c r="A36" s="15" t="s">
        <v>29</v>
      </c>
      <c r="B36" s="39">
        <v>30103</v>
      </c>
      <c r="C36" s="39">
        <v>585</v>
      </c>
      <c r="D36" s="39">
        <v>17610</v>
      </c>
      <c r="E36" s="39">
        <v>3335</v>
      </c>
      <c r="F36" s="39">
        <v>260</v>
      </c>
      <c r="G36" s="39">
        <v>867</v>
      </c>
      <c r="H36" s="39">
        <v>1937</v>
      </c>
      <c r="I36" s="39">
        <v>1086</v>
      </c>
      <c r="J36" s="39">
        <v>2104</v>
      </c>
      <c r="K36" s="39">
        <v>3148</v>
      </c>
      <c r="L36" s="39">
        <v>600</v>
      </c>
      <c r="M36" s="39">
        <v>1889</v>
      </c>
      <c r="N36" s="39">
        <v>1466</v>
      </c>
      <c r="O36" s="39">
        <v>14300</v>
      </c>
      <c r="P36" s="39">
        <v>20964</v>
      </c>
      <c r="Q36" s="18" t="s">
        <v>18</v>
      </c>
      <c r="R36" s="18" t="s">
        <v>18</v>
      </c>
      <c r="S36" s="18" t="s">
        <v>18</v>
      </c>
      <c r="T36" s="18" t="s">
        <v>18</v>
      </c>
      <c r="U36" s="18" t="s">
        <v>18</v>
      </c>
      <c r="V36" s="18" t="s">
        <v>18</v>
      </c>
      <c r="W36" s="17">
        <v>39989</v>
      </c>
      <c r="X36" s="17">
        <v>43434</v>
      </c>
      <c r="Y36" s="3"/>
      <c r="Z36" s="3"/>
      <c r="AA36" s="3"/>
      <c r="AB36" s="3"/>
      <c r="AC36" s="3"/>
    </row>
    <row r="37" spans="1:29" ht="15.75" x14ac:dyDescent="0.25">
      <c r="A37" s="15" t="s">
        <v>30</v>
      </c>
      <c r="B37" s="39">
        <v>57282</v>
      </c>
      <c r="C37" s="39">
        <v>1062</v>
      </c>
      <c r="D37" s="39">
        <v>60833</v>
      </c>
      <c r="E37" s="39">
        <v>901</v>
      </c>
      <c r="F37" s="39">
        <v>275</v>
      </c>
      <c r="G37" s="39">
        <v>248</v>
      </c>
      <c r="H37" s="39">
        <v>7606</v>
      </c>
      <c r="I37" s="39">
        <v>793</v>
      </c>
      <c r="J37" s="39">
        <v>6032</v>
      </c>
      <c r="K37" s="39">
        <v>9736</v>
      </c>
      <c r="L37" s="39">
        <v>580</v>
      </c>
      <c r="M37" s="39">
        <v>5647</v>
      </c>
      <c r="N37" s="39">
        <v>4676</v>
      </c>
      <c r="O37" s="39">
        <v>15600</v>
      </c>
      <c r="P37" s="39">
        <v>72946</v>
      </c>
      <c r="Q37" s="18" t="s">
        <v>18</v>
      </c>
      <c r="R37" s="18" t="s">
        <v>18</v>
      </c>
      <c r="S37" s="18" t="s">
        <v>18</v>
      </c>
      <c r="T37" s="18" t="s">
        <v>18</v>
      </c>
      <c r="U37" s="18" t="s">
        <v>18</v>
      </c>
      <c r="V37" s="18" t="s">
        <v>18</v>
      </c>
      <c r="W37" s="17">
        <v>80201</v>
      </c>
      <c r="X37" s="17">
        <v>145706</v>
      </c>
      <c r="Y37" s="3"/>
      <c r="Z37" s="3"/>
      <c r="AA37" s="3"/>
      <c r="AB37" s="3"/>
      <c r="AC37" s="3"/>
    </row>
    <row r="38" spans="1:29" ht="15.75" x14ac:dyDescent="0.25">
      <c r="A38" s="23" t="s">
        <v>31</v>
      </c>
      <c r="B38" s="41">
        <v>214816</v>
      </c>
      <c r="C38" s="41">
        <v>959</v>
      </c>
      <c r="D38" s="41">
        <v>206019</v>
      </c>
      <c r="E38" s="41">
        <v>15833</v>
      </c>
      <c r="F38" s="41">
        <v>262</v>
      </c>
      <c r="G38" s="41">
        <v>4146</v>
      </c>
      <c r="H38" s="41">
        <v>22789</v>
      </c>
      <c r="I38" s="41">
        <v>849</v>
      </c>
      <c r="J38" s="41">
        <v>19356</v>
      </c>
      <c r="K38" s="41">
        <v>20726</v>
      </c>
      <c r="L38" s="41">
        <v>608</v>
      </c>
      <c r="M38" s="41">
        <v>12606</v>
      </c>
      <c r="N38" s="41">
        <v>8033</v>
      </c>
      <c r="O38" s="41">
        <v>14847</v>
      </c>
      <c r="P38" s="41">
        <v>119267</v>
      </c>
      <c r="Q38" s="43" t="s">
        <v>18</v>
      </c>
      <c r="R38" s="43" t="s">
        <v>18</v>
      </c>
      <c r="S38" s="43" t="s">
        <v>18</v>
      </c>
      <c r="T38" s="42">
        <v>4436</v>
      </c>
      <c r="U38" s="42">
        <v>1899</v>
      </c>
      <c r="V38" s="42">
        <v>8424</v>
      </c>
      <c r="W38" s="44">
        <v>286633</v>
      </c>
      <c r="X38" s="44">
        <v>369818</v>
      </c>
      <c r="Y38" s="3"/>
      <c r="Z38" s="3"/>
      <c r="AA38" s="3"/>
      <c r="AB38" s="3"/>
      <c r="AC38" s="3"/>
    </row>
    <row r="39" spans="1:29" ht="15.75" x14ac:dyDescent="0.25">
      <c r="A39" s="15" t="s">
        <v>32</v>
      </c>
      <c r="B39" s="16">
        <v>318673</v>
      </c>
      <c r="C39" s="16">
        <v>918</v>
      </c>
      <c r="D39" s="16">
        <v>292581</v>
      </c>
      <c r="E39" s="16">
        <v>45440</v>
      </c>
      <c r="F39" s="16">
        <v>230</v>
      </c>
      <c r="G39" s="16">
        <v>10443</v>
      </c>
      <c r="H39" s="16">
        <v>22789</v>
      </c>
      <c r="I39" s="16">
        <v>849</v>
      </c>
      <c r="J39" s="16">
        <v>19356</v>
      </c>
      <c r="K39" s="16">
        <v>43897</v>
      </c>
      <c r="L39" s="16">
        <v>478</v>
      </c>
      <c r="M39" s="16">
        <v>20980</v>
      </c>
      <c r="N39" s="16">
        <v>18537</v>
      </c>
      <c r="O39" s="16">
        <v>14444</v>
      </c>
      <c r="P39" s="16">
        <v>267741</v>
      </c>
      <c r="Q39" s="16">
        <v>22425</v>
      </c>
      <c r="R39" s="16">
        <v>25675</v>
      </c>
      <c r="S39" s="16">
        <v>575762</v>
      </c>
      <c r="T39" s="16">
        <v>4436</v>
      </c>
      <c r="U39" s="16">
        <v>1899</v>
      </c>
      <c r="V39" s="16">
        <v>8424</v>
      </c>
      <c r="W39" s="17">
        <v>476197</v>
      </c>
      <c r="X39" s="17">
        <v>1195287</v>
      </c>
      <c r="Y39" s="3"/>
      <c r="Z39" s="3"/>
      <c r="AA39" s="3"/>
      <c r="AB39" s="3"/>
      <c r="AC39" s="3"/>
    </row>
    <row r="40" spans="1:29" ht="15.75" x14ac:dyDescent="0.25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45"/>
      <c r="X40" s="45"/>
      <c r="Y40" s="3"/>
      <c r="Z40" s="3"/>
      <c r="AA40" s="3"/>
      <c r="AB40" s="3"/>
      <c r="AC40" s="3"/>
    </row>
    <row r="41" spans="1:29" ht="15.75" x14ac:dyDescent="0.25">
      <c r="A41" s="1"/>
      <c r="B41" s="2" t="s">
        <v>0</v>
      </c>
      <c r="C41" s="1"/>
      <c r="D41" s="1"/>
      <c r="E41" s="1"/>
      <c r="F41" s="1"/>
      <c r="G41" s="1"/>
      <c r="H41" s="1"/>
      <c r="I41" s="2" t="s">
        <v>48</v>
      </c>
      <c r="J41" s="1"/>
      <c r="K41" s="1"/>
      <c r="L41" s="1"/>
      <c r="M41" s="1"/>
      <c r="N41" s="1"/>
      <c r="O41" s="1"/>
      <c r="P41" s="1"/>
      <c r="Q41" s="1"/>
      <c r="R41" s="3"/>
      <c r="S41" s="3"/>
      <c r="T41" s="3"/>
      <c r="U41" s="3"/>
      <c r="V41" s="3"/>
      <c r="W41" s="4"/>
      <c r="X41" s="4"/>
      <c r="Y41" s="3"/>
      <c r="Z41" s="3"/>
      <c r="AA41" s="3"/>
      <c r="AB41" s="3"/>
      <c r="AC41" s="3"/>
    </row>
    <row r="42" spans="1:29" ht="15.75" x14ac:dyDescent="0.25">
      <c r="A42" s="46" t="s">
        <v>2</v>
      </c>
      <c r="B42" s="47"/>
      <c r="C42" s="48" t="s">
        <v>3</v>
      </c>
      <c r="D42" s="49"/>
      <c r="E42" s="47"/>
      <c r="F42" s="50" t="s">
        <v>4</v>
      </c>
      <c r="G42" s="49"/>
      <c r="H42" s="47"/>
      <c r="I42" s="48" t="s">
        <v>5</v>
      </c>
      <c r="J42" s="49"/>
      <c r="K42" s="47"/>
      <c r="L42" s="48" t="s">
        <v>6</v>
      </c>
      <c r="M42" s="49"/>
      <c r="N42" s="47"/>
      <c r="O42" s="48" t="s">
        <v>7</v>
      </c>
      <c r="P42" s="49"/>
      <c r="Q42" s="47"/>
      <c r="R42" s="50" t="s">
        <v>8</v>
      </c>
      <c r="S42" s="49"/>
      <c r="T42" s="47"/>
      <c r="U42" s="50" t="s">
        <v>9</v>
      </c>
      <c r="V42" s="49"/>
      <c r="W42" s="10" t="s">
        <v>10</v>
      </c>
      <c r="X42" s="51"/>
      <c r="Y42" s="3"/>
      <c r="Z42" s="3"/>
      <c r="AA42" s="3"/>
      <c r="AB42" s="3"/>
      <c r="AC42" s="3"/>
    </row>
    <row r="43" spans="1:29" ht="15.75" x14ac:dyDescent="0.25">
      <c r="A43" s="12" t="s">
        <v>11</v>
      </c>
      <c r="B43" s="13" t="s">
        <v>12</v>
      </c>
      <c r="C43" s="13" t="s">
        <v>13</v>
      </c>
      <c r="D43" s="13" t="s">
        <v>14</v>
      </c>
      <c r="E43" s="13" t="s">
        <v>12</v>
      </c>
      <c r="F43" s="13" t="s">
        <v>13</v>
      </c>
      <c r="G43" s="13" t="s">
        <v>14</v>
      </c>
      <c r="H43" s="13" t="s">
        <v>12</v>
      </c>
      <c r="I43" s="13" t="s">
        <v>13</v>
      </c>
      <c r="J43" s="13" t="s">
        <v>14</v>
      </c>
      <c r="K43" s="13" t="s">
        <v>12</v>
      </c>
      <c r="L43" s="13" t="s">
        <v>13</v>
      </c>
      <c r="M43" s="13" t="s">
        <v>14</v>
      </c>
      <c r="N43" s="13" t="s">
        <v>12</v>
      </c>
      <c r="O43" s="13" t="s">
        <v>13</v>
      </c>
      <c r="P43" s="13" t="s">
        <v>14</v>
      </c>
      <c r="Q43" s="13" t="s">
        <v>12</v>
      </c>
      <c r="R43" s="13" t="s">
        <v>13</v>
      </c>
      <c r="S43" s="13" t="s">
        <v>14</v>
      </c>
      <c r="T43" s="13" t="s">
        <v>12</v>
      </c>
      <c r="U43" s="13" t="s">
        <v>13</v>
      </c>
      <c r="V43" s="13" t="s">
        <v>14</v>
      </c>
      <c r="W43" s="52" t="s">
        <v>12</v>
      </c>
      <c r="X43" s="53" t="s">
        <v>14</v>
      </c>
      <c r="Y43" s="3"/>
      <c r="Z43" s="3"/>
      <c r="AA43" s="3"/>
      <c r="AB43" s="3"/>
      <c r="AC43" s="3"/>
    </row>
    <row r="44" spans="1:29" ht="15.75" x14ac:dyDescent="0.25">
      <c r="A44" s="15" t="s">
        <v>15</v>
      </c>
      <c r="B44" s="16">
        <v>86330</v>
      </c>
      <c r="C44" s="16">
        <v>300</v>
      </c>
      <c r="D44" s="16">
        <v>25899</v>
      </c>
      <c r="E44" s="16">
        <v>32860</v>
      </c>
      <c r="F44" s="16">
        <v>350</v>
      </c>
      <c r="G44" s="16">
        <v>11501</v>
      </c>
      <c r="H44" s="16">
        <v>100</v>
      </c>
      <c r="I44" s="16">
        <v>500</v>
      </c>
      <c r="J44" s="16">
        <v>50</v>
      </c>
      <c r="K44" s="16"/>
      <c r="L44" s="16"/>
      <c r="M44" s="16"/>
      <c r="N44" s="16">
        <v>3000</v>
      </c>
      <c r="O44" s="16">
        <v>450</v>
      </c>
      <c r="P44" s="16">
        <v>1350</v>
      </c>
      <c r="Q44" s="18" t="s">
        <v>18</v>
      </c>
      <c r="R44" s="18" t="s">
        <v>18</v>
      </c>
      <c r="S44" s="18" t="s">
        <v>18</v>
      </c>
      <c r="T44" s="18" t="s">
        <v>18</v>
      </c>
      <c r="U44" s="18" t="s">
        <v>18</v>
      </c>
      <c r="V44" s="18" t="s">
        <v>18</v>
      </c>
      <c r="W44" s="36">
        <v>122290</v>
      </c>
      <c r="X44" s="27">
        <v>38800</v>
      </c>
      <c r="Y44" s="3"/>
      <c r="Z44" s="3"/>
      <c r="AA44" s="3"/>
      <c r="AB44" s="3"/>
      <c r="AC44" s="3"/>
    </row>
    <row r="45" spans="1:29" ht="15.75" x14ac:dyDescent="0.25">
      <c r="A45" s="15" t="s">
        <v>49</v>
      </c>
      <c r="B45" s="18"/>
      <c r="C45" s="18"/>
      <c r="D45" s="18"/>
      <c r="E45" s="18"/>
      <c r="F45" s="18"/>
      <c r="G45" s="18"/>
      <c r="H45" s="18"/>
      <c r="I45" s="18"/>
      <c r="J45" s="18"/>
      <c r="K45" s="18"/>
      <c r="L45" s="18"/>
      <c r="M45" s="18"/>
      <c r="N45" s="18"/>
      <c r="O45" s="18"/>
      <c r="P45" s="18"/>
      <c r="Q45" s="18"/>
      <c r="R45" s="18"/>
      <c r="S45" s="18"/>
      <c r="T45" s="18"/>
      <c r="U45" s="18"/>
      <c r="V45" s="18"/>
      <c r="W45" s="54"/>
      <c r="X45" s="55"/>
      <c r="Y45" s="3"/>
      <c r="Z45" s="3"/>
      <c r="AA45" s="3"/>
      <c r="AB45" s="3"/>
      <c r="AC45" s="3"/>
    </row>
    <row r="46" spans="1:29" ht="15.75" x14ac:dyDescent="0.25">
      <c r="A46" s="15" t="s">
        <v>17</v>
      </c>
      <c r="B46" s="16">
        <v>58610</v>
      </c>
      <c r="C46" s="16">
        <v>30</v>
      </c>
      <c r="D46" s="16">
        <v>1730</v>
      </c>
      <c r="E46" s="16">
        <v>1340</v>
      </c>
      <c r="F46" s="16">
        <v>70</v>
      </c>
      <c r="G46" s="16">
        <v>100</v>
      </c>
      <c r="H46" s="18" t="s">
        <v>18</v>
      </c>
      <c r="I46" s="18" t="s">
        <v>18</v>
      </c>
      <c r="J46" s="18" t="s">
        <v>18</v>
      </c>
      <c r="K46" s="18" t="s">
        <v>18</v>
      </c>
      <c r="L46" s="18" t="s">
        <v>18</v>
      </c>
      <c r="M46" s="18" t="s">
        <v>18</v>
      </c>
      <c r="N46" s="18" t="s">
        <v>18</v>
      </c>
      <c r="O46" s="18" t="s">
        <v>18</v>
      </c>
      <c r="P46" s="18" t="s">
        <v>18</v>
      </c>
      <c r="Q46" s="18" t="s">
        <v>18</v>
      </c>
      <c r="R46" s="18" t="s">
        <v>18</v>
      </c>
      <c r="S46" s="18" t="s">
        <v>18</v>
      </c>
      <c r="T46" s="18" t="s">
        <v>18</v>
      </c>
      <c r="U46" s="18" t="s">
        <v>18</v>
      </c>
      <c r="V46" s="18" t="s">
        <v>18</v>
      </c>
      <c r="W46" s="36">
        <v>59950</v>
      </c>
      <c r="X46" s="27">
        <v>1830</v>
      </c>
      <c r="Y46" s="3"/>
      <c r="Z46" s="3"/>
      <c r="AA46" s="3"/>
      <c r="AB46" s="3"/>
      <c r="AC46" s="3"/>
    </row>
    <row r="47" spans="1:29" ht="15.75" x14ac:dyDescent="0.25">
      <c r="A47" s="15" t="s">
        <v>19</v>
      </c>
      <c r="B47" s="16">
        <v>95870</v>
      </c>
      <c r="C47" s="16">
        <v>400</v>
      </c>
      <c r="D47" s="16">
        <v>38348</v>
      </c>
      <c r="E47" s="16">
        <v>69012</v>
      </c>
      <c r="F47" s="16">
        <v>600</v>
      </c>
      <c r="G47" s="16">
        <v>41407</v>
      </c>
      <c r="H47" s="16">
        <v>13733</v>
      </c>
      <c r="I47" s="16">
        <v>1500</v>
      </c>
      <c r="J47" s="16">
        <v>20600</v>
      </c>
      <c r="K47" s="16">
        <v>210</v>
      </c>
      <c r="L47" s="16">
        <v>2250</v>
      </c>
      <c r="M47" s="16">
        <v>473</v>
      </c>
      <c r="N47" s="16">
        <v>9000</v>
      </c>
      <c r="O47" s="16">
        <v>800</v>
      </c>
      <c r="P47" s="16">
        <v>7200</v>
      </c>
      <c r="Q47" s="18" t="s">
        <v>18</v>
      </c>
      <c r="R47" s="18" t="s">
        <v>18</v>
      </c>
      <c r="S47" s="18" t="s">
        <v>18</v>
      </c>
      <c r="T47" s="18" t="s">
        <v>18</v>
      </c>
      <c r="U47" s="18" t="s">
        <v>18</v>
      </c>
      <c r="V47" s="18" t="s">
        <v>18</v>
      </c>
      <c r="W47" s="36">
        <v>187825</v>
      </c>
      <c r="X47" s="27">
        <v>108028</v>
      </c>
      <c r="Y47" s="3"/>
      <c r="Z47" s="3"/>
      <c r="AA47" s="3"/>
      <c r="AB47" s="3"/>
      <c r="AC47" s="3"/>
    </row>
    <row r="48" spans="1:29" ht="15.75" x14ac:dyDescent="0.25">
      <c r="A48" s="15" t="s">
        <v>20</v>
      </c>
      <c r="B48" s="16">
        <v>12490</v>
      </c>
      <c r="C48" s="16">
        <v>450</v>
      </c>
      <c r="D48" s="16">
        <v>5621</v>
      </c>
      <c r="E48" s="16">
        <v>36570</v>
      </c>
      <c r="F48" s="16">
        <v>600</v>
      </c>
      <c r="G48" s="16">
        <v>21942</v>
      </c>
      <c r="H48" s="18" t="s">
        <v>18</v>
      </c>
      <c r="I48" s="18" t="s">
        <v>18</v>
      </c>
      <c r="J48" s="18" t="s">
        <v>18</v>
      </c>
      <c r="K48" s="18" t="s">
        <v>18</v>
      </c>
      <c r="L48" s="18" t="s">
        <v>18</v>
      </c>
      <c r="M48" s="18" t="s">
        <v>18</v>
      </c>
      <c r="N48" s="18" t="s">
        <v>18</v>
      </c>
      <c r="O48" s="18" t="s">
        <v>18</v>
      </c>
      <c r="P48" s="18" t="s">
        <v>18</v>
      </c>
      <c r="Q48" s="18" t="s">
        <v>18</v>
      </c>
      <c r="R48" s="18" t="s">
        <v>18</v>
      </c>
      <c r="S48" s="18" t="s">
        <v>18</v>
      </c>
      <c r="T48" s="18" t="s">
        <v>18</v>
      </c>
      <c r="U48" s="18" t="s">
        <v>18</v>
      </c>
      <c r="V48" s="18" t="s">
        <v>18</v>
      </c>
      <c r="W48" s="36">
        <v>49060</v>
      </c>
      <c r="X48" s="27">
        <v>27563</v>
      </c>
      <c r="Y48" s="3"/>
      <c r="Z48" s="3"/>
      <c r="AA48" s="3"/>
      <c r="AB48" s="3"/>
      <c r="AC48" s="3"/>
    </row>
    <row r="49" spans="1:29" ht="15.75" x14ac:dyDescent="0.25">
      <c r="A49" s="15" t="s">
        <v>21</v>
      </c>
      <c r="B49" s="16">
        <v>47200</v>
      </c>
      <c r="C49" s="16">
        <v>100</v>
      </c>
      <c r="D49" s="16">
        <v>4720</v>
      </c>
      <c r="E49" s="16">
        <v>16000</v>
      </c>
      <c r="F49" s="16">
        <v>100</v>
      </c>
      <c r="G49" s="16">
        <v>1600</v>
      </c>
      <c r="H49" s="16">
        <v>1300</v>
      </c>
      <c r="I49" s="16">
        <v>300</v>
      </c>
      <c r="J49" s="16">
        <v>390</v>
      </c>
      <c r="K49" s="18" t="s">
        <v>18</v>
      </c>
      <c r="L49" s="18" t="s">
        <v>18</v>
      </c>
      <c r="M49" s="18" t="s">
        <v>18</v>
      </c>
      <c r="N49" s="18" t="s">
        <v>18</v>
      </c>
      <c r="O49" s="18" t="s">
        <v>18</v>
      </c>
      <c r="P49" s="18" t="s">
        <v>18</v>
      </c>
      <c r="Q49" s="18" t="s">
        <v>18</v>
      </c>
      <c r="R49" s="18" t="s">
        <v>18</v>
      </c>
      <c r="S49" s="18" t="s">
        <v>18</v>
      </c>
      <c r="T49" s="18" t="s">
        <v>18</v>
      </c>
      <c r="U49" s="18" t="s">
        <v>18</v>
      </c>
      <c r="V49" s="18" t="s">
        <v>18</v>
      </c>
      <c r="W49" s="36">
        <v>64500</v>
      </c>
      <c r="X49" s="27">
        <v>6710</v>
      </c>
      <c r="Y49" s="3"/>
      <c r="Z49" s="3"/>
      <c r="AA49" s="3"/>
      <c r="AB49" s="3"/>
      <c r="AC49" s="3"/>
    </row>
    <row r="50" spans="1:29" ht="15.75" x14ac:dyDescent="0.25">
      <c r="A50" s="15" t="s">
        <v>22</v>
      </c>
      <c r="B50" s="16">
        <v>35375</v>
      </c>
      <c r="C50" s="16">
        <v>50</v>
      </c>
      <c r="D50" s="16">
        <v>1768</v>
      </c>
      <c r="E50" s="18" t="s">
        <v>18</v>
      </c>
      <c r="F50" s="18" t="s">
        <v>18</v>
      </c>
      <c r="G50" s="18" t="s">
        <v>18</v>
      </c>
      <c r="H50" s="16">
        <v>12033</v>
      </c>
      <c r="I50" s="16">
        <v>617</v>
      </c>
      <c r="J50" s="16">
        <v>7430</v>
      </c>
      <c r="K50" s="18" t="s">
        <v>18</v>
      </c>
      <c r="L50" s="18" t="s">
        <v>18</v>
      </c>
      <c r="M50" s="18" t="s">
        <v>18</v>
      </c>
      <c r="N50" s="18" t="s">
        <v>18</v>
      </c>
      <c r="O50" s="18" t="s">
        <v>18</v>
      </c>
      <c r="P50" s="18" t="s">
        <v>18</v>
      </c>
      <c r="Q50" s="39">
        <v>1178</v>
      </c>
      <c r="R50" s="39">
        <v>2250</v>
      </c>
      <c r="S50" s="39">
        <v>2650</v>
      </c>
      <c r="T50" s="18" t="s">
        <v>18</v>
      </c>
      <c r="U50" s="18" t="s">
        <v>18</v>
      </c>
      <c r="V50" s="18" t="s">
        <v>18</v>
      </c>
      <c r="W50" s="36">
        <v>48586</v>
      </c>
      <c r="X50" s="27">
        <v>11848</v>
      </c>
      <c r="Y50" s="3"/>
      <c r="Z50" s="3"/>
      <c r="AA50" s="3"/>
      <c r="AB50" s="3"/>
      <c r="AC50" s="3"/>
    </row>
    <row r="51" spans="1:29" ht="15.75" x14ac:dyDescent="0.25">
      <c r="A51" s="15" t="s">
        <v>23</v>
      </c>
      <c r="B51" s="16">
        <v>137000</v>
      </c>
      <c r="C51" s="16">
        <v>495</v>
      </c>
      <c r="D51" s="16">
        <v>67815</v>
      </c>
      <c r="E51" s="16">
        <v>59050</v>
      </c>
      <c r="F51" s="16">
        <v>110</v>
      </c>
      <c r="G51" s="16">
        <v>26530</v>
      </c>
      <c r="H51" s="16">
        <v>13320</v>
      </c>
      <c r="I51" s="16">
        <v>700</v>
      </c>
      <c r="J51" s="16">
        <v>9769</v>
      </c>
      <c r="K51" s="18" t="s">
        <v>18</v>
      </c>
      <c r="L51" s="18" t="s">
        <v>18</v>
      </c>
      <c r="M51" s="18" t="s">
        <v>18</v>
      </c>
      <c r="N51" s="18" t="s">
        <v>18</v>
      </c>
      <c r="O51" s="18" t="s">
        <v>18</v>
      </c>
      <c r="P51" s="18" t="s">
        <v>18</v>
      </c>
      <c r="Q51" s="18" t="s">
        <v>18</v>
      </c>
      <c r="R51" s="18" t="s">
        <v>18</v>
      </c>
      <c r="S51" s="18" t="s">
        <v>18</v>
      </c>
      <c r="T51" s="18" t="s">
        <v>18</v>
      </c>
      <c r="U51" s="18" t="s">
        <v>18</v>
      </c>
      <c r="V51" s="18" t="s">
        <v>18</v>
      </c>
      <c r="W51" s="36">
        <v>209370</v>
      </c>
      <c r="X51" s="27">
        <v>104114</v>
      </c>
      <c r="Y51" s="3"/>
      <c r="Z51" s="3"/>
      <c r="AA51" s="3"/>
      <c r="AB51" s="3"/>
      <c r="AC51" s="3"/>
    </row>
    <row r="52" spans="1:29" ht="15.75" x14ac:dyDescent="0.25">
      <c r="A52" s="15" t="s">
        <v>24</v>
      </c>
      <c r="B52" s="16">
        <v>2250</v>
      </c>
      <c r="C52" s="16">
        <v>750</v>
      </c>
      <c r="D52" s="16">
        <v>1912</v>
      </c>
      <c r="E52" s="16">
        <v>13250</v>
      </c>
      <c r="F52" s="16">
        <v>1010</v>
      </c>
      <c r="G52" s="16">
        <v>13382</v>
      </c>
      <c r="H52" s="16">
        <v>1700</v>
      </c>
      <c r="I52" s="16">
        <v>900</v>
      </c>
      <c r="J52" s="16">
        <v>1530</v>
      </c>
      <c r="K52" s="16">
        <v>35</v>
      </c>
      <c r="L52" s="16">
        <v>450</v>
      </c>
      <c r="M52" s="16">
        <v>15</v>
      </c>
      <c r="N52" s="16">
        <v>40000</v>
      </c>
      <c r="O52" s="16">
        <v>1000</v>
      </c>
      <c r="P52" s="16">
        <v>40000</v>
      </c>
      <c r="Q52" s="18" t="s">
        <v>18</v>
      </c>
      <c r="R52" s="18" t="s">
        <v>18</v>
      </c>
      <c r="S52" s="18" t="s">
        <v>18</v>
      </c>
      <c r="T52" s="18" t="s">
        <v>18</v>
      </c>
      <c r="U52" s="18" t="s">
        <v>18</v>
      </c>
      <c r="V52" s="18" t="s">
        <v>18</v>
      </c>
      <c r="W52" s="36">
        <v>57235</v>
      </c>
      <c r="X52" s="27">
        <v>56839</v>
      </c>
      <c r="Y52" s="3"/>
      <c r="Z52" s="3"/>
      <c r="AA52" s="3"/>
      <c r="AB52" s="3"/>
      <c r="AC52" s="3"/>
    </row>
    <row r="53" spans="1:29" ht="15.75" x14ac:dyDescent="0.25">
      <c r="A53" s="20" t="s">
        <v>25</v>
      </c>
      <c r="B53" s="21">
        <v>475125</v>
      </c>
      <c r="C53" s="21"/>
      <c r="D53" s="21">
        <v>147813</v>
      </c>
      <c r="E53" s="21">
        <v>228082</v>
      </c>
      <c r="F53" s="21"/>
      <c r="G53" s="21">
        <v>116462</v>
      </c>
      <c r="H53" s="21">
        <v>42186</v>
      </c>
      <c r="I53" s="21"/>
      <c r="J53" s="21">
        <v>39769</v>
      </c>
      <c r="K53" s="21">
        <v>245</v>
      </c>
      <c r="L53" s="21">
        <v>2700</v>
      </c>
      <c r="M53" s="21">
        <v>488</v>
      </c>
      <c r="N53" s="21">
        <v>52000</v>
      </c>
      <c r="O53" s="21"/>
      <c r="P53" s="21">
        <v>48550</v>
      </c>
      <c r="Q53" s="56">
        <v>1178</v>
      </c>
      <c r="R53" s="56">
        <v>2250</v>
      </c>
      <c r="S53" s="56">
        <v>260</v>
      </c>
      <c r="T53" s="57" t="s">
        <v>18</v>
      </c>
      <c r="U53" s="57" t="s">
        <v>18</v>
      </c>
      <c r="V53" s="57" t="s">
        <v>18</v>
      </c>
      <c r="W53" s="58">
        <v>798816</v>
      </c>
      <c r="X53" s="59">
        <v>355732</v>
      </c>
      <c r="Y53" s="3"/>
      <c r="Z53" s="3"/>
      <c r="AA53" s="3"/>
      <c r="AB53" s="3"/>
      <c r="AC53" s="3"/>
    </row>
    <row r="54" spans="1:29" ht="15.75" x14ac:dyDescent="0.25">
      <c r="A54" s="15" t="s">
        <v>26</v>
      </c>
      <c r="B54" s="16">
        <v>30000</v>
      </c>
      <c r="C54" s="16">
        <v>624</v>
      </c>
      <c r="D54" s="16">
        <v>30624</v>
      </c>
      <c r="E54" s="16">
        <v>110000</v>
      </c>
      <c r="F54" s="16">
        <v>830</v>
      </c>
      <c r="G54" s="16">
        <v>91300</v>
      </c>
      <c r="H54" s="16">
        <v>17000</v>
      </c>
      <c r="I54" s="16">
        <v>895</v>
      </c>
      <c r="J54" s="16">
        <v>15215</v>
      </c>
      <c r="K54" s="16">
        <v>22000</v>
      </c>
      <c r="L54" s="16">
        <v>1740</v>
      </c>
      <c r="M54" s="16">
        <v>38280</v>
      </c>
      <c r="N54" s="16">
        <v>27000</v>
      </c>
      <c r="O54" s="16">
        <v>1200</v>
      </c>
      <c r="P54" s="16">
        <v>32400</v>
      </c>
      <c r="Q54" s="18" t="s">
        <v>18</v>
      </c>
      <c r="R54" s="18" t="s">
        <v>18</v>
      </c>
      <c r="S54" s="18" t="s">
        <v>18</v>
      </c>
      <c r="T54" s="18" t="s">
        <v>18</v>
      </c>
      <c r="U54" s="18" t="s">
        <v>18</v>
      </c>
      <c r="V54" s="18" t="s">
        <v>18</v>
      </c>
      <c r="W54" s="36">
        <v>206000</v>
      </c>
      <c r="X54" s="27">
        <v>207819</v>
      </c>
      <c r="Y54" s="3"/>
      <c r="Z54" s="3"/>
      <c r="AA54" s="3"/>
      <c r="AB54" s="3"/>
      <c r="AC54" s="3"/>
    </row>
    <row r="55" spans="1:29" ht="15.75" x14ac:dyDescent="0.25">
      <c r="A55" s="15" t="s">
        <v>27</v>
      </c>
      <c r="B55" s="16">
        <v>29000</v>
      </c>
      <c r="C55" s="16">
        <v>490</v>
      </c>
      <c r="D55" s="16">
        <v>14210</v>
      </c>
      <c r="E55" s="16">
        <v>51059</v>
      </c>
      <c r="F55" s="16">
        <v>550</v>
      </c>
      <c r="G55" s="16">
        <v>28082</v>
      </c>
      <c r="H55" s="16">
        <v>6000</v>
      </c>
      <c r="I55" s="16">
        <v>830</v>
      </c>
      <c r="J55" s="16">
        <v>4980</v>
      </c>
      <c r="K55" s="16">
        <v>24000</v>
      </c>
      <c r="L55" s="16">
        <v>1500</v>
      </c>
      <c r="M55" s="16">
        <v>35000</v>
      </c>
      <c r="N55" s="16">
        <v>7000</v>
      </c>
      <c r="O55" s="16">
        <v>800</v>
      </c>
      <c r="P55" s="16">
        <v>5600</v>
      </c>
      <c r="Q55" s="18" t="s">
        <v>18</v>
      </c>
      <c r="R55" s="18" t="s">
        <v>18</v>
      </c>
      <c r="S55" s="18" t="s">
        <v>18</v>
      </c>
      <c r="T55" s="18" t="s">
        <v>18</v>
      </c>
      <c r="U55" s="18" t="s">
        <v>18</v>
      </c>
      <c r="V55" s="18" t="s">
        <v>18</v>
      </c>
      <c r="W55" s="36">
        <v>117059</v>
      </c>
      <c r="X55" s="27">
        <v>88872</v>
      </c>
      <c r="Y55" s="3"/>
      <c r="Z55" s="3"/>
      <c r="AA55" s="3"/>
      <c r="AB55" s="3"/>
      <c r="AC55" s="3"/>
    </row>
    <row r="56" spans="1:29" ht="15.75" x14ac:dyDescent="0.25">
      <c r="A56" s="15" t="s">
        <v>50</v>
      </c>
      <c r="B56" s="16">
        <v>26000</v>
      </c>
      <c r="C56" s="16">
        <v>600</v>
      </c>
      <c r="D56" s="16">
        <v>15600</v>
      </c>
      <c r="E56" s="16">
        <v>36000</v>
      </c>
      <c r="F56" s="16">
        <v>478</v>
      </c>
      <c r="G56" s="16">
        <v>17408</v>
      </c>
      <c r="H56" s="16">
        <v>2600</v>
      </c>
      <c r="I56" s="16">
        <v>700</v>
      </c>
      <c r="J56" s="16">
        <v>1820</v>
      </c>
      <c r="K56" s="16">
        <v>11000</v>
      </c>
      <c r="L56" s="16">
        <v>1400</v>
      </c>
      <c r="M56" s="16">
        <v>15400</v>
      </c>
      <c r="N56" s="18" t="s">
        <v>18</v>
      </c>
      <c r="O56" s="18" t="s">
        <v>18</v>
      </c>
      <c r="P56" s="18" t="s">
        <v>18</v>
      </c>
      <c r="Q56" s="18" t="s">
        <v>18</v>
      </c>
      <c r="R56" s="18" t="s">
        <v>18</v>
      </c>
      <c r="S56" s="18" t="s">
        <v>18</v>
      </c>
      <c r="T56" s="16">
        <v>1700</v>
      </c>
      <c r="U56" s="16">
        <v>560</v>
      </c>
      <c r="V56" s="16">
        <v>952</v>
      </c>
      <c r="W56" s="36">
        <v>77300</v>
      </c>
      <c r="X56" s="27">
        <v>51180</v>
      </c>
      <c r="Y56" s="3"/>
      <c r="Z56" s="3"/>
      <c r="AA56" s="3"/>
      <c r="AB56" s="3"/>
      <c r="AC56" s="3"/>
    </row>
    <row r="57" spans="1:29" ht="15.75" x14ac:dyDescent="0.25">
      <c r="A57" s="15" t="s">
        <v>51</v>
      </c>
      <c r="B57" s="16">
        <v>28000</v>
      </c>
      <c r="C57" s="16">
        <v>629</v>
      </c>
      <c r="D57" s="16">
        <v>17612</v>
      </c>
      <c r="E57" s="16">
        <v>71847</v>
      </c>
      <c r="F57" s="16">
        <v>580</v>
      </c>
      <c r="G57" s="16">
        <v>41671</v>
      </c>
      <c r="H57" s="16">
        <v>8890</v>
      </c>
      <c r="I57" s="16">
        <v>808</v>
      </c>
      <c r="J57" s="16">
        <v>7183</v>
      </c>
      <c r="K57" s="16">
        <v>2890</v>
      </c>
      <c r="L57" s="16">
        <v>1500</v>
      </c>
      <c r="M57" s="16">
        <v>4335</v>
      </c>
      <c r="N57" s="18" t="s">
        <v>18</v>
      </c>
      <c r="O57" s="18" t="s">
        <v>18</v>
      </c>
      <c r="P57" s="18" t="s">
        <v>18</v>
      </c>
      <c r="Q57" s="18" t="s">
        <v>18</v>
      </c>
      <c r="R57" s="18" t="s">
        <v>18</v>
      </c>
      <c r="S57" s="18" t="s">
        <v>18</v>
      </c>
      <c r="T57" s="18" t="s">
        <v>18</v>
      </c>
      <c r="U57" s="18" t="s">
        <v>18</v>
      </c>
      <c r="V57" s="18" t="s">
        <v>18</v>
      </c>
      <c r="W57" s="36">
        <v>111627</v>
      </c>
      <c r="X57" s="27">
        <v>70801</v>
      </c>
      <c r="Y57" s="3"/>
      <c r="Z57" s="3"/>
      <c r="AA57" s="3"/>
      <c r="AB57" s="3"/>
      <c r="AC57" s="3"/>
    </row>
    <row r="58" spans="1:29" ht="15.75" x14ac:dyDescent="0.25">
      <c r="A58" s="15" t="s">
        <v>52</v>
      </c>
      <c r="B58" s="16">
        <v>47000</v>
      </c>
      <c r="C58" s="16">
        <v>676</v>
      </c>
      <c r="D58" s="16">
        <v>31772</v>
      </c>
      <c r="E58" s="16">
        <v>87000</v>
      </c>
      <c r="F58" s="16">
        <v>662</v>
      </c>
      <c r="G58" s="16">
        <v>57594</v>
      </c>
      <c r="H58" s="16">
        <v>7080</v>
      </c>
      <c r="I58" s="16">
        <v>800</v>
      </c>
      <c r="J58" s="16">
        <v>5664</v>
      </c>
      <c r="K58" s="16">
        <v>2170</v>
      </c>
      <c r="L58" s="16">
        <v>1500</v>
      </c>
      <c r="M58" s="16">
        <v>3225</v>
      </c>
      <c r="N58" s="16">
        <v>5600</v>
      </c>
      <c r="O58" s="16">
        <v>907</v>
      </c>
      <c r="P58" s="16">
        <v>5079</v>
      </c>
      <c r="Q58" s="18" t="s">
        <v>18</v>
      </c>
      <c r="R58" s="18" t="s">
        <v>18</v>
      </c>
      <c r="S58" s="18" t="s">
        <v>18</v>
      </c>
      <c r="T58" s="18" t="s">
        <v>18</v>
      </c>
      <c r="U58" s="18" t="s">
        <v>18</v>
      </c>
      <c r="V58" s="18" t="s">
        <v>18</v>
      </c>
      <c r="W58" s="36">
        <v>148850</v>
      </c>
      <c r="X58" s="27">
        <v>103334</v>
      </c>
      <c r="Y58" s="3"/>
      <c r="Z58" s="3"/>
      <c r="AA58" s="3"/>
      <c r="AB58" s="3"/>
      <c r="AC58" s="3"/>
    </row>
    <row r="59" spans="1:29" ht="15.75" x14ac:dyDescent="0.25">
      <c r="A59" s="20" t="s">
        <v>31</v>
      </c>
      <c r="B59" s="42">
        <v>160000</v>
      </c>
      <c r="C59" s="42"/>
      <c r="D59" s="42">
        <v>109818</v>
      </c>
      <c r="E59" s="42">
        <v>355906</v>
      </c>
      <c r="F59" s="42"/>
      <c r="G59" s="42">
        <v>236055</v>
      </c>
      <c r="H59" s="42">
        <v>41570</v>
      </c>
      <c r="I59" s="42"/>
      <c r="J59" s="42">
        <v>34862</v>
      </c>
      <c r="K59" s="42">
        <v>62060</v>
      </c>
      <c r="L59" s="42"/>
      <c r="M59" s="42">
        <v>97240</v>
      </c>
      <c r="N59" s="42">
        <v>39600</v>
      </c>
      <c r="O59" s="42"/>
      <c r="P59" s="42">
        <v>43079</v>
      </c>
      <c r="Q59" s="60" t="s">
        <v>18</v>
      </c>
      <c r="R59" s="60" t="s">
        <v>18</v>
      </c>
      <c r="S59" s="60" t="s">
        <v>18</v>
      </c>
      <c r="T59" s="60" t="s">
        <v>18</v>
      </c>
      <c r="U59" s="60" t="s">
        <v>18</v>
      </c>
      <c r="V59" s="60" t="s">
        <v>18</v>
      </c>
      <c r="W59" s="61">
        <v>660936</v>
      </c>
      <c r="X59" s="62">
        <v>522006</v>
      </c>
      <c r="Y59" s="3"/>
      <c r="Z59" s="3"/>
      <c r="AA59" s="3"/>
      <c r="AB59" s="3"/>
      <c r="AC59" s="3"/>
    </row>
    <row r="60" spans="1:29" ht="15.75" x14ac:dyDescent="0.25">
      <c r="A60" s="15" t="s">
        <v>32</v>
      </c>
      <c r="B60" s="16">
        <v>635125</v>
      </c>
      <c r="C60" s="16"/>
      <c r="D60" s="16">
        <v>257631</v>
      </c>
      <c r="E60" s="16">
        <v>583988</v>
      </c>
      <c r="F60" s="16"/>
      <c r="G60" s="16">
        <v>352517</v>
      </c>
      <c r="H60" s="16">
        <v>83756</v>
      </c>
      <c r="I60" s="16"/>
      <c r="J60" s="16">
        <v>74631</v>
      </c>
      <c r="K60" s="16">
        <v>62305</v>
      </c>
      <c r="L60" s="16"/>
      <c r="M60" s="16">
        <v>97728</v>
      </c>
      <c r="N60" s="16">
        <v>91600</v>
      </c>
      <c r="O60" s="16"/>
      <c r="P60" s="16">
        <v>91629</v>
      </c>
      <c r="Q60" s="16">
        <v>1178</v>
      </c>
      <c r="R60" s="16"/>
      <c r="S60" s="16">
        <v>2650</v>
      </c>
      <c r="T60" s="16">
        <v>1700</v>
      </c>
      <c r="U60" s="16"/>
      <c r="V60" s="16">
        <v>952</v>
      </c>
      <c r="W60" s="36">
        <v>1459652</v>
      </c>
      <c r="X60" s="27">
        <v>877738</v>
      </c>
      <c r="Y60" s="3"/>
      <c r="Z60" s="3"/>
      <c r="AA60" s="3"/>
      <c r="AB60" s="3"/>
      <c r="AC60" s="3"/>
    </row>
    <row r="61" spans="1:29" ht="15.75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34"/>
      <c r="X61" s="34"/>
      <c r="Y61" s="3"/>
      <c r="Z61" s="3"/>
      <c r="AA61" s="3"/>
      <c r="AB61" s="3"/>
      <c r="AC61" s="3"/>
    </row>
    <row r="62" spans="1:29" ht="15.75" x14ac:dyDescent="0.25">
      <c r="A62" s="1"/>
      <c r="B62" s="2" t="s">
        <v>53</v>
      </c>
      <c r="C62" s="1"/>
      <c r="D62" s="1"/>
      <c r="E62" s="1"/>
      <c r="F62" s="1"/>
      <c r="G62" s="1"/>
      <c r="H62" s="1"/>
      <c r="I62" s="1"/>
      <c r="J62" s="1"/>
      <c r="K62" s="1"/>
      <c r="L62" s="32" t="s">
        <v>34</v>
      </c>
      <c r="M62" s="1"/>
      <c r="N62" s="33"/>
      <c r="O62" s="32" t="s">
        <v>35</v>
      </c>
      <c r="P62" s="33"/>
      <c r="Q62" s="33"/>
      <c r="R62" s="1"/>
      <c r="S62" s="32" t="s">
        <v>36</v>
      </c>
      <c r="T62" s="1"/>
      <c r="U62" s="1"/>
      <c r="V62" s="1"/>
      <c r="W62" s="34"/>
      <c r="X62" s="34"/>
      <c r="Y62" s="3"/>
      <c r="Z62" s="3"/>
      <c r="AA62" s="3"/>
      <c r="AB62" s="3"/>
      <c r="AC62" s="3"/>
    </row>
    <row r="63" spans="1:29" ht="15.75" x14ac:dyDescent="0.25">
      <c r="A63" s="46" t="s">
        <v>2</v>
      </c>
      <c r="B63" s="6"/>
      <c r="C63" s="7" t="s">
        <v>37</v>
      </c>
      <c r="D63" s="8"/>
      <c r="E63" s="6"/>
      <c r="F63" s="7" t="s">
        <v>38</v>
      </c>
      <c r="G63" s="8"/>
      <c r="H63" s="6"/>
      <c r="I63" s="7" t="s">
        <v>39</v>
      </c>
      <c r="J63" s="8"/>
      <c r="K63" s="6"/>
      <c r="L63" s="9" t="s">
        <v>40</v>
      </c>
      <c r="M63" s="8"/>
      <c r="N63" s="6"/>
      <c r="O63" s="9" t="s">
        <v>41</v>
      </c>
      <c r="P63" s="8"/>
      <c r="Q63" s="6"/>
      <c r="R63" s="9" t="s">
        <v>54</v>
      </c>
      <c r="S63" s="8"/>
      <c r="T63" s="6"/>
      <c r="U63" s="9" t="s">
        <v>43</v>
      </c>
      <c r="V63" s="8"/>
      <c r="W63" s="36"/>
      <c r="X63" s="37" t="s">
        <v>44</v>
      </c>
      <c r="Y63" s="3"/>
      <c r="Z63" s="3"/>
      <c r="AA63" s="3"/>
      <c r="AB63" s="3"/>
      <c r="AC63" s="3"/>
    </row>
    <row r="64" spans="1:29" ht="15.75" x14ac:dyDescent="0.25">
      <c r="A64" s="12" t="s">
        <v>11</v>
      </c>
      <c r="B64" s="38" t="s">
        <v>12</v>
      </c>
      <c r="C64" s="13" t="s">
        <v>13</v>
      </c>
      <c r="D64" s="13" t="s">
        <v>14</v>
      </c>
      <c r="E64" s="13" t="s">
        <v>12</v>
      </c>
      <c r="F64" s="13" t="s">
        <v>13</v>
      </c>
      <c r="G64" s="13" t="s">
        <v>14</v>
      </c>
      <c r="H64" s="13" t="s">
        <v>12</v>
      </c>
      <c r="I64" s="13" t="s">
        <v>13</v>
      </c>
      <c r="J64" s="13" t="s">
        <v>14</v>
      </c>
      <c r="K64" s="13" t="s">
        <v>12</v>
      </c>
      <c r="L64" s="13" t="s">
        <v>13</v>
      </c>
      <c r="M64" s="13" t="s">
        <v>14</v>
      </c>
      <c r="N64" s="13" t="s">
        <v>12</v>
      </c>
      <c r="O64" s="13" t="s">
        <v>13</v>
      </c>
      <c r="P64" s="13" t="s">
        <v>14</v>
      </c>
      <c r="Q64" s="13" t="s">
        <v>12</v>
      </c>
      <c r="R64" s="13" t="s">
        <v>13</v>
      </c>
      <c r="S64" s="13" t="s">
        <v>14</v>
      </c>
      <c r="T64" s="13" t="s">
        <v>12</v>
      </c>
      <c r="U64" s="13" t="s">
        <v>13</v>
      </c>
      <c r="V64" s="13" t="s">
        <v>14</v>
      </c>
      <c r="W64" s="14" t="s">
        <v>12</v>
      </c>
      <c r="X64" s="14" t="s">
        <v>14</v>
      </c>
      <c r="Y64" s="3"/>
      <c r="Z64" s="3"/>
      <c r="AA64" s="3"/>
      <c r="AB64" s="3"/>
      <c r="AC64" s="3"/>
    </row>
    <row r="65" spans="1:29" ht="15.75" x14ac:dyDescent="0.25">
      <c r="A65" s="15" t="s">
        <v>15</v>
      </c>
      <c r="B65" s="16">
        <v>11710</v>
      </c>
      <c r="C65" s="16">
        <v>247</v>
      </c>
      <c r="D65" s="16">
        <v>2892</v>
      </c>
      <c r="E65" s="16">
        <v>300</v>
      </c>
      <c r="F65" s="16">
        <v>120</v>
      </c>
      <c r="G65" s="16">
        <v>36</v>
      </c>
      <c r="H65" s="18" t="s">
        <v>18</v>
      </c>
      <c r="I65" s="18" t="s">
        <v>18</v>
      </c>
      <c r="J65" s="18" t="s">
        <v>18</v>
      </c>
      <c r="K65" s="16">
        <v>6900</v>
      </c>
      <c r="L65" s="16">
        <v>184</v>
      </c>
      <c r="M65" s="16">
        <v>1270</v>
      </c>
      <c r="N65" s="18" t="s">
        <v>18</v>
      </c>
      <c r="O65" s="18" t="s">
        <v>18</v>
      </c>
      <c r="P65" s="18" t="s">
        <v>18</v>
      </c>
      <c r="Q65" s="18" t="s">
        <v>18</v>
      </c>
      <c r="R65" s="18" t="s">
        <v>18</v>
      </c>
      <c r="S65" s="18" t="s">
        <v>18</v>
      </c>
      <c r="T65" s="18" t="s">
        <v>18</v>
      </c>
      <c r="U65" s="18" t="s">
        <v>18</v>
      </c>
      <c r="V65" s="18" t="s">
        <v>18</v>
      </c>
      <c r="W65" s="17">
        <v>18910</v>
      </c>
      <c r="X65" s="17">
        <v>4198</v>
      </c>
      <c r="Y65" s="3"/>
      <c r="Z65" s="3"/>
      <c r="AA65" s="3"/>
      <c r="AB65" s="3"/>
      <c r="AC65" s="3"/>
    </row>
    <row r="66" spans="1:29" ht="15.75" x14ac:dyDescent="0.25">
      <c r="A66" s="15" t="s">
        <v>49</v>
      </c>
      <c r="B66" s="18"/>
      <c r="C66" s="18"/>
      <c r="D66" s="18"/>
      <c r="E66" s="18"/>
      <c r="F66" s="18"/>
      <c r="G66" s="18"/>
      <c r="H66" s="18"/>
      <c r="I66" s="18"/>
      <c r="J66" s="18"/>
      <c r="K66" s="18"/>
      <c r="L66" s="18"/>
      <c r="M66" s="18"/>
      <c r="N66" s="18"/>
      <c r="O66" s="18"/>
      <c r="P66" s="18"/>
      <c r="Q66" s="18"/>
      <c r="R66" s="18"/>
      <c r="S66" s="18"/>
      <c r="T66" s="18"/>
      <c r="U66" s="18"/>
      <c r="V66" s="18"/>
      <c r="W66" s="19"/>
      <c r="X66" s="19"/>
      <c r="Y66" s="3"/>
      <c r="Z66" s="3"/>
      <c r="AA66" s="3"/>
      <c r="AB66" s="3"/>
      <c r="AC66" s="3"/>
    </row>
    <row r="67" spans="1:29" ht="15.75" x14ac:dyDescent="0.25">
      <c r="A67" s="15" t="s">
        <v>17</v>
      </c>
      <c r="B67" s="16">
        <v>1290</v>
      </c>
      <c r="C67" s="16">
        <v>90</v>
      </c>
      <c r="D67" s="16">
        <v>116</v>
      </c>
      <c r="E67" s="18" t="s">
        <v>18</v>
      </c>
      <c r="F67" s="18" t="s">
        <v>18</v>
      </c>
      <c r="G67" s="18" t="s">
        <v>18</v>
      </c>
      <c r="H67" s="18" t="s">
        <v>18</v>
      </c>
      <c r="I67" s="18" t="s">
        <v>18</v>
      </c>
      <c r="J67" s="18" t="s">
        <v>18</v>
      </c>
      <c r="K67" s="18" t="s">
        <v>18</v>
      </c>
      <c r="L67" s="18" t="s">
        <v>18</v>
      </c>
      <c r="M67" s="18" t="s">
        <v>18</v>
      </c>
      <c r="N67" s="18" t="s">
        <v>18</v>
      </c>
      <c r="O67" s="18" t="s">
        <v>18</v>
      </c>
      <c r="P67" s="18" t="s">
        <v>18</v>
      </c>
      <c r="Q67" s="18" t="s">
        <v>18</v>
      </c>
      <c r="R67" s="18" t="s">
        <v>18</v>
      </c>
      <c r="S67" s="18" t="s">
        <v>18</v>
      </c>
      <c r="T67" s="18" t="s">
        <v>18</v>
      </c>
      <c r="U67" s="18" t="s">
        <v>18</v>
      </c>
      <c r="V67" s="18" t="s">
        <v>18</v>
      </c>
      <c r="W67" s="17">
        <v>1290</v>
      </c>
      <c r="X67" s="17">
        <v>116</v>
      </c>
      <c r="Y67" s="3"/>
      <c r="Z67" s="3"/>
      <c r="AA67" s="3"/>
      <c r="AB67" s="3"/>
      <c r="AC67" s="3"/>
    </row>
    <row r="68" spans="1:29" ht="15.75" x14ac:dyDescent="0.25">
      <c r="A68" s="15" t="s">
        <v>46</v>
      </c>
      <c r="B68" s="16">
        <v>40450</v>
      </c>
      <c r="C68" s="16">
        <v>500</v>
      </c>
      <c r="D68" s="16">
        <v>20225</v>
      </c>
      <c r="E68" s="16">
        <v>400</v>
      </c>
      <c r="F68" s="16">
        <v>270</v>
      </c>
      <c r="G68" s="16">
        <v>108</v>
      </c>
      <c r="H68" s="18" t="s">
        <v>18</v>
      </c>
      <c r="I68" s="18" t="s">
        <v>18</v>
      </c>
      <c r="J68" s="18" t="s">
        <v>18</v>
      </c>
      <c r="K68" s="16">
        <v>13179</v>
      </c>
      <c r="L68" s="16">
        <v>405</v>
      </c>
      <c r="M68" s="16">
        <v>5337</v>
      </c>
      <c r="N68" s="16">
        <v>10350</v>
      </c>
      <c r="O68" s="16">
        <v>14137</v>
      </c>
      <c r="P68" s="16">
        <v>146318</v>
      </c>
      <c r="Q68" s="39">
        <v>22425</v>
      </c>
      <c r="R68" s="39">
        <v>25675</v>
      </c>
      <c r="S68" s="39">
        <v>575762</v>
      </c>
      <c r="T68" s="18" t="s">
        <v>18</v>
      </c>
      <c r="U68" s="18" t="s">
        <v>18</v>
      </c>
      <c r="V68" s="18" t="s">
        <v>18</v>
      </c>
      <c r="W68" s="17">
        <v>102491</v>
      </c>
      <c r="X68" s="17">
        <v>747751</v>
      </c>
      <c r="Y68" s="3"/>
      <c r="Z68" s="3"/>
      <c r="AA68" s="3"/>
      <c r="AB68" s="3"/>
      <c r="AC68" s="3"/>
    </row>
    <row r="69" spans="1:29" ht="15.75" x14ac:dyDescent="0.25">
      <c r="A69" s="15" t="s">
        <v>20</v>
      </c>
      <c r="B69" s="16">
        <v>9500</v>
      </c>
      <c r="C69" s="16">
        <v>750</v>
      </c>
      <c r="D69" s="16">
        <v>7125</v>
      </c>
      <c r="E69" s="16">
        <v>8000</v>
      </c>
      <c r="F69" s="16">
        <v>500</v>
      </c>
      <c r="G69" s="16">
        <v>4000</v>
      </c>
      <c r="H69" s="18" t="s">
        <v>18</v>
      </c>
      <c r="I69" s="18" t="s">
        <v>18</v>
      </c>
      <c r="J69" s="18" t="s">
        <v>18</v>
      </c>
      <c r="K69" s="16">
        <v>520</v>
      </c>
      <c r="L69" s="16">
        <v>362</v>
      </c>
      <c r="M69" s="16">
        <v>210</v>
      </c>
      <c r="N69" s="18" t="s">
        <v>18</v>
      </c>
      <c r="O69" s="18" t="s">
        <v>18</v>
      </c>
      <c r="P69" s="18" t="s">
        <v>18</v>
      </c>
      <c r="Q69" s="18" t="s">
        <v>18</v>
      </c>
      <c r="R69" s="18" t="s">
        <v>18</v>
      </c>
      <c r="S69" s="18" t="s">
        <v>18</v>
      </c>
      <c r="T69" s="18" t="s">
        <v>18</v>
      </c>
      <c r="U69" s="18" t="s">
        <v>18</v>
      </c>
      <c r="V69" s="18" t="s">
        <v>18</v>
      </c>
      <c r="W69" s="17">
        <v>18020</v>
      </c>
      <c r="X69" s="17">
        <v>11335</v>
      </c>
      <c r="Y69" s="3"/>
      <c r="Z69" s="3"/>
      <c r="AA69" s="3"/>
      <c r="AB69" s="3"/>
      <c r="AC69" s="3"/>
    </row>
    <row r="70" spans="1:29" ht="15.75" x14ac:dyDescent="0.25">
      <c r="A70" s="15" t="s">
        <v>21</v>
      </c>
      <c r="B70" s="18" t="s">
        <v>18</v>
      </c>
      <c r="C70" s="18" t="s">
        <v>18</v>
      </c>
      <c r="D70" s="18" t="s">
        <v>18</v>
      </c>
      <c r="E70" s="18" t="s">
        <v>18</v>
      </c>
      <c r="F70" s="18" t="s">
        <v>18</v>
      </c>
      <c r="G70" s="18" t="s">
        <v>18</v>
      </c>
      <c r="H70" s="18" t="s">
        <v>18</v>
      </c>
      <c r="I70" s="18" t="s">
        <v>18</v>
      </c>
      <c r="J70" s="18" t="s">
        <v>18</v>
      </c>
      <c r="K70" s="18" t="s">
        <v>18</v>
      </c>
      <c r="L70" s="18" t="s">
        <v>18</v>
      </c>
      <c r="M70" s="18" t="s">
        <v>18</v>
      </c>
      <c r="N70" s="18" t="s">
        <v>18</v>
      </c>
      <c r="O70" s="18" t="s">
        <v>18</v>
      </c>
      <c r="P70" s="18" t="s">
        <v>18</v>
      </c>
      <c r="Q70" s="18" t="s">
        <v>18</v>
      </c>
      <c r="R70" s="18" t="s">
        <v>18</v>
      </c>
      <c r="S70" s="18" t="s">
        <v>18</v>
      </c>
      <c r="T70" s="18" t="s">
        <v>18</v>
      </c>
      <c r="U70" s="18" t="s">
        <v>18</v>
      </c>
      <c r="V70" s="18" t="s">
        <v>18</v>
      </c>
      <c r="W70" s="19" t="s">
        <v>18</v>
      </c>
      <c r="X70" s="19" t="s">
        <v>18</v>
      </c>
      <c r="Y70" s="3"/>
      <c r="Z70" s="3"/>
      <c r="AA70" s="3"/>
      <c r="AB70" s="3"/>
      <c r="AC70" s="3"/>
    </row>
    <row r="71" spans="1:29" ht="15.75" x14ac:dyDescent="0.25">
      <c r="A71" s="15" t="s">
        <v>22</v>
      </c>
      <c r="B71" s="18" t="s">
        <v>18</v>
      </c>
      <c r="C71" s="18" t="s">
        <v>18</v>
      </c>
      <c r="D71" s="18" t="s">
        <v>18</v>
      </c>
      <c r="E71" s="18" t="s">
        <v>18</v>
      </c>
      <c r="F71" s="18" t="s">
        <v>18</v>
      </c>
      <c r="G71" s="18" t="s">
        <v>18</v>
      </c>
      <c r="H71" s="18" t="s">
        <v>18</v>
      </c>
      <c r="I71" s="18" t="s">
        <v>18</v>
      </c>
      <c r="J71" s="18" t="s">
        <v>18</v>
      </c>
      <c r="K71" s="16">
        <v>893</v>
      </c>
      <c r="L71" s="16">
        <v>700</v>
      </c>
      <c r="M71" s="16">
        <v>625</v>
      </c>
      <c r="N71" s="16">
        <v>154</v>
      </c>
      <c r="O71" s="16">
        <v>14000</v>
      </c>
      <c r="P71" s="16">
        <v>2156</v>
      </c>
      <c r="Q71" s="18" t="s">
        <v>18</v>
      </c>
      <c r="R71" s="18" t="s">
        <v>18</v>
      </c>
      <c r="S71" s="18" t="s">
        <v>18</v>
      </c>
      <c r="T71" s="18" t="s">
        <v>18</v>
      </c>
      <c r="U71" s="18" t="s">
        <v>18</v>
      </c>
      <c r="V71" s="18" t="s">
        <v>18</v>
      </c>
      <c r="W71" s="17">
        <v>1047</v>
      </c>
      <c r="X71" s="17">
        <v>2781</v>
      </c>
      <c r="Y71" s="3"/>
      <c r="Z71" s="3"/>
      <c r="AA71" s="3"/>
      <c r="AB71" s="3"/>
      <c r="AC71" s="3"/>
    </row>
    <row r="72" spans="1:29" ht="15.75" x14ac:dyDescent="0.25">
      <c r="A72" s="15" t="s">
        <v>23</v>
      </c>
      <c r="B72" s="16">
        <v>70070</v>
      </c>
      <c r="C72" s="16">
        <v>360</v>
      </c>
      <c r="D72" s="16">
        <v>25225</v>
      </c>
      <c r="E72" s="16">
        <v>9910</v>
      </c>
      <c r="F72" s="16">
        <v>120</v>
      </c>
      <c r="G72" s="16">
        <v>1189</v>
      </c>
      <c r="H72" s="18" t="s">
        <v>18</v>
      </c>
      <c r="I72" s="18" t="s">
        <v>18</v>
      </c>
      <c r="J72" s="18" t="s">
        <v>18</v>
      </c>
      <c r="K72" s="16">
        <v>1270</v>
      </c>
      <c r="L72" s="16">
        <v>609</v>
      </c>
      <c r="M72" s="16">
        <v>773</v>
      </c>
      <c r="N72" s="18" t="s">
        <v>18</v>
      </c>
      <c r="O72" s="18" t="s">
        <v>18</v>
      </c>
      <c r="P72" s="18" t="s">
        <v>18</v>
      </c>
      <c r="Q72" s="18" t="s">
        <v>18</v>
      </c>
      <c r="R72" s="18" t="s">
        <v>18</v>
      </c>
      <c r="S72" s="18" t="s">
        <v>18</v>
      </c>
      <c r="T72" s="18" t="s">
        <v>18</v>
      </c>
      <c r="U72" s="18" t="s">
        <v>18</v>
      </c>
      <c r="V72" s="18" t="s">
        <v>18</v>
      </c>
      <c r="W72" s="17">
        <v>81250</v>
      </c>
      <c r="X72" s="17">
        <v>27187</v>
      </c>
      <c r="Y72" s="3"/>
      <c r="Z72" s="3"/>
      <c r="AA72" s="3"/>
      <c r="AB72" s="3"/>
      <c r="AC72" s="3"/>
    </row>
    <row r="73" spans="1:29" ht="15.75" x14ac:dyDescent="0.25">
      <c r="A73" s="15" t="s">
        <v>24</v>
      </c>
      <c r="B73" s="16">
        <v>1860</v>
      </c>
      <c r="C73" s="16">
        <v>750</v>
      </c>
      <c r="D73" s="16">
        <v>1395</v>
      </c>
      <c r="E73" s="16">
        <v>420</v>
      </c>
      <c r="F73" s="16">
        <v>400</v>
      </c>
      <c r="G73" s="16">
        <v>168</v>
      </c>
      <c r="H73" s="18" t="s">
        <v>18</v>
      </c>
      <c r="I73" s="18" t="s">
        <v>18</v>
      </c>
      <c r="J73" s="18" t="s">
        <v>18</v>
      </c>
      <c r="K73" s="16">
        <v>409</v>
      </c>
      <c r="L73" s="16">
        <v>442</v>
      </c>
      <c r="M73" s="16">
        <v>181</v>
      </c>
      <c r="N73" s="18" t="s">
        <v>18</v>
      </c>
      <c r="O73" s="18" t="s">
        <v>18</v>
      </c>
      <c r="P73" s="18" t="s">
        <v>18</v>
      </c>
      <c r="Q73" s="18" t="s">
        <v>18</v>
      </c>
      <c r="R73" s="18" t="s">
        <v>18</v>
      </c>
      <c r="S73" s="18" t="s">
        <v>18</v>
      </c>
      <c r="T73" s="18" t="s">
        <v>18</v>
      </c>
      <c r="U73" s="18" t="s">
        <v>18</v>
      </c>
      <c r="V73" s="18" t="s">
        <v>18</v>
      </c>
      <c r="W73" s="17">
        <v>2689</v>
      </c>
      <c r="X73" s="17">
        <v>2164</v>
      </c>
      <c r="Y73" s="3"/>
      <c r="Z73" s="3"/>
      <c r="AA73" s="3"/>
      <c r="AB73" s="3"/>
      <c r="AC73" s="3"/>
    </row>
    <row r="74" spans="1:29" ht="15.75" x14ac:dyDescent="0.25">
      <c r="A74" s="20" t="s">
        <v>25</v>
      </c>
      <c r="B74" s="42">
        <v>134880</v>
      </c>
      <c r="C74" s="42"/>
      <c r="D74" s="42">
        <v>56979</v>
      </c>
      <c r="E74" s="42">
        <v>19030</v>
      </c>
      <c r="F74" s="42"/>
      <c r="G74" s="42">
        <v>5501</v>
      </c>
      <c r="H74" s="60" t="s">
        <v>18</v>
      </c>
      <c r="I74" s="60" t="s">
        <v>18</v>
      </c>
      <c r="J74" s="60" t="s">
        <v>18</v>
      </c>
      <c r="K74" s="42">
        <v>23171</v>
      </c>
      <c r="L74" s="42"/>
      <c r="M74" s="42">
        <v>8396</v>
      </c>
      <c r="N74" s="42">
        <v>10504</v>
      </c>
      <c r="O74" s="42">
        <v>14135</v>
      </c>
      <c r="P74" s="42">
        <v>148474</v>
      </c>
      <c r="Q74" s="63">
        <v>22425</v>
      </c>
      <c r="R74" s="63"/>
      <c r="S74" s="63">
        <v>575762</v>
      </c>
      <c r="T74" s="60" t="s">
        <v>18</v>
      </c>
      <c r="U74" s="60" t="s">
        <v>18</v>
      </c>
      <c r="V74" s="60" t="s">
        <v>18</v>
      </c>
      <c r="W74" s="44">
        <v>225697</v>
      </c>
      <c r="X74" s="44">
        <v>795112</v>
      </c>
      <c r="Y74" s="3"/>
      <c r="Z74" s="3"/>
      <c r="AA74" s="3"/>
      <c r="AB74" s="3"/>
      <c r="AC74" s="3"/>
    </row>
    <row r="75" spans="1:29" ht="15.75" x14ac:dyDescent="0.25">
      <c r="A75" s="15" t="s">
        <v>47</v>
      </c>
      <c r="B75" s="16">
        <v>76005</v>
      </c>
      <c r="C75" s="16">
        <v>950</v>
      </c>
      <c r="D75" s="16">
        <v>72205</v>
      </c>
      <c r="E75" s="16">
        <v>6426</v>
      </c>
      <c r="F75" s="16">
        <v>300</v>
      </c>
      <c r="G75" s="16">
        <v>1928</v>
      </c>
      <c r="H75" s="16">
        <v>4604</v>
      </c>
      <c r="I75" s="16">
        <v>1139</v>
      </c>
      <c r="J75" s="16">
        <v>5244</v>
      </c>
      <c r="K75" s="16">
        <v>665</v>
      </c>
      <c r="L75" s="16">
        <v>734</v>
      </c>
      <c r="M75" s="16">
        <v>488</v>
      </c>
      <c r="N75" s="16">
        <v>73</v>
      </c>
      <c r="O75" s="16">
        <v>14900</v>
      </c>
      <c r="P75" s="16">
        <v>1088</v>
      </c>
      <c r="Q75" s="18" t="s">
        <v>18</v>
      </c>
      <c r="R75" s="18" t="s">
        <v>18</v>
      </c>
      <c r="S75" s="18" t="s">
        <v>18</v>
      </c>
      <c r="T75" s="39">
        <v>4436</v>
      </c>
      <c r="U75" s="39">
        <v>1899</v>
      </c>
      <c r="V75" s="39">
        <v>8428</v>
      </c>
      <c r="W75" s="17">
        <v>92209</v>
      </c>
      <c r="X75" s="17">
        <v>85325</v>
      </c>
      <c r="Y75" s="3"/>
      <c r="Z75" s="3"/>
      <c r="AA75" s="3"/>
      <c r="AB75" s="3"/>
      <c r="AC75" s="3"/>
    </row>
    <row r="76" spans="1:29" ht="15.75" x14ac:dyDescent="0.25">
      <c r="A76" s="15" t="s">
        <v>27</v>
      </c>
      <c r="B76" s="16">
        <v>26200</v>
      </c>
      <c r="C76" s="16">
        <v>800</v>
      </c>
      <c r="D76" s="16">
        <v>20960</v>
      </c>
      <c r="E76" s="16">
        <v>5061</v>
      </c>
      <c r="F76" s="16">
        <v>280</v>
      </c>
      <c r="G76" s="16">
        <v>1417</v>
      </c>
      <c r="H76" s="16">
        <v>7495</v>
      </c>
      <c r="I76" s="16">
        <v>667</v>
      </c>
      <c r="J76" s="16">
        <v>4999</v>
      </c>
      <c r="K76" s="16">
        <v>4297</v>
      </c>
      <c r="L76" s="16">
        <v>620</v>
      </c>
      <c r="M76" s="16">
        <v>2664</v>
      </c>
      <c r="N76" s="16">
        <v>455</v>
      </c>
      <c r="O76" s="16">
        <v>12000</v>
      </c>
      <c r="P76" s="16">
        <v>5460</v>
      </c>
      <c r="Q76" s="18" t="s">
        <v>18</v>
      </c>
      <c r="R76" s="18" t="s">
        <v>18</v>
      </c>
      <c r="S76" s="18" t="s">
        <v>18</v>
      </c>
      <c r="T76" s="18" t="s">
        <v>18</v>
      </c>
      <c r="U76" s="18" t="s">
        <v>18</v>
      </c>
      <c r="V76" s="18" t="s">
        <v>18</v>
      </c>
      <c r="W76" s="17">
        <v>43508</v>
      </c>
      <c r="X76" s="17">
        <v>35500</v>
      </c>
      <c r="Y76" s="3"/>
      <c r="Z76" s="3"/>
      <c r="AA76" s="3"/>
      <c r="AB76" s="3"/>
      <c r="AC76" s="3"/>
    </row>
    <row r="77" spans="1:29" ht="15.75" x14ac:dyDescent="0.25">
      <c r="A77" s="15" t="s">
        <v>28</v>
      </c>
      <c r="B77" s="16">
        <v>24510</v>
      </c>
      <c r="C77" s="16">
        <v>900</v>
      </c>
      <c r="D77" s="16">
        <v>22059</v>
      </c>
      <c r="E77" s="16">
        <v>4979</v>
      </c>
      <c r="F77" s="16">
        <v>290</v>
      </c>
      <c r="G77" s="16">
        <v>1444</v>
      </c>
      <c r="H77" s="16">
        <v>1147</v>
      </c>
      <c r="I77" s="16">
        <v>852</v>
      </c>
      <c r="J77" s="16">
        <v>977</v>
      </c>
      <c r="K77" s="16">
        <v>2880</v>
      </c>
      <c r="L77" s="16">
        <v>666</v>
      </c>
      <c r="M77" s="16">
        <v>1918</v>
      </c>
      <c r="N77" s="16">
        <v>1363</v>
      </c>
      <c r="O77" s="16">
        <v>13800</v>
      </c>
      <c r="P77" s="16">
        <v>18809</v>
      </c>
      <c r="Q77" s="18" t="s">
        <v>18</v>
      </c>
      <c r="R77" s="18" t="s">
        <v>18</v>
      </c>
      <c r="S77" s="18" t="s">
        <v>18</v>
      </c>
      <c r="T77" s="18" t="s">
        <v>18</v>
      </c>
      <c r="U77" s="18" t="s">
        <v>18</v>
      </c>
      <c r="V77" s="18" t="s">
        <v>18</v>
      </c>
      <c r="W77" s="17">
        <v>34879</v>
      </c>
      <c r="X77" s="17">
        <v>45207</v>
      </c>
      <c r="Y77" s="3"/>
      <c r="Z77" s="3"/>
      <c r="AA77" s="3"/>
      <c r="AB77" s="3"/>
      <c r="AC77" s="3"/>
    </row>
    <row r="78" spans="1:29" ht="15.75" x14ac:dyDescent="0.25">
      <c r="A78" s="15" t="s">
        <v>29</v>
      </c>
      <c r="B78" s="16">
        <v>39167</v>
      </c>
      <c r="C78" s="16">
        <v>950</v>
      </c>
      <c r="D78" s="16">
        <v>37209</v>
      </c>
      <c r="E78" s="16">
        <v>3557</v>
      </c>
      <c r="F78" s="16">
        <v>300</v>
      </c>
      <c r="G78" s="16">
        <v>1067</v>
      </c>
      <c r="H78" s="16">
        <v>1937</v>
      </c>
      <c r="I78" s="16">
        <v>1086</v>
      </c>
      <c r="J78" s="16">
        <v>2104</v>
      </c>
      <c r="K78" s="16">
        <v>3148</v>
      </c>
      <c r="L78" s="16">
        <v>600</v>
      </c>
      <c r="M78" s="16">
        <v>1889</v>
      </c>
      <c r="N78" s="16">
        <v>1466</v>
      </c>
      <c r="O78" s="16">
        <v>14300</v>
      </c>
      <c r="P78" s="16">
        <v>20963</v>
      </c>
      <c r="Q78" s="18" t="s">
        <v>18</v>
      </c>
      <c r="R78" s="18" t="s">
        <v>18</v>
      </c>
      <c r="S78" s="18" t="s">
        <v>18</v>
      </c>
      <c r="T78" s="18" t="s">
        <v>18</v>
      </c>
      <c r="U78" s="18" t="s">
        <v>18</v>
      </c>
      <c r="V78" s="18" t="s">
        <v>18</v>
      </c>
      <c r="W78" s="17">
        <v>49275</v>
      </c>
      <c r="X78" s="17">
        <v>63232</v>
      </c>
      <c r="Y78" s="3"/>
      <c r="Z78" s="3"/>
      <c r="AA78" s="3"/>
      <c r="AB78" s="3"/>
      <c r="AC78" s="3"/>
    </row>
    <row r="79" spans="1:29" ht="15.75" x14ac:dyDescent="0.25">
      <c r="A79" s="15" t="s">
        <v>30</v>
      </c>
      <c r="B79" s="16">
        <v>69150</v>
      </c>
      <c r="C79" s="16">
        <v>733</v>
      </c>
      <c r="D79" s="16">
        <v>50687</v>
      </c>
      <c r="E79" s="16">
        <v>4476</v>
      </c>
      <c r="F79" s="16">
        <v>325</v>
      </c>
      <c r="G79" s="16">
        <v>1455</v>
      </c>
      <c r="H79" s="16">
        <v>7606</v>
      </c>
      <c r="I79" s="16">
        <v>793</v>
      </c>
      <c r="J79" s="16">
        <v>6032</v>
      </c>
      <c r="K79" s="16">
        <v>9736</v>
      </c>
      <c r="L79" s="16">
        <v>580</v>
      </c>
      <c r="M79" s="16">
        <v>5647</v>
      </c>
      <c r="N79" s="16">
        <v>4676</v>
      </c>
      <c r="O79" s="16">
        <v>15600</v>
      </c>
      <c r="P79" s="16">
        <v>72945</v>
      </c>
      <c r="Q79" s="18" t="s">
        <v>18</v>
      </c>
      <c r="R79" s="18" t="s">
        <v>18</v>
      </c>
      <c r="S79" s="18" t="s">
        <v>18</v>
      </c>
      <c r="T79" s="18" t="s">
        <v>18</v>
      </c>
      <c r="U79" s="18" t="s">
        <v>18</v>
      </c>
      <c r="V79" s="18" t="s">
        <v>18</v>
      </c>
      <c r="W79" s="17">
        <v>95644</v>
      </c>
      <c r="X79" s="17">
        <v>136766</v>
      </c>
      <c r="Y79" s="3"/>
      <c r="Z79" s="3"/>
      <c r="AA79" s="3"/>
      <c r="AB79" s="3"/>
      <c r="AC79" s="3"/>
    </row>
    <row r="80" spans="1:29" ht="15.75" x14ac:dyDescent="0.25">
      <c r="A80" s="20" t="s">
        <v>31</v>
      </c>
      <c r="B80" s="42">
        <v>235032</v>
      </c>
      <c r="C80" s="42"/>
      <c r="D80" s="42">
        <v>203119</v>
      </c>
      <c r="E80" s="42">
        <v>24499</v>
      </c>
      <c r="F80" s="42"/>
      <c r="G80" s="42">
        <v>7311</v>
      </c>
      <c r="H80" s="42">
        <v>22789</v>
      </c>
      <c r="I80" s="42"/>
      <c r="J80" s="42">
        <v>19356</v>
      </c>
      <c r="K80" s="42">
        <v>20726</v>
      </c>
      <c r="L80" s="42"/>
      <c r="M80" s="42">
        <v>12606</v>
      </c>
      <c r="N80" s="42">
        <v>8033</v>
      </c>
      <c r="O80" s="42">
        <v>14847</v>
      </c>
      <c r="P80" s="42">
        <v>119265</v>
      </c>
      <c r="Q80" s="60" t="s">
        <v>18</v>
      </c>
      <c r="R80" s="60" t="s">
        <v>18</v>
      </c>
      <c r="S80" s="60" t="s">
        <v>18</v>
      </c>
      <c r="T80" s="63">
        <v>4436</v>
      </c>
      <c r="U80" s="63"/>
      <c r="V80" s="63">
        <v>8428</v>
      </c>
      <c r="W80" s="44">
        <v>315515</v>
      </c>
      <c r="X80" s="44">
        <v>361657</v>
      </c>
      <c r="Y80" s="3"/>
      <c r="Z80" s="3"/>
      <c r="AA80" s="3"/>
      <c r="AB80" s="3"/>
      <c r="AC80" s="3"/>
    </row>
    <row r="81" spans="1:29" ht="15.75" x14ac:dyDescent="0.25">
      <c r="A81" s="15" t="s">
        <v>32</v>
      </c>
      <c r="B81" s="16">
        <v>369912</v>
      </c>
      <c r="C81" s="16"/>
      <c r="D81" s="16">
        <v>260098</v>
      </c>
      <c r="E81" s="16">
        <v>43529</v>
      </c>
      <c r="F81" s="16"/>
      <c r="G81" s="16">
        <v>12812</v>
      </c>
      <c r="H81" s="16">
        <v>22789</v>
      </c>
      <c r="I81" s="16"/>
      <c r="J81" s="16">
        <v>19356</v>
      </c>
      <c r="K81" s="16">
        <v>43897</v>
      </c>
      <c r="L81" s="16"/>
      <c r="M81" s="16">
        <v>21002</v>
      </c>
      <c r="N81" s="16">
        <v>18537</v>
      </c>
      <c r="O81" s="16">
        <v>14443</v>
      </c>
      <c r="P81" s="16">
        <v>267739</v>
      </c>
      <c r="Q81" s="39">
        <v>22425</v>
      </c>
      <c r="R81" s="39"/>
      <c r="S81" s="39">
        <v>575762</v>
      </c>
      <c r="T81" s="39">
        <v>4436</v>
      </c>
      <c r="U81" s="39"/>
      <c r="V81" s="39">
        <v>8428</v>
      </c>
      <c r="W81" s="17">
        <v>541212</v>
      </c>
      <c r="X81" s="17">
        <v>1156769</v>
      </c>
      <c r="Y81" s="3"/>
      <c r="Z81" s="3"/>
      <c r="AA81" s="3"/>
      <c r="AB81" s="3"/>
      <c r="AC81" s="3"/>
    </row>
    <row r="82" spans="1:29" ht="15.75" x14ac:dyDescent="0.25">
      <c r="A82" s="3"/>
      <c r="B82" s="3"/>
      <c r="C82" s="3"/>
      <c r="D82" s="3"/>
      <c r="E82" s="3"/>
      <c r="F82" s="3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45"/>
      <c r="X82" s="45"/>
      <c r="Y82" s="3"/>
      <c r="Z82" s="3"/>
      <c r="AA82" s="3"/>
      <c r="AB82" s="3"/>
      <c r="AC82" s="3"/>
    </row>
    <row r="83" spans="1:29" x14ac:dyDescent="0.25">
      <c r="A83" s="64"/>
      <c r="B83" s="65" t="s">
        <v>0</v>
      </c>
      <c r="C83" s="64"/>
      <c r="D83" s="64"/>
      <c r="E83" s="64"/>
      <c r="F83" s="64"/>
      <c r="G83" s="64"/>
      <c r="H83" s="64"/>
      <c r="I83" s="65" t="s">
        <v>55</v>
      </c>
      <c r="J83" s="64"/>
      <c r="K83" s="64"/>
      <c r="L83" s="64"/>
      <c r="M83" s="64"/>
      <c r="N83" s="64"/>
      <c r="O83" s="64"/>
      <c r="P83" s="64"/>
      <c r="Q83" s="64"/>
      <c r="R83" s="66"/>
      <c r="S83" s="66"/>
      <c r="T83" s="66"/>
      <c r="U83" s="66"/>
      <c r="V83" s="66"/>
      <c r="W83" s="66"/>
      <c r="X83" s="66"/>
      <c r="Y83" s="66"/>
      <c r="Z83" s="66"/>
      <c r="AA83" s="66"/>
      <c r="AB83" s="66"/>
      <c r="AC83" s="66"/>
    </row>
    <row r="84" spans="1:29" x14ac:dyDescent="0.25">
      <c r="A84" s="67" t="s">
        <v>2</v>
      </c>
      <c r="B84" s="68"/>
      <c r="C84" s="69" t="s">
        <v>3</v>
      </c>
      <c r="D84" s="70"/>
      <c r="E84" s="68"/>
      <c r="F84" s="71" t="s">
        <v>4</v>
      </c>
      <c r="G84" s="70"/>
      <c r="H84" s="68"/>
      <c r="I84" s="69" t="s">
        <v>5</v>
      </c>
      <c r="J84" s="70"/>
      <c r="K84" s="68"/>
      <c r="L84" s="69" t="s">
        <v>6</v>
      </c>
      <c r="M84" s="70"/>
      <c r="N84" s="68"/>
      <c r="O84" s="69" t="s">
        <v>7</v>
      </c>
      <c r="P84" s="70"/>
      <c r="Q84" s="68"/>
      <c r="R84" s="71" t="s">
        <v>8</v>
      </c>
      <c r="S84" s="70"/>
      <c r="T84" s="68"/>
      <c r="U84" s="71" t="s">
        <v>9</v>
      </c>
      <c r="V84" s="70"/>
      <c r="W84" s="72" t="s">
        <v>10</v>
      </c>
      <c r="X84" s="73"/>
      <c r="Y84" s="66"/>
      <c r="Z84" s="66"/>
      <c r="AA84" s="66"/>
      <c r="AB84" s="66"/>
      <c r="AC84" s="66"/>
    </row>
    <row r="85" spans="1:29" x14ac:dyDescent="0.25">
      <c r="A85" s="74" t="s">
        <v>11</v>
      </c>
      <c r="B85" s="75" t="s">
        <v>12</v>
      </c>
      <c r="C85" s="75" t="s">
        <v>13</v>
      </c>
      <c r="D85" s="75" t="s">
        <v>14</v>
      </c>
      <c r="E85" s="75" t="s">
        <v>12</v>
      </c>
      <c r="F85" s="75" t="s">
        <v>13</v>
      </c>
      <c r="G85" s="75" t="s">
        <v>14</v>
      </c>
      <c r="H85" s="75" t="s">
        <v>12</v>
      </c>
      <c r="I85" s="75" t="s">
        <v>13</v>
      </c>
      <c r="J85" s="75" t="s">
        <v>14</v>
      </c>
      <c r="K85" s="75" t="s">
        <v>12</v>
      </c>
      <c r="L85" s="75" t="s">
        <v>13</v>
      </c>
      <c r="M85" s="75" t="s">
        <v>14</v>
      </c>
      <c r="N85" s="75" t="s">
        <v>12</v>
      </c>
      <c r="O85" s="75" t="s">
        <v>13</v>
      </c>
      <c r="P85" s="75" t="s">
        <v>14</v>
      </c>
      <c r="Q85" s="75" t="s">
        <v>12</v>
      </c>
      <c r="R85" s="75" t="s">
        <v>13</v>
      </c>
      <c r="S85" s="75" t="s">
        <v>14</v>
      </c>
      <c r="T85" s="75" t="s">
        <v>12</v>
      </c>
      <c r="U85" s="75" t="s">
        <v>13</v>
      </c>
      <c r="V85" s="75" t="s">
        <v>14</v>
      </c>
      <c r="W85" s="76" t="s">
        <v>12</v>
      </c>
      <c r="X85" s="77" t="s">
        <v>14</v>
      </c>
      <c r="Y85" s="66"/>
      <c r="Z85" s="66"/>
      <c r="AA85" s="66"/>
      <c r="AB85" s="66"/>
      <c r="AC85" s="66"/>
    </row>
    <row r="86" spans="1:29" x14ac:dyDescent="0.25">
      <c r="A86" s="78" t="s">
        <v>15</v>
      </c>
      <c r="B86" s="79">
        <v>90370</v>
      </c>
      <c r="C86" s="79">
        <v>275</v>
      </c>
      <c r="D86" s="79">
        <v>24852</v>
      </c>
      <c r="E86" s="79">
        <v>42230</v>
      </c>
      <c r="F86" s="79">
        <v>281</v>
      </c>
      <c r="G86" s="79">
        <v>11867</v>
      </c>
      <c r="H86" s="79">
        <v>1000</v>
      </c>
      <c r="I86" s="79">
        <v>500</v>
      </c>
      <c r="J86" s="79">
        <v>50</v>
      </c>
      <c r="K86" s="80" t="s">
        <v>18</v>
      </c>
      <c r="L86" s="80" t="s">
        <v>18</v>
      </c>
      <c r="M86" s="80" t="s">
        <v>18</v>
      </c>
      <c r="N86" s="79">
        <v>2000</v>
      </c>
      <c r="O86" s="79">
        <v>574</v>
      </c>
      <c r="P86" s="79">
        <v>1148</v>
      </c>
      <c r="Q86" s="80" t="s">
        <v>18</v>
      </c>
      <c r="R86" s="80" t="s">
        <v>18</v>
      </c>
      <c r="S86" s="80" t="s">
        <v>18</v>
      </c>
      <c r="T86" s="80" t="s">
        <v>18</v>
      </c>
      <c r="U86" s="80" t="s">
        <v>18</v>
      </c>
      <c r="V86" s="80" t="s">
        <v>18</v>
      </c>
      <c r="W86" s="73">
        <v>134700</v>
      </c>
      <c r="X86" s="79">
        <v>37917</v>
      </c>
      <c r="Y86" s="66"/>
      <c r="Z86" s="66"/>
      <c r="AA86" s="66"/>
      <c r="AB86" s="66"/>
      <c r="AC86" s="66"/>
    </row>
    <row r="87" spans="1:29" x14ac:dyDescent="0.25">
      <c r="A87" s="78" t="s">
        <v>16</v>
      </c>
      <c r="B87" s="80" t="s">
        <v>18</v>
      </c>
      <c r="C87" s="80" t="s">
        <v>18</v>
      </c>
      <c r="D87" s="80" t="s">
        <v>18</v>
      </c>
      <c r="E87" s="80" t="s">
        <v>18</v>
      </c>
      <c r="F87" s="80" t="s">
        <v>18</v>
      </c>
      <c r="G87" s="80" t="s">
        <v>18</v>
      </c>
      <c r="H87" s="80" t="s">
        <v>18</v>
      </c>
      <c r="I87" s="80" t="s">
        <v>18</v>
      </c>
      <c r="J87" s="80" t="s">
        <v>18</v>
      </c>
      <c r="K87" s="80" t="s">
        <v>18</v>
      </c>
      <c r="L87" s="80" t="s">
        <v>18</v>
      </c>
      <c r="M87" s="80" t="s">
        <v>18</v>
      </c>
      <c r="N87" s="80" t="s">
        <v>18</v>
      </c>
      <c r="O87" s="80" t="s">
        <v>18</v>
      </c>
      <c r="P87" s="80" t="s">
        <v>18</v>
      </c>
      <c r="Q87" s="80" t="s">
        <v>18</v>
      </c>
      <c r="R87" s="80" t="s">
        <v>18</v>
      </c>
      <c r="S87" s="80" t="s">
        <v>18</v>
      </c>
      <c r="T87" s="80" t="s">
        <v>18</v>
      </c>
      <c r="U87" s="80" t="s">
        <v>18</v>
      </c>
      <c r="V87" s="80" t="s">
        <v>18</v>
      </c>
      <c r="W87" s="81" t="s">
        <v>18</v>
      </c>
      <c r="X87" s="80" t="s">
        <v>18</v>
      </c>
      <c r="Y87" s="66"/>
      <c r="Z87" s="66"/>
      <c r="AA87" s="66"/>
      <c r="AB87" s="66"/>
      <c r="AC87" s="66"/>
    </row>
    <row r="88" spans="1:29" x14ac:dyDescent="0.25">
      <c r="A88" s="78" t="s">
        <v>17</v>
      </c>
      <c r="B88" s="79">
        <v>70857</v>
      </c>
      <c r="C88" s="79">
        <v>251</v>
      </c>
      <c r="D88" s="79">
        <v>17785</v>
      </c>
      <c r="E88" s="79">
        <v>13795</v>
      </c>
      <c r="F88" s="79">
        <v>306</v>
      </c>
      <c r="G88" s="79">
        <v>4221</v>
      </c>
      <c r="H88" s="80" t="s">
        <v>18</v>
      </c>
      <c r="I88" s="80" t="s">
        <v>18</v>
      </c>
      <c r="J88" s="80" t="s">
        <v>18</v>
      </c>
      <c r="K88" s="80" t="s">
        <v>18</v>
      </c>
      <c r="L88" s="80" t="s">
        <v>18</v>
      </c>
      <c r="M88" s="80" t="s">
        <v>18</v>
      </c>
      <c r="N88" s="80" t="s">
        <v>18</v>
      </c>
      <c r="O88" s="80" t="s">
        <v>18</v>
      </c>
      <c r="P88" s="80" t="s">
        <v>18</v>
      </c>
      <c r="Q88" s="80" t="s">
        <v>18</v>
      </c>
      <c r="R88" s="80" t="s">
        <v>18</v>
      </c>
      <c r="S88" s="80" t="s">
        <v>18</v>
      </c>
      <c r="T88" s="80" t="s">
        <v>18</v>
      </c>
      <c r="U88" s="80" t="s">
        <v>18</v>
      </c>
      <c r="V88" s="80" t="s">
        <v>18</v>
      </c>
      <c r="W88" s="73">
        <v>84652</v>
      </c>
      <c r="X88" s="79">
        <v>22006</v>
      </c>
      <c r="Y88" s="66"/>
      <c r="Z88" s="66"/>
      <c r="AA88" s="66"/>
      <c r="AB88" s="66"/>
      <c r="AC88" s="66"/>
    </row>
    <row r="89" spans="1:29" x14ac:dyDescent="0.25">
      <c r="A89" s="78" t="s">
        <v>19</v>
      </c>
      <c r="B89" s="79">
        <v>99145</v>
      </c>
      <c r="C89" s="79">
        <v>498</v>
      </c>
      <c r="D89" s="79">
        <v>49374</v>
      </c>
      <c r="E89" s="79">
        <v>70000</v>
      </c>
      <c r="F89" s="79">
        <v>658</v>
      </c>
      <c r="G89" s="79">
        <v>46060</v>
      </c>
      <c r="H89" s="79">
        <v>14000</v>
      </c>
      <c r="I89" s="79">
        <v>1455</v>
      </c>
      <c r="J89" s="79">
        <v>20370</v>
      </c>
      <c r="K89" s="79">
        <v>210</v>
      </c>
      <c r="L89" s="79">
        <v>3433</v>
      </c>
      <c r="M89" s="79">
        <v>721</v>
      </c>
      <c r="N89" s="79">
        <v>10000</v>
      </c>
      <c r="O89" s="79">
        <v>688</v>
      </c>
      <c r="P89" s="79">
        <v>5880</v>
      </c>
      <c r="Q89" s="80" t="s">
        <v>18</v>
      </c>
      <c r="R89" s="80" t="s">
        <v>18</v>
      </c>
      <c r="S89" s="80" t="s">
        <v>18</v>
      </c>
      <c r="T89" s="80" t="s">
        <v>18</v>
      </c>
      <c r="U89" s="80" t="s">
        <v>18</v>
      </c>
      <c r="V89" s="80" t="s">
        <v>18</v>
      </c>
      <c r="W89" s="73">
        <v>193355</v>
      </c>
      <c r="X89" s="79">
        <v>123405</v>
      </c>
      <c r="Y89" s="66"/>
      <c r="Z89" s="66"/>
      <c r="AA89" s="66"/>
      <c r="AB89" s="66"/>
      <c r="AC89" s="66"/>
    </row>
    <row r="90" spans="1:29" x14ac:dyDescent="0.25">
      <c r="A90" s="78" t="s">
        <v>20</v>
      </c>
      <c r="B90" s="79">
        <v>18300</v>
      </c>
      <c r="C90" s="79">
        <v>371</v>
      </c>
      <c r="D90" s="79">
        <v>6790</v>
      </c>
      <c r="E90" s="79">
        <v>48860</v>
      </c>
      <c r="F90" s="79">
        <v>648</v>
      </c>
      <c r="G90" s="79">
        <v>31661</v>
      </c>
      <c r="H90" s="80" t="s">
        <v>18</v>
      </c>
      <c r="I90" s="80" t="s">
        <v>18</v>
      </c>
      <c r="J90" s="80" t="s">
        <v>18</v>
      </c>
      <c r="K90" s="80" t="s">
        <v>18</v>
      </c>
      <c r="L90" s="80" t="s">
        <v>18</v>
      </c>
      <c r="M90" s="80" t="s">
        <v>18</v>
      </c>
      <c r="N90" s="79">
        <v>9500</v>
      </c>
      <c r="O90" s="79">
        <v>671</v>
      </c>
      <c r="P90" s="79">
        <v>6375</v>
      </c>
      <c r="Q90" s="80" t="s">
        <v>18</v>
      </c>
      <c r="R90" s="80" t="s">
        <v>18</v>
      </c>
      <c r="S90" s="80" t="s">
        <v>18</v>
      </c>
      <c r="T90" s="80" t="s">
        <v>18</v>
      </c>
      <c r="U90" s="80" t="s">
        <v>18</v>
      </c>
      <c r="V90" s="80" t="s">
        <v>18</v>
      </c>
      <c r="W90" s="73">
        <v>76660</v>
      </c>
      <c r="X90" s="79">
        <v>44826</v>
      </c>
      <c r="Y90" s="66"/>
      <c r="Z90" s="66"/>
      <c r="AA90" s="66"/>
      <c r="AB90" s="66"/>
      <c r="AC90" s="66"/>
    </row>
    <row r="91" spans="1:29" x14ac:dyDescent="0.25">
      <c r="A91" s="78" t="s">
        <v>21</v>
      </c>
      <c r="B91" s="79">
        <v>39700</v>
      </c>
      <c r="C91" s="79">
        <v>179</v>
      </c>
      <c r="D91" s="79">
        <v>7106</v>
      </c>
      <c r="E91" s="79">
        <v>16000</v>
      </c>
      <c r="F91" s="79">
        <v>178</v>
      </c>
      <c r="G91" s="79">
        <v>2848</v>
      </c>
      <c r="H91" s="80" t="s">
        <v>18</v>
      </c>
      <c r="I91" s="80" t="s">
        <v>18</v>
      </c>
      <c r="J91" s="80" t="s">
        <v>18</v>
      </c>
      <c r="K91" s="80" t="s">
        <v>18</v>
      </c>
      <c r="L91" s="80" t="s">
        <v>18</v>
      </c>
      <c r="M91" s="80" t="s">
        <v>18</v>
      </c>
      <c r="N91" s="80" t="s">
        <v>18</v>
      </c>
      <c r="O91" s="80" t="s">
        <v>18</v>
      </c>
      <c r="P91" s="80" t="s">
        <v>18</v>
      </c>
      <c r="Q91" s="80" t="s">
        <v>18</v>
      </c>
      <c r="R91" s="80" t="s">
        <v>18</v>
      </c>
      <c r="S91" s="80" t="s">
        <v>18</v>
      </c>
      <c r="T91" s="80" t="s">
        <v>18</v>
      </c>
      <c r="U91" s="80" t="s">
        <v>18</v>
      </c>
      <c r="V91" s="80" t="s">
        <v>18</v>
      </c>
      <c r="W91" s="73">
        <v>55700</v>
      </c>
      <c r="X91" s="79">
        <v>9954</v>
      </c>
      <c r="Y91" s="66"/>
      <c r="Z91" s="66"/>
      <c r="AA91" s="66"/>
      <c r="AB91" s="66"/>
      <c r="AC91" s="66"/>
    </row>
    <row r="92" spans="1:29" x14ac:dyDescent="0.25">
      <c r="A92" s="78" t="s">
        <v>22</v>
      </c>
      <c r="B92" s="79">
        <v>46720</v>
      </c>
      <c r="C92" s="79">
        <v>258</v>
      </c>
      <c r="D92" s="79">
        <v>12054</v>
      </c>
      <c r="E92" s="80" t="s">
        <v>18</v>
      </c>
      <c r="F92" s="80" t="s">
        <v>18</v>
      </c>
      <c r="G92" s="80" t="s">
        <v>18</v>
      </c>
      <c r="H92" s="79">
        <v>46470</v>
      </c>
      <c r="I92" s="79">
        <v>1208</v>
      </c>
      <c r="J92" s="79">
        <v>56136</v>
      </c>
      <c r="K92" s="80" t="s">
        <v>18</v>
      </c>
      <c r="L92" s="80" t="s">
        <v>18</v>
      </c>
      <c r="M92" s="80" t="s">
        <v>18</v>
      </c>
      <c r="N92" s="80" t="s">
        <v>18</v>
      </c>
      <c r="O92" s="80" t="s">
        <v>18</v>
      </c>
      <c r="P92" s="80" t="s">
        <v>18</v>
      </c>
      <c r="Q92" s="79">
        <v>1200</v>
      </c>
      <c r="R92" s="79">
        <v>3000</v>
      </c>
      <c r="S92" s="79">
        <v>3600</v>
      </c>
      <c r="T92" s="80" t="s">
        <v>18</v>
      </c>
      <c r="U92" s="80" t="s">
        <v>18</v>
      </c>
      <c r="V92" s="80" t="s">
        <v>18</v>
      </c>
      <c r="W92" s="73">
        <v>94390</v>
      </c>
      <c r="X92" s="79">
        <v>71790</v>
      </c>
      <c r="Y92" s="66"/>
      <c r="Z92" s="66"/>
      <c r="AA92" s="66"/>
      <c r="AB92" s="66"/>
      <c r="AC92" s="66"/>
    </row>
    <row r="93" spans="1:29" x14ac:dyDescent="0.25">
      <c r="A93" s="78" t="s">
        <v>23</v>
      </c>
      <c r="B93" s="79">
        <v>145000</v>
      </c>
      <c r="C93" s="79">
        <v>347</v>
      </c>
      <c r="D93" s="79">
        <v>50315</v>
      </c>
      <c r="E93" s="79">
        <v>69000</v>
      </c>
      <c r="F93" s="79">
        <v>450</v>
      </c>
      <c r="G93" s="79">
        <v>31050</v>
      </c>
      <c r="H93" s="79">
        <v>13500</v>
      </c>
      <c r="I93" s="79">
        <v>378</v>
      </c>
      <c r="J93" s="79">
        <v>5103</v>
      </c>
      <c r="K93" s="80" t="s">
        <v>18</v>
      </c>
      <c r="L93" s="80" t="s">
        <v>18</v>
      </c>
      <c r="M93" s="80" t="s">
        <v>18</v>
      </c>
      <c r="N93" s="80" t="s">
        <v>18</v>
      </c>
      <c r="O93" s="80" t="s">
        <v>18</v>
      </c>
      <c r="P93" s="80" t="s">
        <v>18</v>
      </c>
      <c r="Q93" s="80" t="s">
        <v>18</v>
      </c>
      <c r="R93" s="80" t="s">
        <v>18</v>
      </c>
      <c r="S93" s="80" t="s">
        <v>18</v>
      </c>
      <c r="T93" s="80" t="s">
        <v>18</v>
      </c>
      <c r="U93" s="80" t="s">
        <v>18</v>
      </c>
      <c r="V93" s="80" t="s">
        <v>18</v>
      </c>
      <c r="W93" s="73">
        <v>227500</v>
      </c>
      <c r="X93" s="79">
        <v>864688</v>
      </c>
      <c r="Y93" s="66"/>
      <c r="Z93" s="66"/>
      <c r="AA93" s="66"/>
      <c r="AB93" s="66"/>
      <c r="AC93" s="66"/>
    </row>
    <row r="94" spans="1:29" x14ac:dyDescent="0.25">
      <c r="A94" s="78" t="s">
        <v>24</v>
      </c>
      <c r="B94" s="79">
        <v>2900</v>
      </c>
      <c r="C94" s="79">
        <v>536</v>
      </c>
      <c r="D94" s="79">
        <v>1554</v>
      </c>
      <c r="E94" s="79">
        <v>18600</v>
      </c>
      <c r="F94" s="79">
        <v>620</v>
      </c>
      <c r="G94" s="79">
        <v>11532</v>
      </c>
      <c r="H94" s="79">
        <v>4000</v>
      </c>
      <c r="I94" s="79">
        <v>360</v>
      </c>
      <c r="J94" s="79">
        <v>1440</v>
      </c>
      <c r="K94" s="80" t="s">
        <v>18</v>
      </c>
      <c r="L94" s="80" t="s">
        <v>18</v>
      </c>
      <c r="M94" s="80" t="s">
        <v>18</v>
      </c>
      <c r="N94" s="79">
        <v>45000</v>
      </c>
      <c r="O94" s="79">
        <v>1017</v>
      </c>
      <c r="P94" s="79">
        <v>45765</v>
      </c>
      <c r="Q94" s="80" t="s">
        <v>18</v>
      </c>
      <c r="R94" s="80" t="s">
        <v>18</v>
      </c>
      <c r="S94" s="80" t="s">
        <v>18</v>
      </c>
      <c r="T94" s="80" t="s">
        <v>18</v>
      </c>
      <c r="U94" s="80" t="s">
        <v>18</v>
      </c>
      <c r="V94" s="80" t="s">
        <v>18</v>
      </c>
      <c r="W94" s="73">
        <v>70500</v>
      </c>
      <c r="X94" s="79">
        <v>60291</v>
      </c>
      <c r="Y94" s="66"/>
      <c r="Z94" s="66"/>
      <c r="AA94" s="66"/>
      <c r="AB94" s="66"/>
      <c r="AC94" s="66"/>
    </row>
    <row r="95" spans="1:29" x14ac:dyDescent="0.25">
      <c r="A95" s="82" t="s">
        <v>25</v>
      </c>
      <c r="B95" s="83">
        <v>512992</v>
      </c>
      <c r="C95" s="83">
        <v>331</v>
      </c>
      <c r="D95" s="83">
        <v>169831</v>
      </c>
      <c r="E95" s="83">
        <v>278485</v>
      </c>
      <c r="F95" s="83">
        <v>500</v>
      </c>
      <c r="G95" s="83">
        <v>139239</v>
      </c>
      <c r="H95" s="83">
        <v>78070</v>
      </c>
      <c r="I95" s="83">
        <v>1064</v>
      </c>
      <c r="J95" s="83">
        <v>83099</v>
      </c>
      <c r="K95" s="83">
        <v>210</v>
      </c>
      <c r="L95" s="83">
        <v>3433</v>
      </c>
      <c r="M95" s="83">
        <v>721</v>
      </c>
      <c r="N95" s="83">
        <v>66500</v>
      </c>
      <c r="O95" s="83">
        <v>905</v>
      </c>
      <c r="P95" s="83">
        <v>60168</v>
      </c>
      <c r="Q95" s="83">
        <v>1200</v>
      </c>
      <c r="R95" s="83">
        <v>3000</v>
      </c>
      <c r="S95" s="83">
        <v>3600</v>
      </c>
      <c r="T95" s="83"/>
      <c r="U95" s="83"/>
      <c r="V95" s="83"/>
      <c r="W95" s="84">
        <v>937457</v>
      </c>
      <c r="X95" s="83">
        <v>456657</v>
      </c>
      <c r="Y95" s="66"/>
      <c r="Z95" s="66"/>
      <c r="AA95" s="66"/>
      <c r="AB95" s="66"/>
      <c r="AC95" s="66"/>
    </row>
    <row r="96" spans="1:29" x14ac:dyDescent="0.25">
      <c r="A96" s="78" t="s">
        <v>26</v>
      </c>
      <c r="B96" s="79">
        <v>14576</v>
      </c>
      <c r="C96" s="79">
        <v>310</v>
      </c>
      <c r="D96" s="79">
        <v>5809</v>
      </c>
      <c r="E96" s="79">
        <v>107865</v>
      </c>
      <c r="F96" s="79">
        <v>719</v>
      </c>
      <c r="G96" s="79">
        <v>77555</v>
      </c>
      <c r="H96" s="79">
        <v>9492</v>
      </c>
      <c r="I96" s="79">
        <v>765</v>
      </c>
      <c r="J96" s="79">
        <v>7261</v>
      </c>
      <c r="K96" s="79">
        <v>37523</v>
      </c>
      <c r="L96" s="79">
        <v>1375</v>
      </c>
      <c r="M96" s="79">
        <v>51594</v>
      </c>
      <c r="N96" s="79">
        <v>29700</v>
      </c>
      <c r="O96" s="79">
        <v>876</v>
      </c>
      <c r="P96" s="79"/>
      <c r="Q96" s="80" t="s">
        <v>18</v>
      </c>
      <c r="R96" s="80" t="s">
        <v>18</v>
      </c>
      <c r="S96" s="80" t="s">
        <v>18</v>
      </c>
      <c r="T96" s="79">
        <v>2000</v>
      </c>
      <c r="U96" s="79">
        <v>560</v>
      </c>
      <c r="V96" s="79">
        <v>1120</v>
      </c>
      <c r="W96" s="73">
        <v>93690</v>
      </c>
      <c r="X96" s="79">
        <v>60102</v>
      </c>
      <c r="Y96" s="66"/>
      <c r="Z96" s="66"/>
      <c r="AA96" s="66"/>
      <c r="AB96" s="66"/>
      <c r="AC96" s="66"/>
    </row>
    <row r="97" spans="1:29" x14ac:dyDescent="0.25">
      <c r="A97" s="78" t="s">
        <v>27</v>
      </c>
      <c r="B97" s="79">
        <v>32884</v>
      </c>
      <c r="C97" s="79">
        <v>831</v>
      </c>
      <c r="D97" s="79">
        <v>22764</v>
      </c>
      <c r="E97" s="79">
        <v>67532</v>
      </c>
      <c r="F97" s="79">
        <v>516</v>
      </c>
      <c r="G97" s="79">
        <v>34847</v>
      </c>
      <c r="H97" s="79">
        <v>5610</v>
      </c>
      <c r="I97" s="79">
        <v>450</v>
      </c>
      <c r="J97" s="79">
        <v>2525</v>
      </c>
      <c r="K97" s="79">
        <v>28676</v>
      </c>
      <c r="L97" s="79">
        <v>1235</v>
      </c>
      <c r="M97" s="79">
        <v>35415</v>
      </c>
      <c r="N97" s="79">
        <v>8000</v>
      </c>
      <c r="O97" s="79">
        <v>385</v>
      </c>
      <c r="P97" s="79">
        <v>26017</v>
      </c>
      <c r="Q97" s="80" t="s">
        <v>18</v>
      </c>
      <c r="R97" s="80" t="s">
        <v>18</v>
      </c>
      <c r="S97" s="80" t="s">
        <v>18</v>
      </c>
      <c r="T97" s="79"/>
      <c r="U97" s="79"/>
      <c r="V97" s="79"/>
      <c r="W97" s="73">
        <v>121502</v>
      </c>
      <c r="X97" s="79">
        <v>93684</v>
      </c>
      <c r="Y97" s="66"/>
      <c r="Z97" s="66"/>
      <c r="AA97" s="66"/>
      <c r="AB97" s="66"/>
      <c r="AC97" s="66"/>
    </row>
    <row r="98" spans="1:29" x14ac:dyDescent="0.25">
      <c r="A98" s="78" t="s">
        <v>28</v>
      </c>
      <c r="B98" s="79">
        <v>18739</v>
      </c>
      <c r="C98" s="79">
        <v>694</v>
      </c>
      <c r="D98" s="79">
        <v>10116</v>
      </c>
      <c r="E98" s="79">
        <v>54267</v>
      </c>
      <c r="F98" s="79">
        <v>585</v>
      </c>
      <c r="G98" s="79">
        <v>31746</v>
      </c>
      <c r="H98" s="79">
        <v>1275</v>
      </c>
      <c r="I98" s="79">
        <v>420</v>
      </c>
      <c r="J98" s="79">
        <v>536</v>
      </c>
      <c r="K98" s="79">
        <v>17409</v>
      </c>
      <c r="L98" s="79">
        <v>1200</v>
      </c>
      <c r="M98" s="79">
        <v>20891</v>
      </c>
      <c r="N98" s="80" t="s">
        <v>18</v>
      </c>
      <c r="O98" s="80" t="s">
        <v>18</v>
      </c>
      <c r="P98" s="80" t="s">
        <v>18</v>
      </c>
      <c r="Q98" s="80" t="s">
        <v>18</v>
      </c>
      <c r="R98" s="80" t="s">
        <v>18</v>
      </c>
      <c r="S98" s="80" t="s">
        <v>18</v>
      </c>
      <c r="T98" s="79">
        <v>52</v>
      </c>
      <c r="U98" s="79">
        <v>560</v>
      </c>
      <c r="V98" s="79">
        <v>29</v>
      </c>
      <c r="W98" s="73">
        <v>199208</v>
      </c>
      <c r="X98" s="79">
        <v>172572</v>
      </c>
      <c r="Y98" s="66"/>
      <c r="Z98" s="66"/>
      <c r="AA98" s="66"/>
      <c r="AB98" s="66"/>
      <c r="AC98" s="66"/>
    </row>
    <row r="99" spans="1:29" x14ac:dyDescent="0.25">
      <c r="A99" s="78" t="s">
        <v>29</v>
      </c>
      <c r="B99" s="79">
        <v>27393</v>
      </c>
      <c r="C99" s="79">
        <v>407</v>
      </c>
      <c r="D99" s="79">
        <v>18983</v>
      </c>
      <c r="E99" s="79">
        <v>85530</v>
      </c>
      <c r="F99" s="79">
        <v>746</v>
      </c>
      <c r="G99" s="79">
        <v>63805</v>
      </c>
      <c r="H99" s="79">
        <v>5579</v>
      </c>
      <c r="I99" s="79">
        <v>665</v>
      </c>
      <c r="J99" s="79">
        <v>3710</v>
      </c>
      <c r="K99" s="79">
        <v>300</v>
      </c>
      <c r="L99" s="79">
        <v>1125</v>
      </c>
      <c r="M99" s="79">
        <v>3405</v>
      </c>
      <c r="N99" s="80" t="s">
        <v>18</v>
      </c>
      <c r="O99" s="80" t="s">
        <v>18</v>
      </c>
      <c r="P99" s="80" t="s">
        <v>18</v>
      </c>
      <c r="Q99" s="80" t="s">
        <v>18</v>
      </c>
      <c r="R99" s="80" t="s">
        <v>18</v>
      </c>
      <c r="S99" s="80" t="s">
        <v>18</v>
      </c>
      <c r="T99" s="79">
        <v>167</v>
      </c>
      <c r="U99" s="79">
        <v>560</v>
      </c>
      <c r="V99" s="79">
        <v>94</v>
      </c>
      <c r="W99" s="73">
        <v>142702</v>
      </c>
      <c r="X99" s="79">
        <v>106071</v>
      </c>
      <c r="Y99" s="66"/>
      <c r="Z99" s="66"/>
      <c r="AA99" s="66"/>
      <c r="AB99" s="66"/>
      <c r="AC99" s="66"/>
    </row>
    <row r="100" spans="1:29" x14ac:dyDescent="0.25">
      <c r="A100" s="78" t="s">
        <v>30</v>
      </c>
      <c r="B100" s="79">
        <v>46641</v>
      </c>
      <c r="C100" s="79">
        <v>635</v>
      </c>
      <c r="D100" s="79">
        <v>20881</v>
      </c>
      <c r="E100" s="79">
        <v>141785</v>
      </c>
      <c r="F100" s="79">
        <v>560</v>
      </c>
      <c r="G100" s="79">
        <v>79400</v>
      </c>
      <c r="H100" s="79">
        <v>5610</v>
      </c>
      <c r="I100" s="79">
        <v>557</v>
      </c>
      <c r="J100" s="79">
        <v>2010</v>
      </c>
      <c r="K100" s="79">
        <v>204</v>
      </c>
      <c r="L100" s="79">
        <v>1285</v>
      </c>
      <c r="M100" s="79">
        <v>262</v>
      </c>
      <c r="N100" s="79">
        <v>6993</v>
      </c>
      <c r="O100" s="79">
        <v>761</v>
      </c>
      <c r="P100" s="79">
        <v>5322</v>
      </c>
      <c r="Q100" s="80" t="s">
        <v>18</v>
      </c>
      <c r="R100" s="80" t="s">
        <v>18</v>
      </c>
      <c r="S100" s="80" t="s">
        <v>18</v>
      </c>
      <c r="T100" s="80" t="s">
        <v>18</v>
      </c>
      <c r="U100" s="80" t="s">
        <v>18</v>
      </c>
      <c r="V100" s="80" t="s">
        <v>18</v>
      </c>
      <c r="W100" s="73">
        <v>756500</v>
      </c>
      <c r="X100" s="79">
        <v>96748</v>
      </c>
      <c r="Y100" s="66"/>
      <c r="Z100" s="66"/>
      <c r="AA100" s="66"/>
      <c r="AB100" s="66"/>
      <c r="AC100" s="66"/>
    </row>
    <row r="101" spans="1:29" x14ac:dyDescent="0.25">
      <c r="A101" s="85" t="s">
        <v>31</v>
      </c>
      <c r="B101" s="83">
        <v>140233</v>
      </c>
      <c r="C101" s="83">
        <v>560</v>
      </c>
      <c r="D101" s="83">
        <v>78553</v>
      </c>
      <c r="E101" s="83">
        <v>456979</v>
      </c>
      <c r="F101" s="83">
        <v>629</v>
      </c>
      <c r="G101" s="83">
        <v>287353</v>
      </c>
      <c r="H101" s="83">
        <v>25564</v>
      </c>
      <c r="I101" s="83">
        <v>627</v>
      </c>
      <c r="J101" s="83">
        <v>16042</v>
      </c>
      <c r="K101" s="83">
        <v>86812</v>
      </c>
      <c r="L101" s="83">
        <v>1285</v>
      </c>
      <c r="M101" s="83">
        <v>111605</v>
      </c>
      <c r="N101" s="83">
        <v>44693</v>
      </c>
      <c r="O101" s="83">
        <v>770</v>
      </c>
      <c r="P101" s="83">
        <v>34419</v>
      </c>
      <c r="Q101" s="83"/>
      <c r="R101" s="83">
        <v>3000</v>
      </c>
      <c r="S101" s="83"/>
      <c r="T101" s="83">
        <v>2219</v>
      </c>
      <c r="U101" s="83">
        <v>560</v>
      </c>
      <c r="V101" s="83">
        <v>1243</v>
      </c>
      <c r="W101" s="84">
        <v>1693957</v>
      </c>
      <c r="X101" s="83">
        <v>529177</v>
      </c>
      <c r="Y101" s="66"/>
      <c r="Z101" s="66"/>
      <c r="AA101" s="66"/>
      <c r="AB101" s="66"/>
      <c r="AC101" s="66"/>
    </row>
    <row r="102" spans="1:29" x14ac:dyDescent="0.25">
      <c r="A102" s="78" t="s">
        <v>32</v>
      </c>
      <c r="B102" s="79">
        <v>653225</v>
      </c>
      <c r="C102" s="79"/>
      <c r="D102" s="79">
        <v>248383</v>
      </c>
      <c r="E102" s="79">
        <v>735464</v>
      </c>
      <c r="F102" s="79"/>
      <c r="G102" s="79">
        <v>426592</v>
      </c>
      <c r="H102" s="79">
        <v>103634</v>
      </c>
      <c r="I102" s="79"/>
      <c r="J102" s="79">
        <v>99141</v>
      </c>
      <c r="K102" s="79">
        <v>87022</v>
      </c>
      <c r="L102" s="79"/>
      <c r="M102" s="79">
        <v>112288</v>
      </c>
      <c r="N102" s="79">
        <v>111193</v>
      </c>
      <c r="O102" s="79"/>
      <c r="P102" s="79">
        <v>94586</v>
      </c>
      <c r="Q102" s="79">
        <v>1200</v>
      </c>
      <c r="R102" s="79"/>
      <c r="S102" s="79">
        <v>3600</v>
      </c>
      <c r="T102" s="79">
        <v>2219</v>
      </c>
      <c r="U102" s="79"/>
      <c r="V102" s="79">
        <v>1243</v>
      </c>
      <c r="W102" s="73">
        <v>1693957</v>
      </c>
      <c r="X102" s="79">
        <v>985833</v>
      </c>
      <c r="Y102" s="66"/>
      <c r="Z102" s="66"/>
      <c r="AA102" s="66"/>
      <c r="AB102" s="66"/>
      <c r="AC102" s="66"/>
    </row>
    <row r="103" spans="1:29" x14ac:dyDescent="0.25">
      <c r="A103" s="66"/>
      <c r="B103" s="66"/>
      <c r="C103" s="66"/>
      <c r="D103" s="66"/>
      <c r="E103" s="66"/>
      <c r="F103" s="66"/>
      <c r="G103" s="66"/>
      <c r="H103" s="66"/>
      <c r="I103" s="66"/>
      <c r="J103" s="66"/>
      <c r="K103" s="66"/>
      <c r="L103" s="66"/>
      <c r="M103" s="66"/>
      <c r="N103" s="66"/>
      <c r="O103" s="66"/>
      <c r="P103" s="66"/>
      <c r="Q103" s="66"/>
      <c r="R103" s="66"/>
      <c r="S103" s="66"/>
      <c r="T103" s="66"/>
      <c r="U103" s="66"/>
      <c r="V103" s="66"/>
      <c r="W103" s="66"/>
      <c r="X103" s="66"/>
      <c r="Y103" s="66"/>
      <c r="Z103" s="66"/>
      <c r="AA103" s="66"/>
      <c r="AB103" s="66"/>
      <c r="AC103" s="66"/>
    </row>
    <row r="104" spans="1:29" x14ac:dyDescent="0.25">
      <c r="A104" s="86"/>
      <c r="B104" s="65" t="s">
        <v>56</v>
      </c>
      <c r="C104" s="86"/>
      <c r="D104" s="86"/>
      <c r="E104" s="86"/>
      <c r="F104" s="86"/>
      <c r="G104" s="86"/>
      <c r="H104" s="86"/>
      <c r="I104" s="86"/>
      <c r="J104" s="86"/>
      <c r="K104" s="86"/>
      <c r="L104" s="87" t="s">
        <v>34</v>
      </c>
      <c r="M104" s="86"/>
      <c r="N104" s="66"/>
      <c r="O104" s="87" t="s">
        <v>35</v>
      </c>
      <c r="P104" s="66"/>
      <c r="Q104" s="66"/>
      <c r="R104" s="86"/>
      <c r="S104" s="87" t="s">
        <v>36</v>
      </c>
      <c r="T104" s="86"/>
      <c r="U104" s="86"/>
      <c r="V104" s="86"/>
      <c r="W104" s="86"/>
      <c r="X104" s="86"/>
      <c r="Y104" s="66"/>
      <c r="Z104" s="66"/>
      <c r="AA104" s="66"/>
      <c r="AB104" s="66"/>
      <c r="AC104" s="66"/>
    </row>
    <row r="105" spans="1:29" x14ac:dyDescent="0.25">
      <c r="A105" s="71" t="s">
        <v>2</v>
      </c>
      <c r="B105" s="88"/>
      <c r="C105" s="89" t="s">
        <v>37</v>
      </c>
      <c r="D105" s="90"/>
      <c r="E105" s="88"/>
      <c r="F105" s="89" t="s">
        <v>38</v>
      </c>
      <c r="G105" s="90"/>
      <c r="H105" s="88"/>
      <c r="I105" s="89" t="s">
        <v>39</v>
      </c>
      <c r="J105" s="90"/>
      <c r="K105" s="88"/>
      <c r="L105" s="91" t="s">
        <v>40</v>
      </c>
      <c r="M105" s="90"/>
      <c r="N105" s="88"/>
      <c r="O105" s="91" t="s">
        <v>41</v>
      </c>
      <c r="P105" s="90"/>
      <c r="Q105" s="88"/>
      <c r="R105" s="91" t="s">
        <v>54</v>
      </c>
      <c r="S105" s="90"/>
      <c r="T105" s="88"/>
      <c r="U105" s="91" t="s">
        <v>43</v>
      </c>
      <c r="V105" s="90"/>
      <c r="W105" s="92"/>
      <c r="X105" s="93" t="s">
        <v>57</v>
      </c>
      <c r="Y105" s="66"/>
      <c r="Z105" s="66"/>
      <c r="AA105" s="66"/>
      <c r="AB105" s="66"/>
      <c r="AC105" s="66"/>
    </row>
    <row r="106" spans="1:29" x14ac:dyDescent="0.25">
      <c r="A106" s="74" t="s">
        <v>11</v>
      </c>
      <c r="B106" s="75" t="s">
        <v>12</v>
      </c>
      <c r="C106" s="75" t="s">
        <v>13</v>
      </c>
      <c r="D106" s="75" t="s">
        <v>14</v>
      </c>
      <c r="E106" s="75" t="s">
        <v>12</v>
      </c>
      <c r="F106" s="75" t="s">
        <v>13</v>
      </c>
      <c r="G106" s="75" t="s">
        <v>14</v>
      </c>
      <c r="H106" s="75" t="s">
        <v>12</v>
      </c>
      <c r="I106" s="75" t="s">
        <v>13</v>
      </c>
      <c r="J106" s="75" t="s">
        <v>14</v>
      </c>
      <c r="K106" s="75" t="s">
        <v>12</v>
      </c>
      <c r="L106" s="75" t="s">
        <v>13</v>
      </c>
      <c r="M106" s="75" t="s">
        <v>14</v>
      </c>
      <c r="N106" s="75" t="s">
        <v>12</v>
      </c>
      <c r="O106" s="75" t="s">
        <v>13</v>
      </c>
      <c r="P106" s="75" t="s">
        <v>14</v>
      </c>
      <c r="Q106" s="75" t="s">
        <v>12</v>
      </c>
      <c r="R106" s="75" t="s">
        <v>13</v>
      </c>
      <c r="S106" s="75" t="s">
        <v>14</v>
      </c>
      <c r="T106" s="75" t="s">
        <v>12</v>
      </c>
      <c r="U106" s="75" t="s">
        <v>13</v>
      </c>
      <c r="V106" s="75" t="s">
        <v>14</v>
      </c>
      <c r="W106" s="80" t="s">
        <v>12</v>
      </c>
      <c r="X106" s="80" t="s">
        <v>14</v>
      </c>
      <c r="Y106" s="66"/>
      <c r="Z106" s="66"/>
      <c r="AA106" s="66"/>
      <c r="AB106" s="66"/>
      <c r="AC106" s="66"/>
    </row>
    <row r="107" spans="1:29" x14ac:dyDescent="0.25">
      <c r="A107" s="78" t="s">
        <v>15</v>
      </c>
      <c r="B107" s="79">
        <v>1800</v>
      </c>
      <c r="C107" s="79">
        <v>833</v>
      </c>
      <c r="D107" s="79">
        <v>1500</v>
      </c>
      <c r="E107" s="79">
        <v>210</v>
      </c>
      <c r="F107" s="79">
        <v>571</v>
      </c>
      <c r="G107" s="79">
        <v>120</v>
      </c>
      <c r="H107" s="80" t="s">
        <v>18</v>
      </c>
      <c r="I107" s="80" t="s">
        <v>18</v>
      </c>
      <c r="J107" s="80" t="s">
        <v>18</v>
      </c>
      <c r="K107" s="79">
        <v>2890</v>
      </c>
      <c r="L107" s="79">
        <v>500</v>
      </c>
      <c r="M107" s="79">
        <v>1445</v>
      </c>
      <c r="N107" s="80" t="s">
        <v>18</v>
      </c>
      <c r="O107" s="80" t="s">
        <v>18</v>
      </c>
      <c r="P107" s="80" t="s">
        <v>18</v>
      </c>
      <c r="Q107" s="80" t="s">
        <v>18</v>
      </c>
      <c r="R107" s="80" t="s">
        <v>18</v>
      </c>
      <c r="S107" s="80" t="s">
        <v>18</v>
      </c>
      <c r="T107" s="80" t="s">
        <v>18</v>
      </c>
      <c r="U107" s="80" t="s">
        <v>18</v>
      </c>
      <c r="V107" s="80" t="s">
        <v>18</v>
      </c>
      <c r="W107" s="79">
        <v>4900</v>
      </c>
      <c r="X107" s="79">
        <v>3065</v>
      </c>
      <c r="Y107" s="66"/>
      <c r="Z107" s="66"/>
      <c r="AA107" s="66"/>
      <c r="AB107" s="66"/>
      <c r="AC107" s="66"/>
    </row>
    <row r="108" spans="1:29" x14ac:dyDescent="0.25">
      <c r="A108" s="78" t="s">
        <v>49</v>
      </c>
      <c r="B108" s="80"/>
      <c r="C108" s="80"/>
      <c r="D108" s="80"/>
      <c r="E108" s="80"/>
      <c r="F108" s="80"/>
      <c r="G108" s="80"/>
      <c r="H108" s="80"/>
      <c r="I108" s="80"/>
      <c r="J108" s="80"/>
      <c r="K108" s="80"/>
      <c r="L108" s="80"/>
      <c r="M108" s="80"/>
      <c r="N108" s="80"/>
      <c r="O108" s="80"/>
      <c r="P108" s="80"/>
      <c r="Q108" s="80"/>
      <c r="R108" s="80"/>
      <c r="S108" s="80"/>
      <c r="T108" s="80"/>
      <c r="U108" s="80"/>
      <c r="V108" s="80"/>
      <c r="W108" s="80"/>
      <c r="X108" s="80"/>
      <c r="Y108" s="66"/>
      <c r="Z108" s="66"/>
      <c r="AA108" s="66"/>
      <c r="AB108" s="66"/>
      <c r="AC108" s="66"/>
    </row>
    <row r="109" spans="1:29" x14ac:dyDescent="0.25">
      <c r="A109" s="78" t="s">
        <v>17</v>
      </c>
      <c r="B109" s="79">
        <v>2000</v>
      </c>
      <c r="C109" s="79">
        <v>100</v>
      </c>
      <c r="D109" s="79">
        <v>200</v>
      </c>
      <c r="E109" s="79">
        <v>1200</v>
      </c>
      <c r="F109" s="79">
        <v>150</v>
      </c>
      <c r="G109" s="79">
        <v>180</v>
      </c>
      <c r="H109" s="80" t="s">
        <v>18</v>
      </c>
      <c r="I109" s="80" t="s">
        <v>18</v>
      </c>
      <c r="J109" s="80" t="s">
        <v>18</v>
      </c>
      <c r="K109" s="80" t="s">
        <v>18</v>
      </c>
      <c r="L109" s="80" t="s">
        <v>18</v>
      </c>
      <c r="M109" s="80" t="s">
        <v>18</v>
      </c>
      <c r="N109" s="80" t="s">
        <v>18</v>
      </c>
      <c r="O109" s="80" t="s">
        <v>18</v>
      </c>
      <c r="P109" s="80" t="s">
        <v>18</v>
      </c>
      <c r="Q109" s="80" t="s">
        <v>18</v>
      </c>
      <c r="R109" s="80" t="s">
        <v>18</v>
      </c>
      <c r="S109" s="80" t="s">
        <v>18</v>
      </c>
      <c r="T109" s="80" t="s">
        <v>18</v>
      </c>
      <c r="U109" s="80" t="s">
        <v>18</v>
      </c>
      <c r="V109" s="80" t="s">
        <v>18</v>
      </c>
      <c r="W109" s="79">
        <v>3200</v>
      </c>
      <c r="X109" s="79">
        <v>380</v>
      </c>
      <c r="Y109" s="66"/>
      <c r="Z109" s="66"/>
      <c r="AA109" s="66"/>
      <c r="AB109" s="66"/>
      <c r="AC109" s="66"/>
    </row>
    <row r="110" spans="1:29" x14ac:dyDescent="0.25">
      <c r="A110" s="78" t="s">
        <v>46</v>
      </c>
      <c r="B110" s="79">
        <v>43348</v>
      </c>
      <c r="C110" s="79">
        <v>500</v>
      </c>
      <c r="D110" s="79">
        <v>21674</v>
      </c>
      <c r="E110" s="79">
        <v>780</v>
      </c>
      <c r="F110" s="79">
        <v>250</v>
      </c>
      <c r="G110" s="79">
        <v>186</v>
      </c>
      <c r="H110" s="80" t="s">
        <v>18</v>
      </c>
      <c r="I110" s="80" t="s">
        <v>18</v>
      </c>
      <c r="J110" s="80" t="s">
        <v>18</v>
      </c>
      <c r="K110" s="80" t="s">
        <v>18</v>
      </c>
      <c r="L110" s="80" t="s">
        <v>18</v>
      </c>
      <c r="M110" s="80" t="s">
        <v>18</v>
      </c>
      <c r="N110" s="80" t="s">
        <v>18</v>
      </c>
      <c r="O110" s="80" t="s">
        <v>18</v>
      </c>
      <c r="P110" s="80" t="s">
        <v>18</v>
      </c>
      <c r="Q110" s="80" t="s">
        <v>18</v>
      </c>
      <c r="R110" s="80" t="s">
        <v>18</v>
      </c>
      <c r="S110" s="80" t="s">
        <v>18</v>
      </c>
      <c r="T110" s="80" t="s">
        <v>18</v>
      </c>
      <c r="U110" s="80" t="s">
        <v>18</v>
      </c>
      <c r="V110" s="80" t="s">
        <v>18</v>
      </c>
      <c r="W110" s="79">
        <v>44128</v>
      </c>
      <c r="X110" s="79">
        <v>21860</v>
      </c>
      <c r="Y110" s="66"/>
      <c r="Z110" s="66"/>
      <c r="AA110" s="66"/>
      <c r="AB110" s="66"/>
      <c r="AC110" s="66"/>
    </row>
    <row r="111" spans="1:29" x14ac:dyDescent="0.25">
      <c r="A111" s="78" t="s">
        <v>20</v>
      </c>
      <c r="B111" s="79">
        <v>24000</v>
      </c>
      <c r="C111" s="79">
        <v>750</v>
      </c>
      <c r="D111" s="79">
        <v>18000</v>
      </c>
      <c r="E111" s="79">
        <v>10200</v>
      </c>
      <c r="F111" s="79">
        <v>400</v>
      </c>
      <c r="G111" s="79">
        <v>4080</v>
      </c>
      <c r="H111" s="80" t="s">
        <v>18</v>
      </c>
      <c r="I111" s="80" t="s">
        <v>18</v>
      </c>
      <c r="J111" s="80" t="s">
        <v>18</v>
      </c>
      <c r="K111" s="79">
        <v>6800</v>
      </c>
      <c r="L111" s="79">
        <v>610</v>
      </c>
      <c r="M111" s="79">
        <v>4080</v>
      </c>
      <c r="N111" s="80" t="s">
        <v>18</v>
      </c>
      <c r="O111" s="80" t="s">
        <v>18</v>
      </c>
      <c r="P111" s="80" t="s">
        <v>18</v>
      </c>
      <c r="Q111" s="80" t="s">
        <v>18</v>
      </c>
      <c r="R111" s="80" t="s">
        <v>18</v>
      </c>
      <c r="S111" s="80" t="s">
        <v>18</v>
      </c>
      <c r="T111" s="80" t="s">
        <v>18</v>
      </c>
      <c r="U111" s="80" t="s">
        <v>18</v>
      </c>
      <c r="V111" s="80" t="s">
        <v>18</v>
      </c>
      <c r="W111" s="79">
        <v>41000</v>
      </c>
      <c r="X111" s="79">
        <v>26160</v>
      </c>
      <c r="Y111" s="66"/>
      <c r="Z111" s="66"/>
      <c r="AA111" s="66"/>
      <c r="AB111" s="66"/>
      <c r="AC111" s="66"/>
    </row>
    <row r="112" spans="1:29" x14ac:dyDescent="0.25">
      <c r="A112" s="78" t="s">
        <v>21</v>
      </c>
      <c r="B112" s="80" t="s">
        <v>18</v>
      </c>
      <c r="C112" s="80" t="s">
        <v>18</v>
      </c>
      <c r="D112" s="80" t="s">
        <v>18</v>
      </c>
      <c r="E112" s="80" t="s">
        <v>18</v>
      </c>
      <c r="F112" s="80" t="s">
        <v>18</v>
      </c>
      <c r="G112" s="80" t="s">
        <v>18</v>
      </c>
      <c r="H112" s="80" t="s">
        <v>18</v>
      </c>
      <c r="I112" s="80" t="s">
        <v>18</v>
      </c>
      <c r="J112" s="80" t="s">
        <v>18</v>
      </c>
      <c r="K112" s="80" t="s">
        <v>18</v>
      </c>
      <c r="L112" s="80" t="s">
        <v>18</v>
      </c>
      <c r="M112" s="80" t="s">
        <v>18</v>
      </c>
      <c r="N112" s="80" t="s">
        <v>18</v>
      </c>
      <c r="O112" s="80" t="s">
        <v>18</v>
      </c>
      <c r="P112" s="80" t="s">
        <v>18</v>
      </c>
      <c r="Q112" s="80" t="s">
        <v>18</v>
      </c>
      <c r="R112" s="80" t="s">
        <v>18</v>
      </c>
      <c r="S112" s="80" t="s">
        <v>18</v>
      </c>
      <c r="T112" s="80" t="s">
        <v>18</v>
      </c>
      <c r="U112" s="80" t="s">
        <v>18</v>
      </c>
      <c r="V112" s="80" t="s">
        <v>18</v>
      </c>
      <c r="W112" s="80" t="s">
        <v>18</v>
      </c>
      <c r="X112" s="80" t="s">
        <v>18</v>
      </c>
      <c r="Y112" s="66"/>
      <c r="Z112" s="66"/>
      <c r="AA112" s="66"/>
      <c r="AB112" s="66"/>
      <c r="AC112" s="66"/>
    </row>
    <row r="113" spans="1:29" x14ac:dyDescent="0.25">
      <c r="A113" s="78" t="s">
        <v>22</v>
      </c>
      <c r="B113" s="79">
        <v>70</v>
      </c>
      <c r="C113" s="79">
        <v>1500</v>
      </c>
      <c r="D113" s="79">
        <v>106</v>
      </c>
      <c r="E113" s="80" t="s">
        <v>18</v>
      </c>
      <c r="F113" s="80" t="s">
        <v>18</v>
      </c>
      <c r="G113" s="80" t="s">
        <v>18</v>
      </c>
      <c r="H113" s="80" t="s">
        <v>18</v>
      </c>
      <c r="I113" s="80" t="s">
        <v>18</v>
      </c>
      <c r="J113" s="80" t="s">
        <v>18</v>
      </c>
      <c r="K113" s="80" t="s">
        <v>18</v>
      </c>
      <c r="L113" s="80" t="s">
        <v>18</v>
      </c>
      <c r="M113" s="80" t="s">
        <v>18</v>
      </c>
      <c r="N113" s="80" t="s">
        <v>18</v>
      </c>
      <c r="O113" s="80" t="s">
        <v>18</v>
      </c>
      <c r="P113" s="80" t="s">
        <v>18</v>
      </c>
      <c r="Q113" s="80" t="s">
        <v>18</v>
      </c>
      <c r="R113" s="80" t="s">
        <v>18</v>
      </c>
      <c r="S113" s="80" t="s">
        <v>18</v>
      </c>
      <c r="T113" s="80" t="s">
        <v>18</v>
      </c>
      <c r="U113" s="80" t="s">
        <v>18</v>
      </c>
      <c r="V113" s="80" t="s">
        <v>18</v>
      </c>
      <c r="W113" s="79">
        <v>70</v>
      </c>
      <c r="X113" s="79">
        <v>106</v>
      </c>
      <c r="Y113" s="66"/>
      <c r="Z113" s="66"/>
      <c r="AA113" s="66"/>
      <c r="AB113" s="66"/>
      <c r="AC113" s="66"/>
    </row>
    <row r="114" spans="1:29" x14ac:dyDescent="0.25">
      <c r="A114" s="78" t="s">
        <v>23</v>
      </c>
      <c r="B114" s="79">
        <v>79230</v>
      </c>
      <c r="C114" s="79">
        <v>1200</v>
      </c>
      <c r="D114" s="79">
        <v>95076</v>
      </c>
      <c r="E114" s="79">
        <v>10430</v>
      </c>
      <c r="F114" s="79">
        <v>300</v>
      </c>
      <c r="G114" s="79">
        <v>3130</v>
      </c>
      <c r="H114" s="79">
        <v>8020</v>
      </c>
      <c r="I114" s="79">
        <v>500</v>
      </c>
      <c r="J114" s="79">
        <v>4010</v>
      </c>
      <c r="K114" s="79">
        <v>17530</v>
      </c>
      <c r="L114" s="79">
        <v>500</v>
      </c>
      <c r="M114" s="79">
        <v>8765</v>
      </c>
      <c r="N114" s="80" t="s">
        <v>18</v>
      </c>
      <c r="O114" s="80" t="s">
        <v>18</v>
      </c>
      <c r="P114" s="80" t="s">
        <v>18</v>
      </c>
      <c r="Q114" s="80" t="s">
        <v>18</v>
      </c>
      <c r="R114" s="80" t="s">
        <v>18</v>
      </c>
      <c r="S114" s="80" t="s">
        <v>18</v>
      </c>
      <c r="T114" s="80" t="s">
        <v>18</v>
      </c>
      <c r="U114" s="80" t="s">
        <v>18</v>
      </c>
      <c r="V114" s="80" t="s">
        <v>18</v>
      </c>
      <c r="W114" s="79">
        <v>115210</v>
      </c>
      <c r="X114" s="79">
        <v>110981</v>
      </c>
      <c r="Y114" s="66"/>
      <c r="Z114" s="66"/>
      <c r="AA114" s="66"/>
      <c r="AB114" s="66"/>
      <c r="AC114" s="66"/>
    </row>
    <row r="115" spans="1:29" x14ac:dyDescent="0.25">
      <c r="A115" s="78" t="s">
        <v>24</v>
      </c>
      <c r="B115" s="79">
        <v>4200</v>
      </c>
      <c r="C115" s="79">
        <v>750</v>
      </c>
      <c r="D115" s="79">
        <v>3150</v>
      </c>
      <c r="E115" s="79">
        <v>800</v>
      </c>
      <c r="F115" s="79">
        <v>250</v>
      </c>
      <c r="G115" s="79">
        <v>200</v>
      </c>
      <c r="H115" s="80" t="s">
        <v>18</v>
      </c>
      <c r="I115" s="80" t="s">
        <v>18</v>
      </c>
      <c r="J115" s="80" t="s">
        <v>18</v>
      </c>
      <c r="K115" s="79">
        <v>200</v>
      </c>
      <c r="L115" s="79">
        <v>600</v>
      </c>
      <c r="M115" s="79">
        <v>120</v>
      </c>
      <c r="N115" s="80" t="s">
        <v>18</v>
      </c>
      <c r="O115" s="80" t="s">
        <v>18</v>
      </c>
      <c r="P115" s="80" t="s">
        <v>18</v>
      </c>
      <c r="Q115" s="80" t="s">
        <v>18</v>
      </c>
      <c r="R115" s="80" t="s">
        <v>18</v>
      </c>
      <c r="S115" s="80" t="s">
        <v>18</v>
      </c>
      <c r="T115" s="80" t="s">
        <v>18</v>
      </c>
      <c r="U115" s="80" t="s">
        <v>18</v>
      </c>
      <c r="V115" s="80" t="s">
        <v>18</v>
      </c>
      <c r="W115" s="79">
        <v>5200</v>
      </c>
      <c r="X115" s="79">
        <v>3470</v>
      </c>
      <c r="Y115" s="66"/>
      <c r="Z115" s="66"/>
      <c r="AA115" s="66"/>
      <c r="AB115" s="66"/>
      <c r="AC115" s="66"/>
    </row>
    <row r="116" spans="1:29" x14ac:dyDescent="0.25">
      <c r="A116" s="82" t="s">
        <v>25</v>
      </c>
      <c r="B116" s="83">
        <v>154648</v>
      </c>
      <c r="C116" s="83">
        <v>903</v>
      </c>
      <c r="D116" s="83">
        <v>139706</v>
      </c>
      <c r="E116" s="83">
        <v>23620</v>
      </c>
      <c r="F116" s="83">
        <v>334</v>
      </c>
      <c r="G116" s="83">
        <v>7896</v>
      </c>
      <c r="H116" s="83">
        <v>8020</v>
      </c>
      <c r="I116" s="83">
        <v>500</v>
      </c>
      <c r="J116" s="83">
        <v>4010</v>
      </c>
      <c r="K116" s="83">
        <v>27420</v>
      </c>
      <c r="L116" s="83">
        <v>525</v>
      </c>
      <c r="M116" s="83">
        <v>14410</v>
      </c>
      <c r="N116" s="94" t="s">
        <v>18</v>
      </c>
      <c r="O116" s="94" t="s">
        <v>18</v>
      </c>
      <c r="P116" s="94" t="s">
        <v>18</v>
      </c>
      <c r="Q116" s="94" t="s">
        <v>18</v>
      </c>
      <c r="R116" s="94" t="s">
        <v>18</v>
      </c>
      <c r="S116" s="94" t="s">
        <v>18</v>
      </c>
      <c r="T116" s="94" t="s">
        <v>18</v>
      </c>
      <c r="U116" s="94" t="s">
        <v>18</v>
      </c>
      <c r="V116" s="94" t="s">
        <v>18</v>
      </c>
      <c r="W116" s="83">
        <v>213708</v>
      </c>
      <c r="X116" s="83">
        <v>166022</v>
      </c>
      <c r="Y116" s="66"/>
      <c r="Z116" s="66"/>
      <c r="AA116" s="66"/>
      <c r="AB116" s="66"/>
      <c r="AC116" s="66"/>
    </row>
    <row r="117" spans="1:29" x14ac:dyDescent="0.25">
      <c r="A117" s="78" t="s">
        <v>47</v>
      </c>
      <c r="B117" s="79">
        <v>52006</v>
      </c>
      <c r="C117" s="79">
        <v>816</v>
      </c>
      <c r="D117" s="79">
        <v>42436</v>
      </c>
      <c r="E117" s="79">
        <v>5120</v>
      </c>
      <c r="F117" s="79">
        <v>483</v>
      </c>
      <c r="G117" s="79">
        <v>2861</v>
      </c>
      <c r="H117" s="79">
        <v>3635</v>
      </c>
      <c r="I117" s="79">
        <v>650</v>
      </c>
      <c r="J117" s="79">
        <v>2365</v>
      </c>
      <c r="K117" s="79">
        <v>5203</v>
      </c>
      <c r="L117" s="79">
        <v>642</v>
      </c>
      <c r="M117" s="79">
        <v>3340</v>
      </c>
      <c r="N117" s="79">
        <v>1600</v>
      </c>
      <c r="O117" s="79">
        <v>12000</v>
      </c>
      <c r="P117" s="79">
        <v>192000</v>
      </c>
      <c r="Q117" s="80" t="s">
        <v>18</v>
      </c>
      <c r="R117" s="80" t="s">
        <v>18</v>
      </c>
      <c r="S117" s="80" t="s">
        <v>18</v>
      </c>
      <c r="T117" s="80" t="s">
        <v>18</v>
      </c>
      <c r="U117" s="80" t="s">
        <v>18</v>
      </c>
      <c r="V117" s="80" t="s">
        <v>18</v>
      </c>
      <c r="W117" s="79">
        <v>50894</v>
      </c>
      <c r="X117" s="79">
        <v>39083</v>
      </c>
      <c r="Y117" s="66"/>
      <c r="Z117" s="66"/>
      <c r="AA117" s="66"/>
      <c r="AB117" s="66"/>
      <c r="AC117" s="66"/>
    </row>
    <row r="118" spans="1:29" x14ac:dyDescent="0.25">
      <c r="A118" s="78" t="s">
        <v>27</v>
      </c>
      <c r="B118" s="79">
        <v>28916</v>
      </c>
      <c r="C118" s="79">
        <v>700</v>
      </c>
      <c r="D118" s="79">
        <v>20241</v>
      </c>
      <c r="E118" s="79">
        <v>8019</v>
      </c>
      <c r="F118" s="79">
        <v>424</v>
      </c>
      <c r="G118" s="79">
        <v>3405</v>
      </c>
      <c r="H118" s="79">
        <v>13122</v>
      </c>
      <c r="I118" s="79">
        <v>720</v>
      </c>
      <c r="J118" s="79">
        <v>9447</v>
      </c>
      <c r="K118" s="79">
        <v>4770</v>
      </c>
      <c r="L118" s="79">
        <v>613</v>
      </c>
      <c r="M118" s="79">
        <v>2924</v>
      </c>
      <c r="N118" s="79">
        <v>890</v>
      </c>
      <c r="O118" s="79">
        <v>12000</v>
      </c>
      <c r="P118" s="79">
        <v>10600</v>
      </c>
      <c r="Q118" s="80" t="s">
        <v>18</v>
      </c>
      <c r="R118" s="80" t="s">
        <v>18</v>
      </c>
      <c r="S118" s="80" t="s">
        <v>18</v>
      </c>
      <c r="T118" s="80" t="s">
        <v>18</v>
      </c>
      <c r="U118" s="80" t="s">
        <v>18</v>
      </c>
      <c r="V118" s="80" t="s">
        <v>18</v>
      </c>
      <c r="W118" s="79">
        <v>64301</v>
      </c>
      <c r="X118" s="79">
        <v>58773</v>
      </c>
      <c r="Y118" s="66"/>
      <c r="Z118" s="66"/>
      <c r="AA118" s="66"/>
      <c r="AB118" s="66"/>
      <c r="AC118" s="66"/>
    </row>
    <row r="119" spans="1:29" x14ac:dyDescent="0.25">
      <c r="A119" s="78" t="s">
        <v>28</v>
      </c>
      <c r="B119" s="79">
        <v>39203</v>
      </c>
      <c r="C119" s="79">
        <v>905</v>
      </c>
      <c r="D119" s="79">
        <v>35478</v>
      </c>
      <c r="E119" s="79">
        <v>10472</v>
      </c>
      <c r="F119" s="79">
        <v>300</v>
      </c>
      <c r="G119" s="79">
        <v>3141</v>
      </c>
      <c r="H119" s="79">
        <v>230</v>
      </c>
      <c r="I119" s="79">
        <v>600</v>
      </c>
      <c r="J119" s="79">
        <v>138</v>
      </c>
      <c r="K119" s="79">
        <v>989</v>
      </c>
      <c r="L119" s="79">
        <v>304</v>
      </c>
      <c r="M119" s="79">
        <v>326</v>
      </c>
      <c r="N119" s="79">
        <v>3480</v>
      </c>
      <c r="O119" s="79">
        <v>13500</v>
      </c>
      <c r="P119" s="79">
        <v>46980</v>
      </c>
      <c r="Q119" s="80" t="s">
        <v>18</v>
      </c>
      <c r="R119" s="80" t="s">
        <v>18</v>
      </c>
      <c r="S119" s="80" t="s">
        <v>18</v>
      </c>
      <c r="T119" s="80" t="s">
        <v>18</v>
      </c>
      <c r="U119" s="80" t="s">
        <v>18</v>
      </c>
      <c r="V119" s="80" t="s">
        <v>18</v>
      </c>
      <c r="W119" s="79">
        <v>65964</v>
      </c>
      <c r="X119" s="79">
        <v>50999</v>
      </c>
      <c r="Y119" s="66"/>
      <c r="Z119" s="66"/>
      <c r="AA119" s="66"/>
      <c r="AB119" s="66"/>
      <c r="AC119" s="66"/>
    </row>
    <row r="120" spans="1:29" x14ac:dyDescent="0.25">
      <c r="A120" s="78" t="s">
        <v>29</v>
      </c>
      <c r="B120" s="79">
        <v>43518</v>
      </c>
      <c r="C120" s="79">
        <v>1100</v>
      </c>
      <c r="D120" s="79">
        <v>50700</v>
      </c>
      <c r="E120" s="79">
        <v>19372</v>
      </c>
      <c r="F120" s="79">
        <v>374</v>
      </c>
      <c r="G120" s="79">
        <v>7248</v>
      </c>
      <c r="H120" s="79">
        <v>300</v>
      </c>
      <c r="I120" s="79">
        <v>642</v>
      </c>
      <c r="J120" s="79">
        <v>192</v>
      </c>
      <c r="K120" s="79">
        <v>1111</v>
      </c>
      <c r="L120" s="79">
        <v>570</v>
      </c>
      <c r="M120" s="79">
        <v>633</v>
      </c>
      <c r="N120" s="79">
        <v>4800</v>
      </c>
      <c r="O120" s="79">
        <v>12000</v>
      </c>
      <c r="P120" s="79">
        <v>57600</v>
      </c>
      <c r="Q120" s="80" t="s">
        <v>18</v>
      </c>
      <c r="R120" s="80" t="s">
        <v>18</v>
      </c>
      <c r="S120" s="80" t="s">
        <v>18</v>
      </c>
      <c r="T120" s="80" t="s">
        <v>18</v>
      </c>
      <c r="U120" s="80" t="s">
        <v>18</v>
      </c>
      <c r="V120" s="80" t="s">
        <v>18</v>
      </c>
      <c r="W120" s="79">
        <v>100302</v>
      </c>
      <c r="X120" s="79">
        <v>77269</v>
      </c>
      <c r="Y120" s="66"/>
      <c r="Z120" s="66"/>
      <c r="AA120" s="66"/>
      <c r="AB120" s="66"/>
      <c r="AC120" s="66"/>
    </row>
    <row r="121" spans="1:29" x14ac:dyDescent="0.25">
      <c r="A121" s="78" t="s">
        <v>30</v>
      </c>
      <c r="B121" s="79">
        <v>80379</v>
      </c>
      <c r="C121" s="79">
        <v>795</v>
      </c>
      <c r="D121" s="79">
        <v>63901</v>
      </c>
      <c r="E121" s="79">
        <v>8025</v>
      </c>
      <c r="F121" s="79">
        <v>194</v>
      </c>
      <c r="G121" s="79">
        <v>1558</v>
      </c>
      <c r="H121" s="79">
        <v>7448</v>
      </c>
      <c r="I121" s="79">
        <v>1287</v>
      </c>
      <c r="J121" s="79">
        <v>9585</v>
      </c>
      <c r="K121" s="79">
        <v>4450</v>
      </c>
      <c r="L121" s="79">
        <v>500</v>
      </c>
      <c r="M121" s="79">
        <v>2225</v>
      </c>
      <c r="N121" s="79">
        <v>6611</v>
      </c>
      <c r="O121" s="79">
        <v>14800</v>
      </c>
      <c r="P121" s="79">
        <v>97842</v>
      </c>
      <c r="Q121" s="80" t="s">
        <v>18</v>
      </c>
      <c r="R121" s="80" t="s">
        <v>18</v>
      </c>
      <c r="S121" s="80" t="s">
        <v>18</v>
      </c>
      <c r="T121" s="80" t="s">
        <v>18</v>
      </c>
      <c r="U121" s="80" t="s">
        <v>18</v>
      </c>
      <c r="V121" s="80" t="s">
        <v>18</v>
      </c>
      <c r="W121" s="79">
        <v>54827</v>
      </c>
      <c r="X121" s="79">
        <v>36017</v>
      </c>
      <c r="Y121" s="66"/>
      <c r="Z121" s="66"/>
      <c r="AA121" s="66"/>
      <c r="AB121" s="66"/>
      <c r="AC121" s="66"/>
    </row>
    <row r="122" spans="1:29" x14ac:dyDescent="0.25">
      <c r="A122" s="85" t="s">
        <v>31</v>
      </c>
      <c r="B122" s="83">
        <f>SUM(B117:B121)</f>
        <v>244022</v>
      </c>
      <c r="C122" s="83">
        <v>872</v>
      </c>
      <c r="D122" s="83">
        <v>212756</v>
      </c>
      <c r="E122" s="83">
        <v>51008</v>
      </c>
      <c r="F122" s="83">
        <v>351</v>
      </c>
      <c r="G122" s="83">
        <v>18213</v>
      </c>
      <c r="H122" s="83">
        <v>24735</v>
      </c>
      <c r="I122" s="83">
        <v>563</v>
      </c>
      <c r="J122" s="83">
        <v>21724</v>
      </c>
      <c r="K122" s="83">
        <v>43943</v>
      </c>
      <c r="L122" s="83">
        <v>541</v>
      </c>
      <c r="M122" s="83">
        <v>23858</v>
      </c>
      <c r="N122" s="83">
        <f>SUM(N117:N121)</f>
        <v>17381</v>
      </c>
      <c r="O122" s="83">
        <v>23302</v>
      </c>
      <c r="P122" s="83">
        <f>SUM(P117:P121)</f>
        <v>405022</v>
      </c>
      <c r="Q122" s="94" t="s">
        <v>18</v>
      </c>
      <c r="R122" s="94" t="s">
        <v>18</v>
      </c>
      <c r="S122" s="94" t="s">
        <v>18</v>
      </c>
      <c r="T122" s="94" t="s">
        <v>18</v>
      </c>
      <c r="U122" s="94" t="s">
        <v>18</v>
      </c>
      <c r="V122" s="94" t="s">
        <v>18</v>
      </c>
      <c r="W122" s="83">
        <v>336288</v>
      </c>
      <c r="X122" s="83">
        <v>262141</v>
      </c>
      <c r="Y122" s="66"/>
      <c r="Z122" s="66"/>
      <c r="AA122" s="66"/>
      <c r="AB122" s="66"/>
      <c r="AC122" s="66"/>
    </row>
    <row r="123" spans="1:29" x14ac:dyDescent="0.25">
      <c r="A123" s="78" t="s">
        <v>32</v>
      </c>
      <c r="B123" s="79">
        <v>398670</v>
      </c>
      <c r="C123" s="79"/>
      <c r="D123" s="79">
        <v>352462</v>
      </c>
      <c r="E123" s="79">
        <v>74628</v>
      </c>
      <c r="F123" s="79"/>
      <c r="G123" s="79">
        <v>26109</v>
      </c>
      <c r="H123" s="79">
        <v>32755</v>
      </c>
      <c r="I123" s="79"/>
      <c r="J123" s="79">
        <v>25734</v>
      </c>
      <c r="K123" s="79"/>
      <c r="L123" s="79"/>
      <c r="M123" s="79"/>
      <c r="N123" s="79">
        <v>17381</v>
      </c>
      <c r="O123" s="79"/>
      <c r="P123" s="79">
        <v>405022</v>
      </c>
      <c r="Q123" s="80" t="s">
        <v>18</v>
      </c>
      <c r="R123" s="80" t="s">
        <v>18</v>
      </c>
      <c r="S123" s="80" t="s">
        <v>18</v>
      </c>
      <c r="T123" s="80" t="s">
        <v>18</v>
      </c>
      <c r="U123" s="80" t="s">
        <v>18</v>
      </c>
      <c r="V123" s="80" t="s">
        <v>18</v>
      </c>
      <c r="W123" s="79">
        <v>549990</v>
      </c>
      <c r="X123" s="79">
        <v>428163</v>
      </c>
      <c r="Y123" s="66"/>
      <c r="Z123" s="66"/>
      <c r="AA123" s="66"/>
      <c r="AB123" s="66"/>
      <c r="AC123" s="66"/>
    </row>
    <row r="124" spans="1:29" x14ac:dyDescent="0.25">
      <c r="A124" s="95" t="s">
        <v>58</v>
      </c>
      <c r="B124" s="96"/>
      <c r="C124" s="96"/>
      <c r="D124" s="95" t="s">
        <v>59</v>
      </c>
      <c r="E124" s="96"/>
      <c r="F124" s="96"/>
      <c r="G124" s="96"/>
      <c r="H124" s="96"/>
      <c r="I124" s="95" t="s">
        <v>60</v>
      </c>
      <c r="J124" s="96"/>
      <c r="K124" s="96"/>
      <c r="L124" s="66"/>
      <c r="M124" s="66"/>
      <c r="N124" s="66"/>
      <c r="O124" s="66"/>
      <c r="P124" s="66"/>
      <c r="Q124" s="66"/>
      <c r="R124" s="66"/>
      <c r="S124" s="66"/>
      <c r="T124" s="66"/>
      <c r="U124" s="66"/>
      <c r="V124" s="66"/>
      <c r="W124" s="66"/>
      <c r="X124" s="66"/>
      <c r="Y124" s="66"/>
      <c r="Z124" s="66"/>
      <c r="AA124" s="66"/>
      <c r="AB124" s="66"/>
      <c r="AC124" s="66"/>
    </row>
    <row r="125" spans="1:29" x14ac:dyDescent="0.25">
      <c r="A125" s="95"/>
      <c r="B125" s="96"/>
      <c r="C125" s="96"/>
      <c r="D125" s="95"/>
      <c r="E125" s="96"/>
      <c r="F125" s="96"/>
      <c r="G125" s="96"/>
      <c r="H125" s="96"/>
      <c r="I125" s="95"/>
      <c r="J125" s="96"/>
      <c r="K125" s="96"/>
      <c r="L125" s="66"/>
      <c r="M125" s="66"/>
      <c r="N125" s="66"/>
      <c r="O125" s="66"/>
      <c r="P125" s="66"/>
      <c r="Q125" s="66"/>
      <c r="R125" s="66"/>
      <c r="S125" s="66"/>
      <c r="T125" s="66"/>
      <c r="U125" s="66"/>
      <c r="V125" s="66"/>
      <c r="W125" s="66"/>
      <c r="X125" s="66"/>
      <c r="Y125" s="66"/>
      <c r="Z125" s="66"/>
      <c r="AA125" s="66"/>
      <c r="AB125" s="66"/>
      <c r="AC125" s="66"/>
    </row>
    <row r="126" spans="1:29" x14ac:dyDescent="0.25">
      <c r="A126" s="64"/>
      <c r="B126" s="65" t="s">
        <v>0</v>
      </c>
      <c r="C126" s="64"/>
      <c r="D126" s="64"/>
      <c r="E126" s="64"/>
      <c r="F126" s="97"/>
      <c r="G126" s="64"/>
      <c r="H126" s="64"/>
      <c r="I126" s="65" t="s">
        <v>61</v>
      </c>
      <c r="J126" s="64"/>
      <c r="K126" s="64"/>
      <c r="L126" s="64"/>
      <c r="M126" s="64"/>
      <c r="N126" s="64"/>
      <c r="O126" s="64"/>
      <c r="P126" s="64"/>
      <c r="Q126" s="64"/>
      <c r="R126" s="66"/>
      <c r="S126" s="66"/>
      <c r="T126" s="66"/>
      <c r="U126" s="66"/>
      <c r="V126" s="66"/>
      <c r="W126" s="66"/>
      <c r="X126" s="66"/>
      <c r="Y126" s="66"/>
      <c r="Z126" s="66"/>
      <c r="AA126" s="66"/>
      <c r="AB126" s="66"/>
      <c r="AC126" s="66"/>
    </row>
    <row r="127" spans="1:29" x14ac:dyDescent="0.25">
      <c r="A127" s="98" t="s">
        <v>2</v>
      </c>
      <c r="B127" s="99"/>
      <c r="C127" s="100" t="s">
        <v>3</v>
      </c>
      <c r="D127" s="101"/>
      <c r="E127" s="102"/>
      <c r="F127" s="103" t="s">
        <v>4</v>
      </c>
      <c r="G127" s="101"/>
      <c r="H127" s="102"/>
      <c r="I127" s="100" t="s">
        <v>5</v>
      </c>
      <c r="J127" s="101"/>
      <c r="K127" s="102"/>
      <c r="L127" s="100" t="s">
        <v>6</v>
      </c>
      <c r="M127" s="101"/>
      <c r="N127" s="102"/>
      <c r="O127" s="100" t="s">
        <v>7</v>
      </c>
      <c r="P127" s="101"/>
      <c r="Q127" s="102"/>
      <c r="R127" s="71" t="s">
        <v>8</v>
      </c>
      <c r="S127" s="70"/>
      <c r="T127" s="68"/>
      <c r="U127" s="71" t="s">
        <v>9</v>
      </c>
      <c r="V127" s="70"/>
      <c r="W127" s="72" t="s">
        <v>10</v>
      </c>
      <c r="X127" s="73"/>
      <c r="Y127" s="66"/>
      <c r="Z127" s="66"/>
      <c r="AA127" s="66"/>
      <c r="AB127" s="66"/>
      <c r="AC127" s="66"/>
    </row>
    <row r="128" spans="1:29" ht="15.75" thickBot="1" x14ac:dyDescent="0.3">
      <c r="A128" s="104" t="s">
        <v>11</v>
      </c>
      <c r="B128" s="105" t="s">
        <v>12</v>
      </c>
      <c r="C128" s="106" t="s">
        <v>13</v>
      </c>
      <c r="D128" s="106" t="s">
        <v>14</v>
      </c>
      <c r="E128" s="106" t="s">
        <v>12</v>
      </c>
      <c r="F128" s="106" t="s">
        <v>13</v>
      </c>
      <c r="G128" s="106" t="s">
        <v>14</v>
      </c>
      <c r="H128" s="106" t="s">
        <v>12</v>
      </c>
      <c r="I128" s="106" t="s">
        <v>13</v>
      </c>
      <c r="J128" s="106" t="s">
        <v>14</v>
      </c>
      <c r="K128" s="106" t="s">
        <v>12</v>
      </c>
      <c r="L128" s="106" t="s">
        <v>13</v>
      </c>
      <c r="M128" s="106" t="s">
        <v>14</v>
      </c>
      <c r="N128" s="106" t="s">
        <v>12</v>
      </c>
      <c r="O128" s="106" t="s">
        <v>13</v>
      </c>
      <c r="P128" s="106" t="s">
        <v>14</v>
      </c>
      <c r="Q128" s="106" t="s">
        <v>12</v>
      </c>
      <c r="R128" s="75" t="s">
        <v>13</v>
      </c>
      <c r="S128" s="75" t="s">
        <v>14</v>
      </c>
      <c r="T128" s="75" t="s">
        <v>12</v>
      </c>
      <c r="U128" s="75" t="s">
        <v>13</v>
      </c>
      <c r="V128" s="75" t="s">
        <v>14</v>
      </c>
      <c r="W128" s="76" t="s">
        <v>12</v>
      </c>
      <c r="X128" s="77" t="s">
        <v>14</v>
      </c>
      <c r="Y128" s="66"/>
      <c r="Z128" s="66"/>
      <c r="AA128" s="66"/>
      <c r="AB128" s="66"/>
      <c r="AC128" s="66"/>
    </row>
    <row r="129" spans="1:29" ht="15.75" thickTop="1" x14ac:dyDescent="0.25">
      <c r="A129" s="107" t="s">
        <v>15</v>
      </c>
      <c r="B129" s="108">
        <v>120000</v>
      </c>
      <c r="C129" s="108">
        <v>300</v>
      </c>
      <c r="D129" s="108">
        <v>36000</v>
      </c>
      <c r="E129" s="108">
        <v>46000</v>
      </c>
      <c r="F129" s="108">
        <v>638</v>
      </c>
      <c r="G129" s="108">
        <v>29348</v>
      </c>
      <c r="H129" s="77" t="s">
        <v>18</v>
      </c>
      <c r="I129" s="77" t="s">
        <v>18</v>
      </c>
      <c r="J129" s="77" t="s">
        <v>18</v>
      </c>
      <c r="K129" s="77" t="s">
        <v>18</v>
      </c>
      <c r="L129" s="77" t="s">
        <v>18</v>
      </c>
      <c r="M129" s="77" t="s">
        <v>18</v>
      </c>
      <c r="N129" s="108">
        <v>30290</v>
      </c>
      <c r="O129" s="108">
        <v>800</v>
      </c>
      <c r="P129" s="108">
        <v>24232</v>
      </c>
      <c r="Q129" s="109" t="s">
        <v>18</v>
      </c>
      <c r="R129" s="80" t="s">
        <v>18</v>
      </c>
      <c r="S129" s="80" t="s">
        <v>18</v>
      </c>
      <c r="T129" s="80" t="s">
        <v>18</v>
      </c>
      <c r="U129" s="80" t="s">
        <v>18</v>
      </c>
      <c r="V129" s="80" t="s">
        <v>18</v>
      </c>
      <c r="W129" s="73">
        <v>134700</v>
      </c>
      <c r="X129" s="79">
        <v>37917</v>
      </c>
      <c r="Y129" s="66"/>
      <c r="Z129" s="66"/>
      <c r="AA129" s="66"/>
      <c r="AB129" s="66"/>
      <c r="AC129" s="66"/>
    </row>
    <row r="130" spans="1:29" x14ac:dyDescent="0.25">
      <c r="A130" s="78" t="s">
        <v>49</v>
      </c>
      <c r="B130" s="80"/>
      <c r="C130" s="80"/>
      <c r="D130" s="80"/>
      <c r="E130" s="80"/>
      <c r="F130" s="80"/>
      <c r="G130" s="80"/>
      <c r="H130" s="80"/>
      <c r="I130" s="80"/>
      <c r="J130" s="80"/>
      <c r="K130" s="80"/>
      <c r="L130" s="80"/>
      <c r="M130" s="80"/>
      <c r="N130" s="80"/>
      <c r="O130" s="80"/>
      <c r="P130" s="80"/>
      <c r="Q130" s="80"/>
      <c r="R130" s="80" t="s">
        <v>18</v>
      </c>
      <c r="S130" s="80" t="s">
        <v>18</v>
      </c>
      <c r="T130" s="80" t="s">
        <v>18</v>
      </c>
      <c r="U130" s="80" t="s">
        <v>18</v>
      </c>
      <c r="V130" s="80" t="s">
        <v>18</v>
      </c>
      <c r="W130" s="81" t="s">
        <v>18</v>
      </c>
      <c r="X130" s="80" t="s">
        <v>18</v>
      </c>
      <c r="Y130" s="66"/>
      <c r="Z130" s="66"/>
      <c r="AA130" s="66"/>
      <c r="AB130" s="66"/>
      <c r="AC130" s="66"/>
    </row>
    <row r="131" spans="1:29" x14ac:dyDescent="0.25">
      <c r="A131" s="78" t="s">
        <v>17</v>
      </c>
      <c r="B131" s="79">
        <v>80300</v>
      </c>
      <c r="C131" s="79">
        <v>350</v>
      </c>
      <c r="D131" s="79">
        <v>28105</v>
      </c>
      <c r="E131" s="79">
        <v>13370</v>
      </c>
      <c r="F131" s="79">
        <v>402</v>
      </c>
      <c r="G131" s="79">
        <v>5375</v>
      </c>
      <c r="H131" s="79"/>
      <c r="I131" s="79"/>
      <c r="J131" s="79"/>
      <c r="K131" s="80" t="s">
        <v>18</v>
      </c>
      <c r="L131" s="80" t="s">
        <v>18</v>
      </c>
      <c r="M131" s="80" t="s">
        <v>18</v>
      </c>
      <c r="N131" s="80" t="s">
        <v>18</v>
      </c>
      <c r="O131" s="80" t="s">
        <v>18</v>
      </c>
      <c r="P131" s="80" t="s">
        <v>18</v>
      </c>
      <c r="Q131" s="80" t="s">
        <v>18</v>
      </c>
      <c r="R131" s="80" t="s">
        <v>18</v>
      </c>
      <c r="S131" s="80" t="s">
        <v>18</v>
      </c>
      <c r="T131" s="80" t="s">
        <v>18</v>
      </c>
      <c r="U131" s="80" t="s">
        <v>18</v>
      </c>
      <c r="V131" s="80" t="s">
        <v>18</v>
      </c>
      <c r="W131" s="73">
        <v>84652</v>
      </c>
      <c r="X131" s="79">
        <v>22006</v>
      </c>
      <c r="Y131" s="66"/>
      <c r="Z131" s="66"/>
      <c r="AA131" s="66"/>
      <c r="AB131" s="66"/>
      <c r="AC131" s="66"/>
    </row>
    <row r="132" spans="1:29" x14ac:dyDescent="0.25">
      <c r="A132" s="78" t="s">
        <v>19</v>
      </c>
      <c r="B132" s="79">
        <v>138313</v>
      </c>
      <c r="C132" s="79">
        <v>465</v>
      </c>
      <c r="D132" s="79">
        <v>64316</v>
      </c>
      <c r="E132" s="79">
        <v>95265</v>
      </c>
      <c r="F132" s="79">
        <v>782</v>
      </c>
      <c r="G132" s="79">
        <v>74497</v>
      </c>
      <c r="H132" s="79">
        <v>30476</v>
      </c>
      <c r="I132" s="79">
        <v>2242</v>
      </c>
      <c r="J132" s="79">
        <v>68327</v>
      </c>
      <c r="K132" s="79">
        <v>508</v>
      </c>
      <c r="L132" s="79">
        <v>4906</v>
      </c>
      <c r="M132" s="79">
        <v>2492</v>
      </c>
      <c r="N132" s="79">
        <v>26642</v>
      </c>
      <c r="O132" s="79">
        <v>900</v>
      </c>
      <c r="P132" s="79">
        <v>23978</v>
      </c>
      <c r="Q132" s="80" t="s">
        <v>18</v>
      </c>
      <c r="R132" s="80" t="s">
        <v>18</v>
      </c>
      <c r="S132" s="80" t="s">
        <v>18</v>
      </c>
      <c r="T132" s="80" t="s">
        <v>18</v>
      </c>
      <c r="U132" s="80" t="s">
        <v>18</v>
      </c>
      <c r="V132" s="80" t="s">
        <v>18</v>
      </c>
      <c r="W132" s="73">
        <v>193355</v>
      </c>
      <c r="X132" s="79">
        <v>123405</v>
      </c>
      <c r="Y132" s="66"/>
      <c r="Z132" s="66"/>
      <c r="AA132" s="66"/>
      <c r="AB132" s="66"/>
      <c r="AC132" s="66"/>
    </row>
    <row r="133" spans="1:29" x14ac:dyDescent="0.25">
      <c r="A133" s="78" t="s">
        <v>20</v>
      </c>
      <c r="B133" s="79">
        <v>32125</v>
      </c>
      <c r="C133" s="79">
        <v>400</v>
      </c>
      <c r="D133" s="79">
        <v>12850</v>
      </c>
      <c r="E133" s="79">
        <v>63800</v>
      </c>
      <c r="F133" s="79">
        <v>680</v>
      </c>
      <c r="G133" s="79">
        <v>43384</v>
      </c>
      <c r="H133" s="79">
        <v>300</v>
      </c>
      <c r="I133" s="79">
        <v>267</v>
      </c>
      <c r="J133" s="79">
        <v>80</v>
      </c>
      <c r="K133" s="79">
        <v>105</v>
      </c>
      <c r="L133" s="79">
        <v>600</v>
      </c>
      <c r="M133" s="79">
        <v>63</v>
      </c>
      <c r="N133" s="79">
        <v>13920</v>
      </c>
      <c r="O133" s="79">
        <v>500</v>
      </c>
      <c r="P133" s="79">
        <v>6960</v>
      </c>
      <c r="Q133" s="80" t="s">
        <v>18</v>
      </c>
      <c r="R133" s="80" t="s">
        <v>18</v>
      </c>
      <c r="S133" s="80" t="s">
        <v>18</v>
      </c>
      <c r="T133" s="80" t="s">
        <v>18</v>
      </c>
      <c r="U133" s="80" t="s">
        <v>18</v>
      </c>
      <c r="V133" s="80" t="s">
        <v>18</v>
      </c>
      <c r="W133" s="73">
        <v>76660</v>
      </c>
      <c r="X133" s="79">
        <v>44826</v>
      </c>
      <c r="Y133" s="66"/>
      <c r="Z133" s="66"/>
      <c r="AA133" s="66"/>
      <c r="AB133" s="66"/>
      <c r="AC133" s="66"/>
    </row>
    <row r="134" spans="1:29" x14ac:dyDescent="0.25">
      <c r="A134" s="78" t="s">
        <v>21</v>
      </c>
      <c r="B134" s="79">
        <v>62000</v>
      </c>
      <c r="C134" s="79">
        <v>200</v>
      </c>
      <c r="D134" s="79">
        <v>12400</v>
      </c>
      <c r="E134" s="80" t="s">
        <v>18</v>
      </c>
      <c r="F134" s="80" t="s">
        <v>18</v>
      </c>
      <c r="G134" s="80" t="s">
        <v>18</v>
      </c>
      <c r="H134" s="80" t="s">
        <v>18</v>
      </c>
      <c r="I134" s="80" t="s">
        <v>18</v>
      </c>
      <c r="J134" s="80" t="s">
        <v>18</v>
      </c>
      <c r="K134" s="80" t="s">
        <v>18</v>
      </c>
      <c r="L134" s="80" t="s">
        <v>18</v>
      </c>
      <c r="M134" s="80" t="s">
        <v>18</v>
      </c>
      <c r="N134" s="80" t="s">
        <v>18</v>
      </c>
      <c r="O134" s="80" t="s">
        <v>18</v>
      </c>
      <c r="P134" s="80" t="s">
        <v>18</v>
      </c>
      <c r="Q134" s="80" t="s">
        <v>18</v>
      </c>
      <c r="R134" s="80" t="s">
        <v>18</v>
      </c>
      <c r="S134" s="80" t="s">
        <v>18</v>
      </c>
      <c r="T134" s="80" t="s">
        <v>18</v>
      </c>
      <c r="U134" s="80" t="s">
        <v>18</v>
      </c>
      <c r="V134" s="80" t="s">
        <v>18</v>
      </c>
      <c r="W134" s="73">
        <v>55700</v>
      </c>
      <c r="X134" s="79">
        <v>9954</v>
      </c>
      <c r="Y134" s="66"/>
      <c r="Z134" s="66"/>
      <c r="AA134" s="66"/>
      <c r="AB134" s="66"/>
      <c r="AC134" s="66"/>
    </row>
    <row r="135" spans="1:29" x14ac:dyDescent="0.25">
      <c r="A135" s="78" t="s">
        <v>22</v>
      </c>
      <c r="B135" s="79">
        <v>54017</v>
      </c>
      <c r="C135" s="79">
        <v>633</v>
      </c>
      <c r="D135" s="79">
        <v>34192</v>
      </c>
      <c r="E135" s="80" t="s">
        <v>18</v>
      </c>
      <c r="F135" s="80" t="s">
        <v>18</v>
      </c>
      <c r="G135" s="80" t="s">
        <v>18</v>
      </c>
      <c r="H135" s="79">
        <v>40626</v>
      </c>
      <c r="I135" s="79">
        <v>1526</v>
      </c>
      <c r="J135" s="79">
        <v>62011</v>
      </c>
      <c r="K135" s="80" t="s">
        <v>18</v>
      </c>
      <c r="L135" s="80" t="s">
        <v>18</v>
      </c>
      <c r="M135" s="80" t="s">
        <v>18</v>
      </c>
      <c r="N135" s="80" t="s">
        <v>18</v>
      </c>
      <c r="O135" s="80" t="s">
        <v>18</v>
      </c>
      <c r="P135" s="80" t="s">
        <v>18</v>
      </c>
      <c r="Q135" s="79">
        <v>2348</v>
      </c>
      <c r="R135" s="79">
        <v>3000</v>
      </c>
      <c r="S135" s="79">
        <v>3600</v>
      </c>
      <c r="T135" s="80" t="s">
        <v>18</v>
      </c>
      <c r="U135" s="80" t="s">
        <v>18</v>
      </c>
      <c r="V135" s="80" t="s">
        <v>18</v>
      </c>
      <c r="W135" s="73">
        <v>94390</v>
      </c>
      <c r="X135" s="79">
        <v>71790</v>
      </c>
      <c r="Y135" s="66"/>
      <c r="Z135" s="66"/>
      <c r="AA135" s="66"/>
      <c r="AB135" s="66"/>
      <c r="AC135" s="66"/>
    </row>
    <row r="136" spans="1:29" x14ac:dyDescent="0.25">
      <c r="A136" s="78" t="s">
        <v>23</v>
      </c>
      <c r="B136" s="79">
        <v>185000</v>
      </c>
      <c r="C136" s="79">
        <v>500</v>
      </c>
      <c r="D136" s="79">
        <v>92500</v>
      </c>
      <c r="E136" s="79">
        <v>96000</v>
      </c>
      <c r="F136" s="79">
        <v>952</v>
      </c>
      <c r="G136" s="79">
        <v>91392</v>
      </c>
      <c r="H136" s="79">
        <v>17210</v>
      </c>
      <c r="I136" s="79">
        <v>884</v>
      </c>
      <c r="J136" s="79">
        <v>15214</v>
      </c>
      <c r="K136" s="80" t="s">
        <v>18</v>
      </c>
      <c r="L136" s="80" t="s">
        <v>18</v>
      </c>
      <c r="M136" s="80" t="s">
        <v>18</v>
      </c>
      <c r="N136" s="79">
        <v>14000</v>
      </c>
      <c r="O136" s="79">
        <v>1178</v>
      </c>
      <c r="P136" s="79">
        <v>16492</v>
      </c>
      <c r="Q136" s="80" t="s">
        <v>18</v>
      </c>
      <c r="R136" s="80" t="s">
        <v>18</v>
      </c>
      <c r="S136" s="80" t="s">
        <v>18</v>
      </c>
      <c r="T136" s="80" t="s">
        <v>18</v>
      </c>
      <c r="U136" s="80" t="s">
        <v>18</v>
      </c>
      <c r="V136" s="80" t="s">
        <v>18</v>
      </c>
      <c r="W136" s="73">
        <v>227500</v>
      </c>
      <c r="X136" s="79">
        <v>864688</v>
      </c>
      <c r="Y136" s="66"/>
      <c r="Z136" s="66"/>
      <c r="AA136" s="66"/>
      <c r="AB136" s="66"/>
      <c r="AC136" s="66"/>
    </row>
    <row r="137" spans="1:29" x14ac:dyDescent="0.25">
      <c r="A137" s="78" t="s">
        <v>24</v>
      </c>
      <c r="B137" s="79">
        <v>2200</v>
      </c>
      <c r="C137" s="79">
        <v>609</v>
      </c>
      <c r="D137" s="79">
        <v>1340</v>
      </c>
      <c r="E137" s="79">
        <v>19000</v>
      </c>
      <c r="F137" s="79">
        <v>895</v>
      </c>
      <c r="G137" s="79">
        <v>17005</v>
      </c>
      <c r="H137" s="79">
        <v>4000</v>
      </c>
      <c r="I137" s="79">
        <v>100</v>
      </c>
      <c r="J137" s="79">
        <v>400</v>
      </c>
      <c r="K137" s="79">
        <v>100</v>
      </c>
      <c r="L137" s="79">
        <v>1000</v>
      </c>
      <c r="M137" s="79">
        <v>100</v>
      </c>
      <c r="N137" s="79">
        <v>72120</v>
      </c>
      <c r="O137" s="79">
        <v>1000</v>
      </c>
      <c r="P137" s="79">
        <v>72120</v>
      </c>
      <c r="Q137" s="80" t="s">
        <v>18</v>
      </c>
      <c r="R137" s="80" t="s">
        <v>18</v>
      </c>
      <c r="S137" s="80" t="s">
        <v>18</v>
      </c>
      <c r="T137" s="80" t="s">
        <v>18</v>
      </c>
      <c r="U137" s="80" t="s">
        <v>18</v>
      </c>
      <c r="V137" s="80" t="s">
        <v>18</v>
      </c>
      <c r="W137" s="73">
        <v>70500</v>
      </c>
      <c r="X137" s="79">
        <v>60291</v>
      </c>
      <c r="Y137" s="66"/>
      <c r="Z137" s="66"/>
      <c r="AA137" s="66"/>
      <c r="AB137" s="66"/>
      <c r="AC137" s="66"/>
    </row>
    <row r="138" spans="1:29" x14ac:dyDescent="0.25">
      <c r="A138" s="82" t="s">
        <v>25</v>
      </c>
      <c r="B138" s="83">
        <f>SUM(B129:B137)</f>
        <v>673955</v>
      </c>
      <c r="C138" s="83"/>
      <c r="D138" s="83">
        <f>D129+D131+D132+D133+D134+D135+D136+D137</f>
        <v>281703</v>
      </c>
      <c r="E138" s="83">
        <f>SUM(E129:E137)</f>
        <v>333435</v>
      </c>
      <c r="F138" s="83">
        <v>783</v>
      </c>
      <c r="G138" s="83">
        <f>SUM(G129:G137)</f>
        <v>261001</v>
      </c>
      <c r="H138" s="83">
        <f>SUM(H132:H137)</f>
        <v>92612</v>
      </c>
      <c r="I138" s="83">
        <v>1577</v>
      </c>
      <c r="J138" s="83">
        <f>SUM(J132:J137)</f>
        <v>146032</v>
      </c>
      <c r="K138" s="83">
        <v>713</v>
      </c>
      <c r="L138" s="83">
        <v>3724</v>
      </c>
      <c r="M138" s="83">
        <v>2655</v>
      </c>
      <c r="N138" s="83">
        <v>156972</v>
      </c>
      <c r="O138" s="83">
        <v>916</v>
      </c>
      <c r="P138" s="83">
        <v>143782</v>
      </c>
      <c r="Q138" s="83">
        <v>2348</v>
      </c>
      <c r="R138" s="83">
        <v>3000</v>
      </c>
      <c r="S138" s="83">
        <v>3600</v>
      </c>
      <c r="T138" s="83"/>
      <c r="U138" s="83"/>
      <c r="V138" s="83"/>
      <c r="W138" s="84">
        <v>937457</v>
      </c>
      <c r="X138" s="83">
        <v>456657</v>
      </c>
      <c r="Y138" s="66"/>
      <c r="Z138" s="66"/>
      <c r="AA138" s="66"/>
      <c r="AB138" s="66"/>
      <c r="AC138" s="66"/>
    </row>
    <row r="139" spans="1:29" x14ac:dyDescent="0.25">
      <c r="A139" s="78" t="s">
        <v>26</v>
      </c>
      <c r="B139" s="79">
        <v>20400</v>
      </c>
      <c r="C139" s="79">
        <v>500</v>
      </c>
      <c r="D139" s="79">
        <v>10200</v>
      </c>
      <c r="E139" s="79">
        <v>115000</v>
      </c>
      <c r="F139" s="79">
        <v>800</v>
      </c>
      <c r="G139" s="79">
        <v>92000</v>
      </c>
      <c r="H139" s="79">
        <v>13200</v>
      </c>
      <c r="I139" s="79">
        <v>850</v>
      </c>
      <c r="J139" s="79">
        <v>11220</v>
      </c>
      <c r="K139" s="79">
        <v>25300</v>
      </c>
      <c r="L139" s="79">
        <v>1500</v>
      </c>
      <c r="M139" s="79">
        <v>37950</v>
      </c>
      <c r="N139" s="79">
        <v>31469</v>
      </c>
      <c r="O139" s="79">
        <v>900</v>
      </c>
      <c r="P139" s="79">
        <v>28322</v>
      </c>
      <c r="Q139" s="80" t="s">
        <v>18</v>
      </c>
      <c r="R139" s="80" t="s">
        <v>18</v>
      </c>
      <c r="S139" s="80" t="s">
        <v>18</v>
      </c>
      <c r="T139" s="79">
        <v>2000</v>
      </c>
      <c r="U139" s="79">
        <v>560</v>
      </c>
      <c r="V139" s="79">
        <v>1120</v>
      </c>
      <c r="W139" s="73">
        <v>93690</v>
      </c>
      <c r="X139" s="79">
        <v>60102</v>
      </c>
      <c r="Y139" s="66"/>
      <c r="Z139" s="66"/>
      <c r="AA139" s="66"/>
      <c r="AB139" s="66"/>
      <c r="AC139" s="66"/>
    </row>
    <row r="140" spans="1:29" x14ac:dyDescent="0.25">
      <c r="A140" s="78" t="s">
        <v>27</v>
      </c>
      <c r="B140" s="79">
        <v>35500</v>
      </c>
      <c r="C140" s="79">
        <v>520</v>
      </c>
      <c r="D140" s="79">
        <v>18460</v>
      </c>
      <c r="E140" s="79">
        <v>49500</v>
      </c>
      <c r="F140" s="79">
        <v>660</v>
      </c>
      <c r="G140" s="79">
        <v>32670</v>
      </c>
      <c r="H140" s="79">
        <v>5100</v>
      </c>
      <c r="I140" s="79">
        <v>900</v>
      </c>
      <c r="J140" s="79">
        <v>4590</v>
      </c>
      <c r="K140" s="79">
        <v>36000</v>
      </c>
      <c r="L140" s="79">
        <v>1200</v>
      </c>
      <c r="M140" s="79">
        <v>43200</v>
      </c>
      <c r="N140" s="79">
        <v>2918</v>
      </c>
      <c r="O140" s="79">
        <v>800</v>
      </c>
      <c r="P140" s="79">
        <v>2334</v>
      </c>
      <c r="Q140" s="80" t="s">
        <v>18</v>
      </c>
      <c r="R140" s="80" t="s">
        <v>18</v>
      </c>
      <c r="S140" s="80" t="s">
        <v>18</v>
      </c>
      <c r="T140" s="79"/>
      <c r="U140" s="79"/>
      <c r="V140" s="79"/>
      <c r="W140" s="73">
        <v>121502</v>
      </c>
      <c r="X140" s="79">
        <v>93684</v>
      </c>
      <c r="Y140" s="66"/>
      <c r="Z140" s="66"/>
      <c r="AA140" s="66"/>
      <c r="AB140" s="66"/>
      <c r="AC140" s="66"/>
    </row>
    <row r="141" spans="1:29" x14ac:dyDescent="0.25">
      <c r="A141" s="78" t="s">
        <v>28</v>
      </c>
      <c r="B141" s="79">
        <v>24000</v>
      </c>
      <c r="C141" s="79">
        <v>540</v>
      </c>
      <c r="D141" s="79">
        <v>12960</v>
      </c>
      <c r="E141" s="79">
        <v>40300</v>
      </c>
      <c r="F141" s="79">
        <v>580</v>
      </c>
      <c r="G141" s="79">
        <v>23347</v>
      </c>
      <c r="H141" s="79">
        <v>2870</v>
      </c>
      <c r="I141" s="79">
        <v>850</v>
      </c>
      <c r="J141" s="79">
        <v>2440</v>
      </c>
      <c r="K141" s="79">
        <v>11700</v>
      </c>
      <c r="L141" s="79">
        <v>1200</v>
      </c>
      <c r="M141" s="79">
        <v>14040</v>
      </c>
      <c r="N141" s="80" t="s">
        <v>18</v>
      </c>
      <c r="O141" s="80" t="s">
        <v>18</v>
      </c>
      <c r="P141" s="80" t="s">
        <v>18</v>
      </c>
      <c r="Q141" s="80" t="s">
        <v>18</v>
      </c>
      <c r="R141" s="80" t="s">
        <v>18</v>
      </c>
      <c r="S141" s="80" t="s">
        <v>18</v>
      </c>
      <c r="T141" s="79">
        <v>52</v>
      </c>
      <c r="U141" s="79">
        <v>560</v>
      </c>
      <c r="V141" s="79">
        <v>29</v>
      </c>
      <c r="W141" s="73">
        <v>199208</v>
      </c>
      <c r="X141" s="79">
        <v>172572</v>
      </c>
      <c r="Y141" s="66"/>
      <c r="Z141" s="66"/>
      <c r="AA141" s="66"/>
      <c r="AB141" s="66"/>
      <c r="AC141" s="66"/>
    </row>
    <row r="142" spans="1:29" x14ac:dyDescent="0.25">
      <c r="A142" s="78" t="s">
        <v>29</v>
      </c>
      <c r="B142" s="79">
        <v>27600</v>
      </c>
      <c r="C142" s="79">
        <v>600</v>
      </c>
      <c r="D142" s="79">
        <v>16560</v>
      </c>
      <c r="E142" s="79">
        <v>78500</v>
      </c>
      <c r="F142" s="79">
        <v>610</v>
      </c>
      <c r="G142" s="79">
        <v>47885</v>
      </c>
      <c r="H142" s="79">
        <v>10300</v>
      </c>
      <c r="I142" s="79">
        <v>800</v>
      </c>
      <c r="J142" s="79">
        <v>8240</v>
      </c>
      <c r="K142" s="79">
        <v>1500</v>
      </c>
      <c r="L142" s="79">
        <v>900</v>
      </c>
      <c r="M142" s="79">
        <v>1350</v>
      </c>
      <c r="N142" s="80" t="s">
        <v>18</v>
      </c>
      <c r="O142" s="80" t="s">
        <v>18</v>
      </c>
      <c r="P142" s="80" t="s">
        <v>18</v>
      </c>
      <c r="Q142" s="80" t="s">
        <v>18</v>
      </c>
      <c r="R142" s="80" t="s">
        <v>18</v>
      </c>
      <c r="S142" s="80" t="s">
        <v>18</v>
      </c>
      <c r="T142" s="79">
        <v>167</v>
      </c>
      <c r="U142" s="79">
        <v>560</v>
      </c>
      <c r="V142" s="79">
        <v>94</v>
      </c>
      <c r="W142" s="73">
        <v>142702</v>
      </c>
      <c r="X142" s="79">
        <v>106071</v>
      </c>
      <c r="Y142" s="66"/>
      <c r="Z142" s="66"/>
      <c r="AA142" s="66"/>
      <c r="AB142" s="66"/>
      <c r="AC142" s="66"/>
    </row>
    <row r="143" spans="1:29" x14ac:dyDescent="0.25">
      <c r="A143" s="78" t="s">
        <v>30</v>
      </c>
      <c r="B143" s="79">
        <v>47200</v>
      </c>
      <c r="C143" s="79">
        <v>580</v>
      </c>
      <c r="D143" s="79">
        <v>27376</v>
      </c>
      <c r="E143" s="79">
        <v>95000</v>
      </c>
      <c r="F143" s="79">
        <v>600</v>
      </c>
      <c r="G143" s="79">
        <v>57000</v>
      </c>
      <c r="H143" s="79">
        <v>6500</v>
      </c>
      <c r="I143" s="79">
        <v>850</v>
      </c>
      <c r="J143" s="79">
        <v>5525</v>
      </c>
      <c r="K143" s="79">
        <v>1150</v>
      </c>
      <c r="L143" s="79">
        <v>900</v>
      </c>
      <c r="M143" s="79">
        <v>1035</v>
      </c>
      <c r="N143" s="79">
        <v>844</v>
      </c>
      <c r="O143" s="79">
        <v>701</v>
      </c>
      <c r="P143" s="79">
        <v>620</v>
      </c>
      <c r="Q143" s="80" t="s">
        <v>18</v>
      </c>
      <c r="R143" s="80" t="s">
        <v>18</v>
      </c>
      <c r="S143" s="80" t="s">
        <v>18</v>
      </c>
      <c r="T143" s="80" t="s">
        <v>18</v>
      </c>
      <c r="U143" s="80" t="s">
        <v>18</v>
      </c>
      <c r="V143" s="80" t="s">
        <v>18</v>
      </c>
      <c r="W143" s="73">
        <v>756500</v>
      </c>
      <c r="X143" s="79">
        <v>96748</v>
      </c>
      <c r="Y143" s="66"/>
      <c r="Z143" s="66"/>
      <c r="AA143" s="66"/>
      <c r="AB143" s="66"/>
      <c r="AC143" s="66"/>
    </row>
    <row r="144" spans="1:29" x14ac:dyDescent="0.25">
      <c r="A144" s="85" t="s">
        <v>31</v>
      </c>
      <c r="B144" s="83">
        <f>SUM(B139:B143)</f>
        <v>154700</v>
      </c>
      <c r="C144" s="83">
        <v>553</v>
      </c>
      <c r="D144" s="83">
        <f>SUM(D139+D140+D141+D142+D143)</f>
        <v>85556</v>
      </c>
      <c r="E144" s="83">
        <f>SUM(E139:E143)</f>
        <v>378300</v>
      </c>
      <c r="F144" s="83">
        <v>669</v>
      </c>
      <c r="G144" s="83">
        <v>252929</v>
      </c>
      <c r="H144" s="83">
        <f>SUM(H139:H143)</f>
        <v>37970</v>
      </c>
      <c r="I144" s="83">
        <v>843</v>
      </c>
      <c r="J144" s="83">
        <v>32015</v>
      </c>
      <c r="K144" s="83">
        <v>75650</v>
      </c>
      <c r="L144" s="83">
        <v>1290</v>
      </c>
      <c r="M144" s="83">
        <v>97575</v>
      </c>
      <c r="N144" s="83">
        <v>35271</v>
      </c>
      <c r="O144" s="83">
        <v>887</v>
      </c>
      <c r="P144" s="83">
        <v>31276</v>
      </c>
      <c r="Q144" s="94" t="s">
        <v>18</v>
      </c>
      <c r="R144" s="83">
        <v>3000</v>
      </c>
      <c r="S144" s="83"/>
      <c r="T144" s="83">
        <v>2219</v>
      </c>
      <c r="U144" s="83">
        <v>560</v>
      </c>
      <c r="V144" s="83">
        <v>1243</v>
      </c>
      <c r="W144" s="84">
        <v>1693957</v>
      </c>
      <c r="X144" s="83">
        <v>529177</v>
      </c>
      <c r="Y144" s="66"/>
      <c r="Z144" s="66"/>
      <c r="AA144" s="66"/>
      <c r="AB144" s="66"/>
      <c r="AC144" s="66"/>
    </row>
    <row r="145" spans="1:29" x14ac:dyDescent="0.25">
      <c r="A145" s="78" t="s">
        <v>32</v>
      </c>
      <c r="B145" s="79">
        <v>808655</v>
      </c>
      <c r="C145" s="79"/>
      <c r="D145" s="79">
        <v>367259</v>
      </c>
      <c r="E145" s="79">
        <v>711735</v>
      </c>
      <c r="F145" s="79"/>
      <c r="G145" s="79">
        <v>513930</v>
      </c>
      <c r="H145" s="79">
        <v>130582</v>
      </c>
      <c r="I145" s="79"/>
      <c r="J145" s="79">
        <v>178047</v>
      </c>
      <c r="K145" s="79">
        <v>76363</v>
      </c>
      <c r="L145" s="79"/>
      <c r="M145" s="79">
        <v>100230</v>
      </c>
      <c r="N145" s="79">
        <v>192243</v>
      </c>
      <c r="O145" s="79"/>
      <c r="P145" s="79">
        <v>175058</v>
      </c>
      <c r="Q145" s="79">
        <v>2348</v>
      </c>
      <c r="R145" s="79"/>
      <c r="S145" s="79">
        <v>3600</v>
      </c>
      <c r="T145" s="79">
        <v>2219</v>
      </c>
      <c r="U145" s="79"/>
      <c r="V145" s="79">
        <v>1243</v>
      </c>
      <c r="W145" s="73">
        <v>1693957</v>
      </c>
      <c r="X145" s="79">
        <v>985833</v>
      </c>
      <c r="Y145" s="66"/>
      <c r="Z145" s="66"/>
      <c r="AA145" s="66"/>
      <c r="AB145" s="66"/>
      <c r="AC145" s="66"/>
    </row>
    <row r="146" spans="1:29" x14ac:dyDescent="0.25">
      <c r="A146" s="86"/>
      <c r="B146" s="86"/>
      <c r="C146" s="86"/>
      <c r="D146" s="86"/>
      <c r="E146" s="86"/>
      <c r="F146" s="86"/>
      <c r="G146" s="86"/>
      <c r="H146" s="86"/>
      <c r="I146" s="86"/>
      <c r="J146" s="86"/>
      <c r="K146" s="86"/>
      <c r="L146" s="86"/>
      <c r="M146" s="86"/>
      <c r="N146" s="86"/>
      <c r="O146" s="86"/>
      <c r="P146" s="86"/>
      <c r="Q146" s="86"/>
      <c r="R146" s="66"/>
      <c r="S146" s="66"/>
      <c r="T146" s="66"/>
      <c r="U146" s="66"/>
      <c r="V146" s="66"/>
      <c r="W146" s="66"/>
      <c r="X146" s="66"/>
      <c r="Y146" s="66"/>
      <c r="Z146" s="66"/>
      <c r="AA146" s="66"/>
      <c r="AB146" s="66"/>
      <c r="AC146" s="66"/>
    </row>
    <row r="147" spans="1:29" x14ac:dyDescent="0.25">
      <c r="A147" s="64"/>
      <c r="B147" s="65" t="s">
        <v>62</v>
      </c>
      <c r="C147" s="64"/>
      <c r="D147" s="64"/>
      <c r="E147" s="64"/>
      <c r="F147" s="64"/>
      <c r="G147" s="64"/>
      <c r="H147" s="64"/>
      <c r="I147" s="64"/>
      <c r="J147" s="64"/>
      <c r="K147" s="64"/>
      <c r="L147" s="65" t="s">
        <v>34</v>
      </c>
      <c r="M147" s="64"/>
      <c r="N147" s="97"/>
      <c r="O147" s="65" t="s">
        <v>35</v>
      </c>
      <c r="P147" s="97"/>
      <c r="Q147" s="64"/>
      <c r="R147" s="86"/>
      <c r="S147" s="87" t="s">
        <v>36</v>
      </c>
      <c r="T147" s="86"/>
      <c r="U147" s="86"/>
      <c r="V147" s="86"/>
      <c r="W147" s="86"/>
      <c r="X147" s="86"/>
      <c r="Y147" s="66"/>
      <c r="Z147" s="66"/>
      <c r="AA147" s="66"/>
      <c r="AB147" s="66"/>
      <c r="AC147" s="66"/>
    </row>
    <row r="148" spans="1:29" x14ac:dyDescent="0.25">
      <c r="A148" s="110" t="s">
        <v>2</v>
      </c>
      <c r="B148" s="92"/>
      <c r="C148" s="111" t="s">
        <v>37</v>
      </c>
      <c r="D148" s="73"/>
      <c r="E148" s="92"/>
      <c r="F148" s="111" t="s">
        <v>38</v>
      </c>
      <c r="G148" s="73"/>
      <c r="H148" s="92"/>
      <c r="I148" s="111" t="s">
        <v>39</v>
      </c>
      <c r="J148" s="73"/>
      <c r="K148" s="92"/>
      <c r="L148" s="72" t="s">
        <v>40</v>
      </c>
      <c r="M148" s="73"/>
      <c r="N148" s="92"/>
      <c r="O148" s="72" t="s">
        <v>41</v>
      </c>
      <c r="P148" s="73"/>
      <c r="Q148" s="92"/>
      <c r="R148" s="91" t="s">
        <v>54</v>
      </c>
      <c r="S148" s="90"/>
      <c r="T148" s="88"/>
      <c r="U148" s="91" t="s">
        <v>43</v>
      </c>
      <c r="V148" s="90"/>
      <c r="W148" s="92"/>
      <c r="X148" s="93" t="s">
        <v>57</v>
      </c>
      <c r="Y148" s="66"/>
      <c r="Z148" s="66"/>
      <c r="AA148" s="66"/>
      <c r="AB148" s="66"/>
      <c r="AC148" s="66"/>
    </row>
    <row r="149" spans="1:29" x14ac:dyDescent="0.25">
      <c r="A149" s="107" t="s">
        <v>11</v>
      </c>
      <c r="B149" s="81" t="s">
        <v>12</v>
      </c>
      <c r="C149" s="80" t="s">
        <v>13</v>
      </c>
      <c r="D149" s="80" t="s">
        <v>14</v>
      </c>
      <c r="E149" s="80" t="s">
        <v>12</v>
      </c>
      <c r="F149" s="80" t="s">
        <v>13</v>
      </c>
      <c r="G149" s="80" t="s">
        <v>14</v>
      </c>
      <c r="H149" s="80" t="s">
        <v>12</v>
      </c>
      <c r="I149" s="80" t="s">
        <v>13</v>
      </c>
      <c r="J149" s="80" t="s">
        <v>14</v>
      </c>
      <c r="K149" s="80" t="s">
        <v>12</v>
      </c>
      <c r="L149" s="80" t="s">
        <v>13</v>
      </c>
      <c r="M149" s="80" t="s">
        <v>14</v>
      </c>
      <c r="N149" s="80" t="s">
        <v>12</v>
      </c>
      <c r="O149" s="80" t="s">
        <v>13</v>
      </c>
      <c r="P149" s="80" t="s">
        <v>14</v>
      </c>
      <c r="Q149" s="80" t="s">
        <v>12</v>
      </c>
      <c r="R149" s="75" t="s">
        <v>13</v>
      </c>
      <c r="S149" s="75" t="s">
        <v>14</v>
      </c>
      <c r="T149" s="75" t="s">
        <v>12</v>
      </c>
      <c r="U149" s="75" t="s">
        <v>13</v>
      </c>
      <c r="V149" s="75" t="s">
        <v>14</v>
      </c>
      <c r="W149" s="80" t="s">
        <v>12</v>
      </c>
      <c r="X149" s="80" t="s">
        <v>14</v>
      </c>
      <c r="Y149" s="66"/>
      <c r="Z149" s="66"/>
      <c r="AA149" s="66"/>
      <c r="AB149" s="66"/>
      <c r="AC149" s="66"/>
    </row>
    <row r="150" spans="1:29" x14ac:dyDescent="0.25">
      <c r="A150" s="78" t="s">
        <v>15</v>
      </c>
      <c r="B150" s="79">
        <v>7570</v>
      </c>
      <c r="C150" s="79">
        <v>803</v>
      </c>
      <c r="D150" s="79">
        <v>6079</v>
      </c>
      <c r="E150" s="79">
        <v>1125</v>
      </c>
      <c r="F150" s="79">
        <v>105</v>
      </c>
      <c r="G150" s="79">
        <v>118</v>
      </c>
      <c r="H150" s="80" t="s">
        <v>18</v>
      </c>
      <c r="I150" s="80" t="s">
        <v>18</v>
      </c>
      <c r="J150" s="80" t="s">
        <v>18</v>
      </c>
      <c r="K150" s="80" t="s">
        <v>18</v>
      </c>
      <c r="L150" s="80" t="s">
        <v>18</v>
      </c>
      <c r="M150" s="80" t="s">
        <v>18</v>
      </c>
      <c r="N150" s="80" t="s">
        <v>18</v>
      </c>
      <c r="O150" s="80" t="s">
        <v>18</v>
      </c>
      <c r="P150" s="80" t="s">
        <v>18</v>
      </c>
      <c r="Q150" s="80" t="s">
        <v>18</v>
      </c>
      <c r="R150" s="80" t="s">
        <v>18</v>
      </c>
      <c r="S150" s="80" t="s">
        <v>18</v>
      </c>
      <c r="T150" s="80" t="s">
        <v>18</v>
      </c>
      <c r="U150" s="80" t="s">
        <v>18</v>
      </c>
      <c r="V150" s="80" t="s">
        <v>18</v>
      </c>
      <c r="W150" s="79">
        <v>4900</v>
      </c>
      <c r="X150" s="79">
        <v>3065</v>
      </c>
      <c r="Y150" s="66"/>
      <c r="Z150" s="66"/>
      <c r="AA150" s="66"/>
      <c r="AB150" s="66"/>
      <c r="AC150" s="66"/>
    </row>
    <row r="151" spans="1:29" x14ac:dyDescent="0.25">
      <c r="A151" s="78" t="s">
        <v>49</v>
      </c>
      <c r="B151" s="80"/>
      <c r="C151" s="80"/>
      <c r="D151" s="80"/>
      <c r="E151" s="80"/>
      <c r="F151" s="80"/>
      <c r="G151" s="80"/>
      <c r="H151" s="80"/>
      <c r="I151" s="80"/>
      <c r="J151" s="80"/>
      <c r="K151" s="80"/>
      <c r="L151" s="80"/>
      <c r="M151" s="80"/>
      <c r="N151" s="80"/>
      <c r="O151" s="80"/>
      <c r="P151" s="80"/>
      <c r="Q151" s="80"/>
      <c r="R151" s="80"/>
      <c r="S151" s="80"/>
      <c r="T151" s="80"/>
      <c r="U151" s="80"/>
      <c r="V151" s="80"/>
      <c r="W151" s="80"/>
      <c r="X151" s="80"/>
      <c r="Y151" s="66"/>
      <c r="Z151" s="66"/>
      <c r="AA151" s="66"/>
      <c r="AB151" s="66"/>
      <c r="AC151" s="66"/>
    </row>
    <row r="152" spans="1:29" x14ac:dyDescent="0.25">
      <c r="A152" s="78" t="s">
        <v>17</v>
      </c>
      <c r="B152" s="79">
        <v>3040</v>
      </c>
      <c r="C152" s="79">
        <v>975</v>
      </c>
      <c r="D152" s="79">
        <v>2964</v>
      </c>
      <c r="E152" s="79">
        <v>150</v>
      </c>
      <c r="F152" s="79">
        <v>150</v>
      </c>
      <c r="G152" s="79">
        <v>23</v>
      </c>
      <c r="H152" s="80" t="s">
        <v>18</v>
      </c>
      <c r="I152" s="80" t="s">
        <v>18</v>
      </c>
      <c r="J152" s="80" t="s">
        <v>18</v>
      </c>
      <c r="K152" s="80" t="s">
        <v>18</v>
      </c>
      <c r="L152" s="80" t="s">
        <v>18</v>
      </c>
      <c r="M152" s="80" t="s">
        <v>18</v>
      </c>
      <c r="N152" s="80" t="s">
        <v>18</v>
      </c>
      <c r="O152" s="80" t="s">
        <v>18</v>
      </c>
      <c r="P152" s="80" t="s">
        <v>18</v>
      </c>
      <c r="Q152" s="80" t="s">
        <v>18</v>
      </c>
      <c r="R152" s="80" t="s">
        <v>18</v>
      </c>
      <c r="S152" s="80" t="s">
        <v>18</v>
      </c>
      <c r="T152" s="80" t="s">
        <v>18</v>
      </c>
      <c r="U152" s="80" t="s">
        <v>18</v>
      </c>
      <c r="V152" s="80" t="s">
        <v>18</v>
      </c>
      <c r="W152" s="79">
        <v>3200</v>
      </c>
      <c r="X152" s="79">
        <v>380</v>
      </c>
      <c r="Y152" s="66"/>
      <c r="Z152" s="66"/>
      <c r="AA152" s="66"/>
      <c r="AB152" s="66"/>
      <c r="AC152" s="66"/>
    </row>
    <row r="153" spans="1:29" x14ac:dyDescent="0.25">
      <c r="A153" s="78" t="s">
        <v>46</v>
      </c>
      <c r="B153" s="79">
        <v>35120</v>
      </c>
      <c r="C153" s="79">
        <v>1250</v>
      </c>
      <c r="D153" s="79">
        <v>43900</v>
      </c>
      <c r="E153" s="79">
        <v>2500</v>
      </c>
      <c r="F153" s="79">
        <v>300</v>
      </c>
      <c r="G153" s="79">
        <v>750</v>
      </c>
      <c r="H153" s="79">
        <v>25817</v>
      </c>
      <c r="I153" s="79">
        <v>620</v>
      </c>
      <c r="J153" s="79">
        <v>160017</v>
      </c>
      <c r="K153" s="79">
        <v>3171</v>
      </c>
      <c r="L153" s="79">
        <v>600</v>
      </c>
      <c r="M153" s="79">
        <v>1903</v>
      </c>
      <c r="N153" s="80" t="s">
        <v>18</v>
      </c>
      <c r="O153" s="80" t="s">
        <v>18</v>
      </c>
      <c r="P153" s="80" t="s">
        <v>18</v>
      </c>
      <c r="Q153" s="80" t="s">
        <v>18</v>
      </c>
      <c r="R153" s="80" t="s">
        <v>18</v>
      </c>
      <c r="S153" s="80" t="s">
        <v>18</v>
      </c>
      <c r="T153" s="80" t="s">
        <v>18</v>
      </c>
      <c r="U153" s="80" t="s">
        <v>18</v>
      </c>
      <c r="V153" s="80" t="s">
        <v>18</v>
      </c>
      <c r="W153" s="79">
        <v>44128</v>
      </c>
      <c r="X153" s="79">
        <v>21860</v>
      </c>
      <c r="Y153" s="66"/>
      <c r="Z153" s="66"/>
      <c r="AA153" s="66"/>
      <c r="AB153" s="66"/>
      <c r="AC153" s="66"/>
    </row>
    <row r="154" spans="1:29" x14ac:dyDescent="0.25">
      <c r="A154" s="78" t="s">
        <v>20</v>
      </c>
      <c r="B154" s="79">
        <v>29056</v>
      </c>
      <c r="C154" s="79">
        <v>825</v>
      </c>
      <c r="D154" s="79">
        <v>23971</v>
      </c>
      <c r="E154" s="79">
        <v>8120</v>
      </c>
      <c r="F154" s="79">
        <v>395</v>
      </c>
      <c r="G154" s="79">
        <v>3207</v>
      </c>
      <c r="H154" s="80" t="s">
        <v>18</v>
      </c>
      <c r="I154" s="80" t="s">
        <v>18</v>
      </c>
      <c r="J154" s="80" t="s">
        <v>18</v>
      </c>
      <c r="K154" s="79">
        <v>70100</v>
      </c>
      <c r="L154" s="79">
        <v>475</v>
      </c>
      <c r="M154" s="79">
        <v>33298</v>
      </c>
      <c r="N154" s="80" t="s">
        <v>18</v>
      </c>
      <c r="O154" s="80" t="s">
        <v>18</v>
      </c>
      <c r="P154" s="80" t="s">
        <v>18</v>
      </c>
      <c r="Q154" s="80" t="s">
        <v>18</v>
      </c>
      <c r="R154" s="80" t="s">
        <v>18</v>
      </c>
      <c r="S154" s="80" t="s">
        <v>18</v>
      </c>
      <c r="T154" s="80" t="s">
        <v>18</v>
      </c>
      <c r="U154" s="80" t="s">
        <v>18</v>
      </c>
      <c r="V154" s="80" t="s">
        <v>18</v>
      </c>
      <c r="W154" s="79">
        <v>41000</v>
      </c>
      <c r="X154" s="79">
        <v>26160</v>
      </c>
      <c r="Y154" s="66"/>
      <c r="Z154" s="66"/>
      <c r="AA154" s="66"/>
      <c r="AB154" s="66"/>
      <c r="AC154" s="66"/>
    </row>
    <row r="155" spans="1:29" x14ac:dyDescent="0.25">
      <c r="A155" s="78" t="s">
        <v>21</v>
      </c>
      <c r="B155" s="80" t="s">
        <v>18</v>
      </c>
      <c r="C155" s="80" t="s">
        <v>18</v>
      </c>
      <c r="D155" s="80" t="s">
        <v>18</v>
      </c>
      <c r="E155" s="80" t="s">
        <v>18</v>
      </c>
      <c r="F155" s="80" t="s">
        <v>18</v>
      </c>
      <c r="G155" s="80" t="s">
        <v>18</v>
      </c>
      <c r="H155" s="80" t="s">
        <v>18</v>
      </c>
      <c r="I155" s="80" t="s">
        <v>18</v>
      </c>
      <c r="J155" s="80" t="s">
        <v>18</v>
      </c>
      <c r="K155" s="79">
        <v>520</v>
      </c>
      <c r="L155" s="79">
        <v>362</v>
      </c>
      <c r="M155" s="79">
        <v>188</v>
      </c>
      <c r="N155" s="80" t="s">
        <v>18</v>
      </c>
      <c r="O155" s="80" t="s">
        <v>18</v>
      </c>
      <c r="P155" s="80" t="s">
        <v>18</v>
      </c>
      <c r="Q155" s="80" t="s">
        <v>18</v>
      </c>
      <c r="R155" s="80" t="s">
        <v>18</v>
      </c>
      <c r="S155" s="80" t="s">
        <v>18</v>
      </c>
      <c r="T155" s="80" t="s">
        <v>18</v>
      </c>
      <c r="U155" s="80" t="s">
        <v>18</v>
      </c>
      <c r="V155" s="80" t="s">
        <v>18</v>
      </c>
      <c r="W155" s="80" t="s">
        <v>18</v>
      </c>
      <c r="X155" s="80" t="s">
        <v>18</v>
      </c>
      <c r="Y155" s="66"/>
      <c r="Z155" s="66"/>
      <c r="AA155" s="66"/>
      <c r="AB155" s="66"/>
      <c r="AC155" s="66"/>
    </row>
    <row r="156" spans="1:29" x14ac:dyDescent="0.25">
      <c r="A156" s="78" t="s">
        <v>22</v>
      </c>
      <c r="B156" s="80" t="s">
        <v>18</v>
      </c>
      <c r="C156" s="80" t="s">
        <v>18</v>
      </c>
      <c r="D156" s="80" t="s">
        <v>18</v>
      </c>
      <c r="E156" s="80" t="s">
        <v>18</v>
      </c>
      <c r="F156" s="80" t="s">
        <v>18</v>
      </c>
      <c r="G156" s="80" t="s">
        <v>18</v>
      </c>
      <c r="H156" s="80" t="s">
        <v>18</v>
      </c>
      <c r="I156" s="80" t="s">
        <v>18</v>
      </c>
      <c r="J156" s="80" t="s">
        <v>18</v>
      </c>
      <c r="K156" s="80" t="s">
        <v>18</v>
      </c>
      <c r="L156" s="80" t="s">
        <v>18</v>
      </c>
      <c r="M156" s="80" t="s">
        <v>18</v>
      </c>
      <c r="N156" s="80" t="s">
        <v>18</v>
      </c>
      <c r="O156" s="80" t="s">
        <v>18</v>
      </c>
      <c r="P156" s="80" t="s">
        <v>18</v>
      </c>
      <c r="Q156" s="80" t="s">
        <v>18</v>
      </c>
      <c r="R156" s="80" t="s">
        <v>18</v>
      </c>
      <c r="S156" s="80" t="s">
        <v>18</v>
      </c>
      <c r="T156" s="80" t="s">
        <v>18</v>
      </c>
      <c r="U156" s="80" t="s">
        <v>18</v>
      </c>
      <c r="V156" s="80" t="s">
        <v>18</v>
      </c>
      <c r="W156" s="79">
        <v>70</v>
      </c>
      <c r="X156" s="79">
        <v>106</v>
      </c>
      <c r="Y156" s="66"/>
      <c r="Z156" s="66"/>
      <c r="AA156" s="66"/>
      <c r="AB156" s="66"/>
      <c r="AC156" s="66"/>
    </row>
    <row r="157" spans="1:29" x14ac:dyDescent="0.25">
      <c r="A157" s="78" t="s">
        <v>23</v>
      </c>
      <c r="B157" s="79">
        <v>139272</v>
      </c>
      <c r="C157" s="79">
        <v>1200</v>
      </c>
      <c r="D157" s="79">
        <v>167126</v>
      </c>
      <c r="E157" s="79">
        <v>4140</v>
      </c>
      <c r="F157" s="79">
        <v>575</v>
      </c>
      <c r="G157" s="79">
        <v>2381</v>
      </c>
      <c r="H157" s="80" t="s">
        <v>18</v>
      </c>
      <c r="I157" s="80" t="s">
        <v>18</v>
      </c>
      <c r="J157" s="80" t="s">
        <v>18</v>
      </c>
      <c r="K157" s="80" t="s">
        <v>18</v>
      </c>
      <c r="L157" s="80" t="s">
        <v>18</v>
      </c>
      <c r="M157" s="80" t="s">
        <v>18</v>
      </c>
      <c r="N157" s="80" t="s">
        <v>18</v>
      </c>
      <c r="O157" s="80" t="s">
        <v>18</v>
      </c>
      <c r="P157" s="80" t="s">
        <v>18</v>
      </c>
      <c r="Q157" s="80" t="s">
        <v>18</v>
      </c>
      <c r="R157" s="80" t="s">
        <v>18</v>
      </c>
      <c r="S157" s="80" t="s">
        <v>18</v>
      </c>
      <c r="T157" s="80" t="s">
        <v>18</v>
      </c>
      <c r="U157" s="80" t="s">
        <v>18</v>
      </c>
      <c r="V157" s="80" t="s">
        <v>18</v>
      </c>
      <c r="W157" s="79">
        <v>115210</v>
      </c>
      <c r="X157" s="79">
        <v>110981</v>
      </c>
      <c r="Y157" s="66"/>
      <c r="Z157" s="66"/>
      <c r="AA157" s="66"/>
      <c r="AB157" s="66"/>
      <c r="AC157" s="66"/>
    </row>
    <row r="158" spans="1:29" x14ac:dyDescent="0.25">
      <c r="A158" s="78" t="s">
        <v>24</v>
      </c>
      <c r="B158" s="79">
        <v>4017</v>
      </c>
      <c r="C158" s="79">
        <v>940</v>
      </c>
      <c r="D158" s="79">
        <v>3776</v>
      </c>
      <c r="E158" s="79">
        <v>1290</v>
      </c>
      <c r="F158" s="79">
        <v>400</v>
      </c>
      <c r="G158" s="79">
        <v>516</v>
      </c>
      <c r="H158" s="80" t="s">
        <v>18</v>
      </c>
      <c r="I158" s="80" t="s">
        <v>18</v>
      </c>
      <c r="J158" s="80" t="s">
        <v>18</v>
      </c>
      <c r="K158" s="79">
        <v>17350</v>
      </c>
      <c r="L158" s="79">
        <v>1050</v>
      </c>
      <c r="M158" s="79">
        <v>18218</v>
      </c>
      <c r="N158" s="80" t="s">
        <v>18</v>
      </c>
      <c r="O158" s="80" t="s">
        <v>18</v>
      </c>
      <c r="P158" s="80" t="s">
        <v>18</v>
      </c>
      <c r="Q158" s="80" t="s">
        <v>18</v>
      </c>
      <c r="R158" s="80" t="s">
        <v>18</v>
      </c>
      <c r="S158" s="80" t="s">
        <v>18</v>
      </c>
      <c r="T158" s="80" t="s">
        <v>18</v>
      </c>
      <c r="U158" s="80" t="s">
        <v>18</v>
      </c>
      <c r="V158" s="80" t="s">
        <v>18</v>
      </c>
      <c r="W158" s="79">
        <v>5200</v>
      </c>
      <c r="X158" s="79">
        <v>3470</v>
      </c>
      <c r="Y158" s="66"/>
      <c r="Z158" s="66"/>
      <c r="AA158" s="66"/>
      <c r="AB158" s="66"/>
      <c r="AC158" s="66"/>
    </row>
    <row r="159" spans="1:29" x14ac:dyDescent="0.25">
      <c r="A159" s="82" t="s">
        <v>25</v>
      </c>
      <c r="B159" s="112">
        <f t="shared" ref="B159:M159" si="0">SUM(B150:B158)</f>
        <v>218075</v>
      </c>
      <c r="C159" s="112">
        <f t="shared" si="0"/>
        <v>5993</v>
      </c>
      <c r="D159" s="112">
        <f t="shared" si="0"/>
        <v>247816</v>
      </c>
      <c r="E159" s="112">
        <f t="shared" si="0"/>
        <v>17325</v>
      </c>
      <c r="F159" s="112">
        <f t="shared" si="0"/>
        <v>1925</v>
      </c>
      <c r="G159" s="112">
        <f t="shared" si="0"/>
        <v>6995</v>
      </c>
      <c r="H159" s="112">
        <f t="shared" si="0"/>
        <v>25817</v>
      </c>
      <c r="I159" s="112">
        <f t="shared" si="0"/>
        <v>620</v>
      </c>
      <c r="J159" s="112">
        <f t="shared" si="0"/>
        <v>160017</v>
      </c>
      <c r="K159" s="112">
        <f t="shared" si="0"/>
        <v>91141</v>
      </c>
      <c r="L159" s="112">
        <f t="shared" si="0"/>
        <v>2487</v>
      </c>
      <c r="M159" s="112">
        <f t="shared" si="0"/>
        <v>53607</v>
      </c>
      <c r="N159" s="113" t="s">
        <v>18</v>
      </c>
      <c r="O159" s="113" t="s">
        <v>18</v>
      </c>
      <c r="P159" s="113" t="s">
        <v>18</v>
      </c>
      <c r="Q159" s="113" t="s">
        <v>18</v>
      </c>
      <c r="R159" s="94" t="s">
        <v>18</v>
      </c>
      <c r="S159" s="94" t="s">
        <v>18</v>
      </c>
      <c r="T159" s="94" t="s">
        <v>18</v>
      </c>
      <c r="U159" s="94" t="s">
        <v>18</v>
      </c>
      <c r="V159" s="94" t="s">
        <v>18</v>
      </c>
      <c r="W159" s="83">
        <v>213708</v>
      </c>
      <c r="X159" s="83">
        <v>166022</v>
      </c>
      <c r="Y159" s="66"/>
      <c r="Z159" s="66"/>
      <c r="AA159" s="66"/>
      <c r="AB159" s="66"/>
      <c r="AC159" s="66"/>
    </row>
    <row r="160" spans="1:29" x14ac:dyDescent="0.25">
      <c r="A160" s="78" t="s">
        <v>47</v>
      </c>
      <c r="B160" s="79">
        <v>12648</v>
      </c>
      <c r="C160" s="79">
        <v>1184</v>
      </c>
      <c r="D160" s="79">
        <v>14975</v>
      </c>
      <c r="E160" s="79">
        <v>5055</v>
      </c>
      <c r="F160" s="79">
        <v>560</v>
      </c>
      <c r="G160" s="79">
        <v>2830</v>
      </c>
      <c r="H160" s="79">
        <v>1076</v>
      </c>
      <c r="I160" s="79">
        <v>870</v>
      </c>
      <c r="J160" s="79">
        <v>936</v>
      </c>
      <c r="K160" s="79">
        <v>4136</v>
      </c>
      <c r="L160" s="79">
        <v>490</v>
      </c>
      <c r="M160" s="79">
        <v>2027</v>
      </c>
      <c r="N160" s="79">
        <v>2545</v>
      </c>
      <c r="O160" s="79">
        <v>10000</v>
      </c>
      <c r="P160" s="79">
        <v>25450</v>
      </c>
      <c r="Q160" s="80" t="s">
        <v>18</v>
      </c>
      <c r="R160" s="80" t="s">
        <v>18</v>
      </c>
      <c r="S160" s="80" t="s">
        <v>18</v>
      </c>
      <c r="T160" s="80" t="s">
        <v>18</v>
      </c>
      <c r="U160" s="80" t="s">
        <v>18</v>
      </c>
      <c r="V160" s="80" t="s">
        <v>18</v>
      </c>
      <c r="W160" s="79">
        <v>50894</v>
      </c>
      <c r="X160" s="79">
        <v>39083</v>
      </c>
      <c r="Y160" s="66"/>
      <c r="Z160" s="66"/>
      <c r="AA160" s="66"/>
      <c r="AB160" s="66"/>
      <c r="AC160" s="66"/>
    </row>
    <row r="161" spans="1:29" x14ac:dyDescent="0.25">
      <c r="A161" s="78" t="s">
        <v>27</v>
      </c>
      <c r="B161" s="79">
        <v>32590</v>
      </c>
      <c r="C161" s="79">
        <v>801</v>
      </c>
      <c r="D161" s="79">
        <v>26105</v>
      </c>
      <c r="E161" s="79">
        <v>12582</v>
      </c>
      <c r="F161" s="79">
        <v>464</v>
      </c>
      <c r="G161" s="79">
        <v>5838</v>
      </c>
      <c r="H161" s="79">
        <v>8321</v>
      </c>
      <c r="I161" s="79">
        <v>768</v>
      </c>
      <c r="J161" s="79">
        <v>6391</v>
      </c>
      <c r="K161" s="79">
        <v>7845</v>
      </c>
      <c r="L161" s="79">
        <v>300</v>
      </c>
      <c r="M161" s="79">
        <v>2354</v>
      </c>
      <c r="N161" s="79">
        <v>1145</v>
      </c>
      <c r="O161" s="79">
        <v>9800</v>
      </c>
      <c r="P161" s="79">
        <v>112210</v>
      </c>
      <c r="Q161" s="80" t="s">
        <v>18</v>
      </c>
      <c r="R161" s="80" t="s">
        <v>18</v>
      </c>
      <c r="S161" s="80" t="s">
        <v>18</v>
      </c>
      <c r="T161" s="80" t="s">
        <v>18</v>
      </c>
      <c r="U161" s="80" t="s">
        <v>18</v>
      </c>
      <c r="V161" s="80" t="s">
        <v>18</v>
      </c>
      <c r="W161" s="79">
        <v>64301</v>
      </c>
      <c r="X161" s="79">
        <v>58773</v>
      </c>
      <c r="Y161" s="66"/>
      <c r="Z161" s="66"/>
      <c r="AA161" s="66"/>
      <c r="AB161" s="66"/>
      <c r="AC161" s="66"/>
    </row>
    <row r="162" spans="1:29" x14ac:dyDescent="0.25">
      <c r="A162" s="78" t="s">
        <v>28</v>
      </c>
      <c r="B162" s="79">
        <v>30958</v>
      </c>
      <c r="C162" s="79">
        <v>870</v>
      </c>
      <c r="D162" s="79">
        <v>26933</v>
      </c>
      <c r="E162" s="79">
        <v>12413</v>
      </c>
      <c r="F162" s="79">
        <v>480</v>
      </c>
      <c r="G162" s="79">
        <v>5958</v>
      </c>
      <c r="H162" s="79">
        <v>8786</v>
      </c>
      <c r="I162" s="79">
        <v>800</v>
      </c>
      <c r="J162" s="79">
        <v>7029</v>
      </c>
      <c r="K162" s="79">
        <v>5976</v>
      </c>
      <c r="L162" s="79">
        <v>410</v>
      </c>
      <c r="M162" s="79">
        <v>2450</v>
      </c>
      <c r="N162" s="79">
        <v>4510</v>
      </c>
      <c r="O162" s="79">
        <v>13500</v>
      </c>
      <c r="P162" s="79">
        <v>60885</v>
      </c>
      <c r="Q162" s="80" t="s">
        <v>18</v>
      </c>
      <c r="R162" s="80" t="s">
        <v>18</v>
      </c>
      <c r="S162" s="80" t="s">
        <v>18</v>
      </c>
      <c r="T162" s="80" t="s">
        <v>18</v>
      </c>
      <c r="U162" s="80" t="s">
        <v>18</v>
      </c>
      <c r="V162" s="80" t="s">
        <v>18</v>
      </c>
      <c r="W162" s="79">
        <v>65964</v>
      </c>
      <c r="X162" s="79">
        <v>50999</v>
      </c>
      <c r="Y162" s="66"/>
      <c r="Z162" s="66"/>
      <c r="AA162" s="66"/>
      <c r="AB162" s="66"/>
      <c r="AC162" s="66"/>
    </row>
    <row r="163" spans="1:29" x14ac:dyDescent="0.25">
      <c r="A163" s="78" t="s">
        <v>29</v>
      </c>
      <c r="B163" s="79">
        <v>41788</v>
      </c>
      <c r="C163" s="79">
        <v>1080</v>
      </c>
      <c r="D163" s="79">
        <v>45131</v>
      </c>
      <c r="E163" s="79">
        <v>10667</v>
      </c>
      <c r="F163" s="79">
        <v>528</v>
      </c>
      <c r="G163" s="79">
        <v>5632</v>
      </c>
      <c r="H163" s="79">
        <v>10024</v>
      </c>
      <c r="I163" s="79">
        <v>900</v>
      </c>
      <c r="J163" s="79">
        <v>9022</v>
      </c>
      <c r="K163" s="79">
        <v>3763</v>
      </c>
      <c r="L163" s="79">
        <v>445</v>
      </c>
      <c r="M163" s="79">
        <v>1675</v>
      </c>
      <c r="N163" s="79">
        <v>5961</v>
      </c>
      <c r="O163" s="79">
        <v>11500</v>
      </c>
      <c r="P163" s="79">
        <v>6859</v>
      </c>
      <c r="Q163" s="80" t="s">
        <v>18</v>
      </c>
      <c r="R163" s="80" t="s">
        <v>18</v>
      </c>
      <c r="S163" s="80" t="s">
        <v>18</v>
      </c>
      <c r="T163" s="80" t="s">
        <v>18</v>
      </c>
      <c r="U163" s="80" t="s">
        <v>18</v>
      </c>
      <c r="V163" s="80" t="s">
        <v>18</v>
      </c>
      <c r="W163" s="79">
        <v>100302</v>
      </c>
      <c r="X163" s="79">
        <v>77269</v>
      </c>
      <c r="Y163" s="66"/>
      <c r="Z163" s="66"/>
      <c r="AA163" s="66"/>
      <c r="AB163" s="66"/>
      <c r="AC163" s="66"/>
    </row>
    <row r="164" spans="1:29" x14ac:dyDescent="0.25">
      <c r="A164" s="78" t="s">
        <v>30</v>
      </c>
      <c r="B164" s="79">
        <v>106695</v>
      </c>
      <c r="C164" s="79">
        <v>1321</v>
      </c>
      <c r="D164" s="79">
        <v>149980</v>
      </c>
      <c r="E164" s="79">
        <v>3464</v>
      </c>
      <c r="F164" s="79">
        <v>508</v>
      </c>
      <c r="G164" s="79">
        <v>1760</v>
      </c>
      <c r="H164" s="79">
        <v>16454</v>
      </c>
      <c r="I164" s="79">
        <v>950</v>
      </c>
      <c r="J164" s="79">
        <v>15631</v>
      </c>
      <c r="K164" s="79">
        <v>16072</v>
      </c>
      <c r="L164" s="79">
        <v>624</v>
      </c>
      <c r="M164" s="79">
        <v>10029</v>
      </c>
      <c r="N164" s="79">
        <v>8890</v>
      </c>
      <c r="O164" s="79">
        <v>12000</v>
      </c>
      <c r="P164" s="79">
        <v>106680</v>
      </c>
      <c r="Q164" s="80" t="s">
        <v>18</v>
      </c>
      <c r="R164" s="80" t="s">
        <v>18</v>
      </c>
      <c r="S164" s="80" t="s">
        <v>18</v>
      </c>
      <c r="T164" s="80" t="s">
        <v>18</v>
      </c>
      <c r="U164" s="80" t="s">
        <v>18</v>
      </c>
      <c r="V164" s="80" t="s">
        <v>18</v>
      </c>
      <c r="W164" s="79">
        <v>54827</v>
      </c>
      <c r="X164" s="79">
        <v>36017</v>
      </c>
      <c r="Y164" s="66"/>
      <c r="Z164" s="66"/>
      <c r="AA164" s="66"/>
      <c r="AB164" s="66"/>
      <c r="AC164" s="66"/>
    </row>
    <row r="165" spans="1:29" x14ac:dyDescent="0.25">
      <c r="A165" s="85" t="s">
        <v>31</v>
      </c>
      <c r="B165" s="112">
        <f>SUM(B160:B164)</f>
        <v>224679</v>
      </c>
      <c r="C165" s="112">
        <v>1171</v>
      </c>
      <c r="D165" s="112">
        <f>SUM(D160:D164)</f>
        <v>263124</v>
      </c>
      <c r="E165" s="112">
        <f>SUM(E157:E164)</f>
        <v>66936</v>
      </c>
      <c r="F165" s="112">
        <v>329</v>
      </c>
      <c r="G165" s="112">
        <f>SUM(G160:G164)</f>
        <v>22018</v>
      </c>
      <c r="H165" s="112">
        <f>SUM(H160:H164)</f>
        <v>44661</v>
      </c>
      <c r="I165" s="112">
        <v>873</v>
      </c>
      <c r="J165" s="112">
        <f>SUM(J160:J164)</f>
        <v>39009</v>
      </c>
      <c r="K165" s="112">
        <f>SUM(K160:K164)</f>
        <v>37792</v>
      </c>
      <c r="L165" s="112">
        <v>490</v>
      </c>
      <c r="M165" s="112">
        <f>SUM(M160:M164)</f>
        <v>18535</v>
      </c>
      <c r="N165" s="112">
        <f>SUM(N160:N164)</f>
        <v>23051</v>
      </c>
      <c r="O165" s="112">
        <v>13538</v>
      </c>
      <c r="P165" s="112">
        <f>SUM(P160:P164)</f>
        <v>312084</v>
      </c>
      <c r="Q165" s="113" t="s">
        <v>18</v>
      </c>
      <c r="R165" s="94" t="s">
        <v>18</v>
      </c>
      <c r="S165" s="94" t="s">
        <v>18</v>
      </c>
      <c r="T165" s="94" t="s">
        <v>18</v>
      </c>
      <c r="U165" s="94" t="s">
        <v>18</v>
      </c>
      <c r="V165" s="94" t="s">
        <v>18</v>
      </c>
      <c r="W165" s="83">
        <v>336288</v>
      </c>
      <c r="X165" s="83">
        <v>262141</v>
      </c>
      <c r="Y165" s="66"/>
      <c r="Z165" s="66"/>
      <c r="AA165" s="66"/>
      <c r="AB165" s="66"/>
      <c r="AC165" s="66"/>
    </row>
    <row r="166" spans="1:29" x14ac:dyDescent="0.25">
      <c r="A166" s="78" t="s">
        <v>32</v>
      </c>
      <c r="B166" s="79">
        <f>B159+B165</f>
        <v>442754</v>
      </c>
      <c r="C166" s="79"/>
      <c r="D166" s="79">
        <f>D159+D165</f>
        <v>510940</v>
      </c>
      <c r="E166" s="79">
        <f>E159+E165</f>
        <v>84261</v>
      </c>
      <c r="F166" s="79"/>
      <c r="G166" s="79">
        <f>G159+G165</f>
        <v>29013</v>
      </c>
      <c r="H166" s="79">
        <f>H159+H165</f>
        <v>70478</v>
      </c>
      <c r="I166" s="79"/>
      <c r="J166" s="79">
        <f>J159+J165</f>
        <v>199026</v>
      </c>
      <c r="K166" s="79">
        <v>128933</v>
      </c>
      <c r="L166" s="79"/>
      <c r="M166" s="79">
        <f>M159+M165</f>
        <v>72142</v>
      </c>
      <c r="N166" s="79">
        <v>23051</v>
      </c>
      <c r="O166" s="79"/>
      <c r="P166" s="79">
        <v>312084</v>
      </c>
      <c r="Q166" s="80" t="s">
        <v>18</v>
      </c>
      <c r="R166" s="80" t="s">
        <v>18</v>
      </c>
      <c r="S166" s="80" t="s">
        <v>18</v>
      </c>
      <c r="T166" s="80" t="s">
        <v>18</v>
      </c>
      <c r="U166" s="80" t="s">
        <v>18</v>
      </c>
      <c r="V166" s="80" t="s">
        <v>18</v>
      </c>
      <c r="W166" s="79">
        <v>549990</v>
      </c>
      <c r="X166" s="79">
        <v>428163</v>
      </c>
      <c r="Y166" s="66"/>
      <c r="Z166" s="66"/>
      <c r="AA166" s="66"/>
      <c r="AB166" s="66"/>
      <c r="AC166" s="66"/>
    </row>
    <row r="167" spans="1:29" x14ac:dyDescent="0.25">
      <c r="A167" s="95" t="s">
        <v>58</v>
      </c>
      <c r="B167" s="96"/>
      <c r="C167" s="96"/>
      <c r="D167" s="95" t="s">
        <v>59</v>
      </c>
      <c r="E167" s="96"/>
      <c r="F167" s="96"/>
      <c r="G167" s="96"/>
      <c r="H167" s="96"/>
      <c r="I167" s="95" t="s">
        <v>60</v>
      </c>
      <c r="J167" s="96"/>
      <c r="K167" s="96"/>
      <c r="L167" s="114"/>
      <c r="M167" s="114"/>
      <c r="N167" s="114"/>
      <c r="O167" s="114"/>
      <c r="P167" s="114"/>
      <c r="Q167" s="114"/>
      <c r="R167" s="114"/>
      <c r="S167" s="114"/>
      <c r="T167" s="114"/>
      <c r="U167" s="114"/>
      <c r="V167" s="114"/>
      <c r="W167" s="114"/>
      <c r="X167" s="114"/>
      <c r="Y167" s="114"/>
      <c r="Z167" s="114"/>
      <c r="AA167" s="114"/>
      <c r="AB167" s="114"/>
      <c r="AC167" s="114"/>
    </row>
    <row r="168" spans="1:29" x14ac:dyDescent="0.25">
      <c r="A168" s="95"/>
      <c r="B168" s="96"/>
      <c r="C168" s="96"/>
      <c r="D168" s="95"/>
      <c r="E168" s="96"/>
      <c r="F168" s="96"/>
      <c r="G168" s="96"/>
      <c r="H168" s="96"/>
      <c r="I168" s="95"/>
      <c r="J168" s="96"/>
      <c r="K168" s="96"/>
      <c r="L168" s="114"/>
      <c r="M168" s="114"/>
      <c r="N168" s="114"/>
      <c r="O168" s="114"/>
      <c r="P168" s="114"/>
      <c r="Q168" s="114"/>
      <c r="R168" s="114"/>
      <c r="S168" s="114"/>
      <c r="T168" s="114"/>
      <c r="U168" s="114"/>
      <c r="V168" s="114"/>
      <c r="W168" s="114"/>
      <c r="X168" s="114"/>
      <c r="Y168" s="114"/>
      <c r="Z168" s="114"/>
      <c r="AA168" s="114"/>
      <c r="AB168" s="114"/>
      <c r="AC168" s="114"/>
    </row>
    <row r="169" spans="1:29" x14ac:dyDescent="0.25">
      <c r="A169" s="64"/>
      <c r="B169" s="65" t="s">
        <v>0</v>
      </c>
      <c r="C169" s="64"/>
      <c r="D169" s="64"/>
      <c r="E169" s="64"/>
      <c r="F169" s="97"/>
      <c r="G169" s="64"/>
      <c r="H169" s="64"/>
      <c r="I169" s="65" t="s">
        <v>63</v>
      </c>
      <c r="J169" s="64"/>
      <c r="K169" s="64"/>
      <c r="L169" s="64"/>
      <c r="M169" s="64"/>
      <c r="N169" s="64"/>
      <c r="O169" s="64"/>
      <c r="P169" s="64"/>
      <c r="Q169" s="64"/>
      <c r="R169" s="66"/>
      <c r="S169" s="66"/>
      <c r="T169" s="66"/>
      <c r="U169" s="66"/>
      <c r="V169" s="66"/>
      <c r="W169" s="66"/>
      <c r="X169" s="66"/>
      <c r="Y169" s="66"/>
      <c r="Z169" s="66"/>
      <c r="AA169" s="66"/>
      <c r="AB169" s="66"/>
      <c r="AC169" s="66"/>
    </row>
    <row r="170" spans="1:29" x14ac:dyDescent="0.25">
      <c r="A170" s="115" t="s">
        <v>2</v>
      </c>
      <c r="B170" s="68"/>
      <c r="C170" s="69" t="s">
        <v>3</v>
      </c>
      <c r="D170" s="70"/>
      <c r="E170" s="68"/>
      <c r="F170" s="71" t="s">
        <v>4</v>
      </c>
      <c r="G170" s="70"/>
      <c r="H170" s="68"/>
      <c r="I170" s="69" t="s">
        <v>5</v>
      </c>
      <c r="J170" s="70"/>
      <c r="K170" s="68"/>
      <c r="L170" s="69" t="s">
        <v>6</v>
      </c>
      <c r="M170" s="70"/>
      <c r="N170" s="68"/>
      <c r="O170" s="69" t="s">
        <v>7</v>
      </c>
      <c r="P170" s="116"/>
      <c r="Q170" s="117"/>
      <c r="R170" s="118" t="s">
        <v>8</v>
      </c>
      <c r="S170" s="119"/>
      <c r="T170" s="120"/>
      <c r="U170" s="121" t="s">
        <v>9</v>
      </c>
      <c r="V170" s="119"/>
      <c r="W170" s="122" t="s">
        <v>10</v>
      </c>
      <c r="X170" s="123"/>
      <c r="Y170" s="66"/>
      <c r="Z170" s="66"/>
      <c r="AA170" s="66"/>
      <c r="AB170" s="66"/>
      <c r="AC170" s="66"/>
    </row>
    <row r="171" spans="1:29" ht="15.75" thickBot="1" x14ac:dyDescent="0.3">
      <c r="A171" s="124" t="s">
        <v>11</v>
      </c>
      <c r="B171" s="125" t="s">
        <v>12</v>
      </c>
      <c r="C171" s="125" t="s">
        <v>13</v>
      </c>
      <c r="D171" s="125" t="s">
        <v>14</v>
      </c>
      <c r="E171" s="125" t="s">
        <v>12</v>
      </c>
      <c r="F171" s="125" t="s">
        <v>13</v>
      </c>
      <c r="G171" s="125" t="s">
        <v>14</v>
      </c>
      <c r="H171" s="125" t="s">
        <v>12</v>
      </c>
      <c r="I171" s="125" t="s">
        <v>13</v>
      </c>
      <c r="J171" s="125" t="s">
        <v>14</v>
      </c>
      <c r="K171" s="125" t="s">
        <v>12</v>
      </c>
      <c r="L171" s="125" t="s">
        <v>13</v>
      </c>
      <c r="M171" s="125" t="s">
        <v>14</v>
      </c>
      <c r="N171" s="125" t="s">
        <v>12</v>
      </c>
      <c r="O171" s="125" t="s">
        <v>13</v>
      </c>
      <c r="P171" s="125" t="s">
        <v>14</v>
      </c>
      <c r="Q171" s="126" t="s">
        <v>12</v>
      </c>
      <c r="R171" s="126" t="s">
        <v>13</v>
      </c>
      <c r="S171" s="126" t="s">
        <v>14</v>
      </c>
      <c r="T171" s="126" t="s">
        <v>12</v>
      </c>
      <c r="U171" s="126" t="s">
        <v>13</v>
      </c>
      <c r="V171" s="126" t="s">
        <v>14</v>
      </c>
      <c r="W171" s="127" t="s">
        <v>12</v>
      </c>
      <c r="X171" s="128" t="s">
        <v>14</v>
      </c>
      <c r="Y171" s="66"/>
      <c r="Z171" s="66"/>
      <c r="AA171" s="66"/>
      <c r="AB171" s="66"/>
      <c r="AC171" s="66"/>
    </row>
    <row r="172" spans="1:29" ht="15.75" thickTop="1" x14ac:dyDescent="0.25">
      <c r="A172" s="129" t="s">
        <v>15</v>
      </c>
      <c r="B172" s="108">
        <v>128840</v>
      </c>
      <c r="C172" s="108">
        <v>346</v>
      </c>
      <c r="D172" s="108">
        <v>44578</v>
      </c>
      <c r="E172" s="108">
        <v>45722</v>
      </c>
      <c r="F172" s="108">
        <v>370</v>
      </c>
      <c r="G172" s="108">
        <v>16917</v>
      </c>
      <c r="H172" s="77" t="s">
        <v>18</v>
      </c>
      <c r="I172" s="77" t="s">
        <v>18</v>
      </c>
      <c r="J172" s="77" t="s">
        <v>18</v>
      </c>
      <c r="K172" s="77" t="s">
        <v>18</v>
      </c>
      <c r="L172" s="77" t="s">
        <v>18</v>
      </c>
      <c r="M172" s="77" t="s">
        <v>18</v>
      </c>
      <c r="N172" s="108">
        <v>20000</v>
      </c>
      <c r="O172" s="108">
        <v>572</v>
      </c>
      <c r="P172" s="108">
        <v>11440</v>
      </c>
      <c r="Q172" s="77" t="s">
        <v>18</v>
      </c>
      <c r="R172" s="77" t="s">
        <v>18</v>
      </c>
      <c r="S172" s="77" t="s">
        <v>18</v>
      </c>
      <c r="T172" s="77" t="s">
        <v>18</v>
      </c>
      <c r="U172" s="77" t="s">
        <v>18</v>
      </c>
      <c r="V172" s="77" t="s">
        <v>18</v>
      </c>
      <c r="W172" s="130">
        <v>194562</v>
      </c>
      <c r="X172" s="131">
        <v>72935</v>
      </c>
      <c r="Y172" s="66"/>
      <c r="Z172" s="66"/>
      <c r="AA172" s="66"/>
      <c r="AB172" s="66"/>
      <c r="AC172" s="66"/>
    </row>
    <row r="173" spans="1:29" x14ac:dyDescent="0.25">
      <c r="A173" s="78" t="s">
        <v>49</v>
      </c>
      <c r="B173" s="80"/>
      <c r="C173" s="80"/>
      <c r="D173" s="80"/>
      <c r="E173" s="80"/>
      <c r="F173" s="80"/>
      <c r="G173" s="80"/>
      <c r="H173" s="80"/>
      <c r="I173" s="80"/>
      <c r="J173" s="80"/>
      <c r="K173" s="80"/>
      <c r="L173" s="80"/>
      <c r="M173" s="80"/>
      <c r="N173" s="80"/>
      <c r="O173" s="80"/>
      <c r="P173" s="80"/>
      <c r="Q173" s="80"/>
      <c r="R173" s="80"/>
      <c r="S173" s="80"/>
      <c r="T173" s="80"/>
      <c r="U173" s="80"/>
      <c r="V173" s="80"/>
      <c r="W173" s="132"/>
      <c r="X173" s="133"/>
      <c r="Y173" s="66"/>
      <c r="Z173" s="66"/>
      <c r="AA173" s="66"/>
      <c r="AB173" s="66"/>
      <c r="AC173" s="66"/>
    </row>
    <row r="174" spans="1:29" x14ac:dyDescent="0.25">
      <c r="A174" s="78" t="s">
        <v>17</v>
      </c>
      <c r="B174" s="79">
        <v>82000</v>
      </c>
      <c r="C174" s="79">
        <v>257</v>
      </c>
      <c r="D174" s="79">
        <v>21040</v>
      </c>
      <c r="E174" s="79">
        <v>20900</v>
      </c>
      <c r="F174" s="79">
        <v>318</v>
      </c>
      <c r="G174" s="79">
        <v>6646</v>
      </c>
      <c r="H174" s="80" t="s">
        <v>18</v>
      </c>
      <c r="I174" s="80" t="s">
        <v>18</v>
      </c>
      <c r="J174" s="80" t="s">
        <v>18</v>
      </c>
      <c r="K174" s="80" t="s">
        <v>18</v>
      </c>
      <c r="L174" s="80" t="s">
        <v>18</v>
      </c>
      <c r="M174" s="80" t="s">
        <v>18</v>
      </c>
      <c r="N174" s="80" t="s">
        <v>18</v>
      </c>
      <c r="O174" s="80" t="s">
        <v>18</v>
      </c>
      <c r="P174" s="80" t="s">
        <v>18</v>
      </c>
      <c r="Q174" s="80" t="s">
        <v>18</v>
      </c>
      <c r="R174" s="80" t="s">
        <v>18</v>
      </c>
      <c r="S174" s="80" t="s">
        <v>18</v>
      </c>
      <c r="T174" s="80" t="s">
        <v>18</v>
      </c>
      <c r="U174" s="80" t="s">
        <v>18</v>
      </c>
      <c r="V174" s="80" t="s">
        <v>18</v>
      </c>
      <c r="W174" s="132" t="s">
        <v>18</v>
      </c>
      <c r="X174" s="133" t="s">
        <v>18</v>
      </c>
      <c r="Y174" s="66"/>
      <c r="Z174" s="66"/>
      <c r="AA174" s="66"/>
      <c r="AB174" s="66"/>
      <c r="AC174" s="66"/>
    </row>
    <row r="175" spans="1:29" x14ac:dyDescent="0.25">
      <c r="A175" s="78" t="s">
        <v>19</v>
      </c>
      <c r="B175" s="79">
        <v>138659</v>
      </c>
      <c r="C175" s="79">
        <v>679</v>
      </c>
      <c r="D175" s="79">
        <v>94149</v>
      </c>
      <c r="E175" s="79">
        <v>95255</v>
      </c>
      <c r="F175" s="79">
        <v>775</v>
      </c>
      <c r="G175" s="79">
        <v>73822</v>
      </c>
      <c r="H175" s="79">
        <v>18000</v>
      </c>
      <c r="I175" s="79">
        <v>524</v>
      </c>
      <c r="J175" s="79">
        <v>9432</v>
      </c>
      <c r="K175" s="79">
        <v>1018</v>
      </c>
      <c r="L175" s="79">
        <v>3450</v>
      </c>
      <c r="M175" s="79">
        <v>3512</v>
      </c>
      <c r="N175" s="79">
        <v>30000</v>
      </c>
      <c r="O175" s="79">
        <v>799</v>
      </c>
      <c r="P175" s="79">
        <v>23970</v>
      </c>
      <c r="Q175" s="80" t="s">
        <v>18</v>
      </c>
      <c r="R175" s="80" t="s">
        <v>18</v>
      </c>
      <c r="S175" s="80" t="s">
        <v>18</v>
      </c>
      <c r="T175" s="80" t="s">
        <v>18</v>
      </c>
      <c r="U175" s="80" t="s">
        <v>18</v>
      </c>
      <c r="V175" s="80" t="s">
        <v>18</v>
      </c>
      <c r="W175" s="92">
        <v>282932</v>
      </c>
      <c r="X175" s="123">
        <v>204885</v>
      </c>
      <c r="Y175" s="66"/>
      <c r="Z175" s="66"/>
      <c r="AA175" s="66"/>
      <c r="AB175" s="66"/>
      <c r="AC175" s="66"/>
    </row>
    <row r="176" spans="1:29" x14ac:dyDescent="0.25">
      <c r="A176" s="78" t="s">
        <v>20</v>
      </c>
      <c r="B176" s="79">
        <v>32856</v>
      </c>
      <c r="C176" s="79">
        <v>784</v>
      </c>
      <c r="D176" s="79">
        <v>25759</v>
      </c>
      <c r="E176" s="79">
        <v>41578</v>
      </c>
      <c r="F176" s="79">
        <v>1000</v>
      </c>
      <c r="G176" s="79">
        <v>41578</v>
      </c>
      <c r="H176" s="79">
        <v>1239</v>
      </c>
      <c r="I176" s="79">
        <v>1258</v>
      </c>
      <c r="J176" s="79">
        <v>1558</v>
      </c>
      <c r="K176" s="79">
        <v>25</v>
      </c>
      <c r="L176" s="79">
        <v>1500</v>
      </c>
      <c r="M176" s="79">
        <v>27</v>
      </c>
      <c r="N176" s="79">
        <v>20389</v>
      </c>
      <c r="O176" s="79">
        <v>1188</v>
      </c>
      <c r="P176" s="79">
        <v>24222</v>
      </c>
      <c r="Q176" s="80" t="s">
        <v>18</v>
      </c>
      <c r="R176" s="80" t="s">
        <v>18</v>
      </c>
      <c r="S176" s="80" t="s">
        <v>18</v>
      </c>
      <c r="T176" s="80" t="s">
        <v>18</v>
      </c>
      <c r="U176" s="80" t="s">
        <v>18</v>
      </c>
      <c r="V176" s="80" t="s">
        <v>18</v>
      </c>
      <c r="W176" s="92">
        <v>96087</v>
      </c>
      <c r="X176" s="123">
        <v>93144</v>
      </c>
      <c r="Y176" s="66"/>
      <c r="Z176" s="66"/>
      <c r="AA176" s="66"/>
      <c r="AB176" s="66"/>
      <c r="AC176" s="66"/>
    </row>
    <row r="177" spans="1:29" x14ac:dyDescent="0.25">
      <c r="A177" s="78" t="s">
        <v>21</v>
      </c>
      <c r="B177" s="79">
        <v>50500</v>
      </c>
      <c r="C177" s="79">
        <v>180</v>
      </c>
      <c r="D177" s="79">
        <v>9090</v>
      </c>
      <c r="E177" s="80" t="s">
        <v>18</v>
      </c>
      <c r="F177" s="80" t="s">
        <v>18</v>
      </c>
      <c r="G177" s="80" t="s">
        <v>18</v>
      </c>
      <c r="H177" s="79">
        <v>506</v>
      </c>
      <c r="I177" s="79">
        <v>2000</v>
      </c>
      <c r="J177" s="79">
        <v>1012</v>
      </c>
      <c r="K177" s="80" t="s">
        <v>18</v>
      </c>
      <c r="L177" s="80" t="s">
        <v>18</v>
      </c>
      <c r="M177" s="80" t="s">
        <v>18</v>
      </c>
      <c r="N177" s="80" t="s">
        <v>18</v>
      </c>
      <c r="O177" s="80" t="s">
        <v>18</v>
      </c>
      <c r="P177" s="80" t="s">
        <v>18</v>
      </c>
      <c r="Q177" s="80" t="s">
        <v>18</v>
      </c>
      <c r="R177" s="80" t="s">
        <v>18</v>
      </c>
      <c r="S177" s="80" t="s">
        <v>18</v>
      </c>
      <c r="T177" s="80" t="s">
        <v>18</v>
      </c>
      <c r="U177" s="80" t="s">
        <v>18</v>
      </c>
      <c r="V177" s="80" t="s">
        <v>18</v>
      </c>
      <c r="W177" s="92">
        <v>51006</v>
      </c>
      <c r="X177" s="123">
        <v>10102</v>
      </c>
      <c r="Y177" s="66"/>
      <c r="Z177" s="66"/>
      <c r="AA177" s="66"/>
      <c r="AB177" s="66"/>
      <c r="AC177" s="66"/>
    </row>
    <row r="178" spans="1:29" x14ac:dyDescent="0.25">
      <c r="A178" s="78" t="s">
        <v>22</v>
      </c>
      <c r="B178" s="79">
        <v>52560</v>
      </c>
      <c r="C178" s="79">
        <v>358</v>
      </c>
      <c r="D178" s="79">
        <v>18816</v>
      </c>
      <c r="E178" s="79">
        <v>25</v>
      </c>
      <c r="F178" s="79">
        <v>714</v>
      </c>
      <c r="G178" s="79">
        <v>18</v>
      </c>
      <c r="H178" s="79">
        <v>40210</v>
      </c>
      <c r="I178" s="79">
        <v>752</v>
      </c>
      <c r="J178" s="79">
        <v>30237</v>
      </c>
      <c r="K178" s="80" t="s">
        <v>18</v>
      </c>
      <c r="L178" s="80" t="s">
        <v>18</v>
      </c>
      <c r="M178" s="80" t="s">
        <v>18</v>
      </c>
      <c r="N178" s="80" t="s">
        <v>18</v>
      </c>
      <c r="O178" s="80" t="s">
        <v>18</v>
      </c>
      <c r="P178" s="80" t="s">
        <v>18</v>
      </c>
      <c r="Q178" s="79">
        <v>2500</v>
      </c>
      <c r="R178" s="79">
        <v>1434</v>
      </c>
      <c r="S178" s="79">
        <v>3585</v>
      </c>
      <c r="T178" s="80" t="s">
        <v>18</v>
      </c>
      <c r="U178" s="80" t="s">
        <v>18</v>
      </c>
      <c r="V178" s="80" t="s">
        <v>18</v>
      </c>
      <c r="W178" s="92">
        <v>95295</v>
      </c>
      <c r="X178" s="123">
        <v>52656</v>
      </c>
      <c r="Y178" s="66"/>
      <c r="Z178" s="66"/>
      <c r="AA178" s="66"/>
      <c r="AB178" s="66"/>
      <c r="AC178" s="66"/>
    </row>
    <row r="179" spans="1:29" x14ac:dyDescent="0.25">
      <c r="A179" s="78" t="s">
        <v>23</v>
      </c>
      <c r="B179" s="79">
        <v>145000</v>
      </c>
      <c r="C179" s="79">
        <v>355</v>
      </c>
      <c r="D179" s="79">
        <v>51475</v>
      </c>
      <c r="E179" s="79">
        <v>62600</v>
      </c>
      <c r="F179" s="79">
        <v>625</v>
      </c>
      <c r="G179" s="79">
        <v>39125</v>
      </c>
      <c r="H179" s="79">
        <v>13500</v>
      </c>
      <c r="I179" s="79">
        <v>320</v>
      </c>
      <c r="J179" s="79">
        <v>4320</v>
      </c>
      <c r="K179" s="80" t="s">
        <v>18</v>
      </c>
      <c r="L179" s="80" t="s">
        <v>18</v>
      </c>
      <c r="M179" s="80" t="s">
        <v>18</v>
      </c>
      <c r="N179" s="80" t="s">
        <v>18</v>
      </c>
      <c r="O179" s="80" t="s">
        <v>18</v>
      </c>
      <c r="P179" s="80" t="s">
        <v>18</v>
      </c>
      <c r="Q179" s="80" t="s">
        <v>18</v>
      </c>
      <c r="R179" s="80" t="s">
        <v>18</v>
      </c>
      <c r="S179" s="80" t="s">
        <v>18</v>
      </c>
      <c r="T179" s="80" t="s">
        <v>18</v>
      </c>
      <c r="U179" s="80" t="s">
        <v>18</v>
      </c>
      <c r="V179" s="80" t="s">
        <v>18</v>
      </c>
      <c r="W179" s="92">
        <v>221100</v>
      </c>
      <c r="X179" s="123">
        <v>94920</v>
      </c>
      <c r="Y179" s="66"/>
      <c r="Z179" s="66"/>
      <c r="AA179" s="66"/>
      <c r="AB179" s="66"/>
      <c r="AC179" s="66"/>
    </row>
    <row r="180" spans="1:29" x14ac:dyDescent="0.25">
      <c r="A180" s="78" t="s">
        <v>24</v>
      </c>
      <c r="B180" s="79">
        <v>4073</v>
      </c>
      <c r="C180" s="79">
        <v>700</v>
      </c>
      <c r="D180" s="79">
        <v>2851</v>
      </c>
      <c r="E180" s="79">
        <v>10264</v>
      </c>
      <c r="F180" s="79">
        <v>1400</v>
      </c>
      <c r="G180" s="79">
        <v>14369</v>
      </c>
      <c r="H180" s="79">
        <v>2220</v>
      </c>
      <c r="I180" s="79">
        <v>2000</v>
      </c>
      <c r="J180" s="79">
        <v>4440</v>
      </c>
      <c r="K180" s="79">
        <v>938</v>
      </c>
      <c r="L180" s="79">
        <v>4500</v>
      </c>
      <c r="M180" s="79">
        <v>4221</v>
      </c>
      <c r="N180" s="79">
        <v>89287</v>
      </c>
      <c r="O180" s="79">
        <v>1000</v>
      </c>
      <c r="P180" s="79">
        <v>89287</v>
      </c>
      <c r="Q180" s="80" t="s">
        <v>18</v>
      </c>
      <c r="R180" s="80" t="s">
        <v>18</v>
      </c>
      <c r="S180" s="80" t="s">
        <v>18</v>
      </c>
      <c r="T180" s="80" t="s">
        <v>18</v>
      </c>
      <c r="U180" s="80" t="s">
        <v>18</v>
      </c>
      <c r="V180" s="80" t="s">
        <v>18</v>
      </c>
      <c r="W180" s="92">
        <v>106782</v>
      </c>
      <c r="X180" s="123">
        <v>115168</v>
      </c>
      <c r="Y180" s="66"/>
      <c r="Z180" s="66"/>
      <c r="AA180" s="66"/>
      <c r="AB180" s="66"/>
      <c r="AC180" s="66"/>
    </row>
    <row r="181" spans="1:29" x14ac:dyDescent="0.25">
      <c r="A181" s="82" t="s">
        <v>25</v>
      </c>
      <c r="B181" s="112">
        <f>SUM(B172:B180)</f>
        <v>634488</v>
      </c>
      <c r="C181" s="112">
        <v>422</v>
      </c>
      <c r="D181" s="112">
        <v>267758</v>
      </c>
      <c r="E181" s="112">
        <f>SUM(E172:E180)</f>
        <v>276344</v>
      </c>
      <c r="F181" s="112">
        <v>696</v>
      </c>
      <c r="G181" s="112">
        <f>SUM(G172:G180)</f>
        <v>192475</v>
      </c>
      <c r="H181" s="112">
        <f>SUM(H175:H180)</f>
        <v>75675</v>
      </c>
      <c r="I181" s="112">
        <v>674</v>
      </c>
      <c r="J181" s="112">
        <f>SUM(J175:J180)</f>
        <v>50999</v>
      </c>
      <c r="K181" s="112">
        <f>SUM(K175:K180)</f>
        <v>1981</v>
      </c>
      <c r="L181" s="112">
        <v>392</v>
      </c>
      <c r="M181" s="112">
        <f>SUM(M175:M180)</f>
        <v>7760</v>
      </c>
      <c r="N181" s="112">
        <f>SUM(N172:N180)</f>
        <v>159676</v>
      </c>
      <c r="O181" s="112">
        <v>933</v>
      </c>
      <c r="P181" s="112">
        <f>SUM(P172:P180)</f>
        <v>148919</v>
      </c>
      <c r="Q181" s="112">
        <f>SUM(Q178:Q180)</f>
        <v>2500</v>
      </c>
      <c r="R181" s="112"/>
      <c r="S181" s="112">
        <f>SUM(S178:S180)</f>
        <v>3585</v>
      </c>
      <c r="T181" s="113" t="s">
        <v>18</v>
      </c>
      <c r="U181" s="113" t="s">
        <v>18</v>
      </c>
      <c r="V181" s="113" t="s">
        <v>18</v>
      </c>
      <c r="W181" s="134">
        <f>SUM(W172:W180)</f>
        <v>1047764</v>
      </c>
      <c r="X181" s="135">
        <v>643810</v>
      </c>
      <c r="Y181" s="66"/>
      <c r="Z181" s="66"/>
      <c r="AA181" s="66"/>
      <c r="AB181" s="66"/>
      <c r="AC181" s="66"/>
    </row>
    <row r="182" spans="1:29" x14ac:dyDescent="0.25">
      <c r="A182" s="78" t="s">
        <v>26</v>
      </c>
      <c r="B182" s="79">
        <v>21522</v>
      </c>
      <c r="C182" s="79">
        <v>766</v>
      </c>
      <c r="D182" s="79">
        <v>16485</v>
      </c>
      <c r="E182" s="79">
        <v>135590</v>
      </c>
      <c r="F182" s="79">
        <v>848</v>
      </c>
      <c r="G182" s="79">
        <v>114980</v>
      </c>
      <c r="H182" s="79">
        <v>25150</v>
      </c>
      <c r="I182" s="79">
        <v>840</v>
      </c>
      <c r="J182" s="79">
        <v>21126</v>
      </c>
      <c r="K182" s="79">
        <v>31588</v>
      </c>
      <c r="L182" s="79">
        <v>1608</v>
      </c>
      <c r="M182" s="79">
        <v>50794</v>
      </c>
      <c r="N182" s="79">
        <v>15000</v>
      </c>
      <c r="O182" s="79">
        <v>1061</v>
      </c>
      <c r="P182" s="79">
        <v>15915</v>
      </c>
      <c r="Q182" s="80" t="s">
        <v>18</v>
      </c>
      <c r="R182" s="80" t="s">
        <v>18</v>
      </c>
      <c r="S182" s="80" t="s">
        <v>18</v>
      </c>
      <c r="T182" s="79">
        <v>415</v>
      </c>
      <c r="U182" s="79">
        <v>415</v>
      </c>
      <c r="V182" s="79">
        <v>385</v>
      </c>
      <c r="W182" s="92">
        <v>229779</v>
      </c>
      <c r="X182" s="123">
        <v>219685</v>
      </c>
      <c r="Y182" s="66"/>
      <c r="Z182" s="66"/>
      <c r="AA182" s="66"/>
      <c r="AB182" s="66"/>
      <c r="AC182" s="66"/>
    </row>
    <row r="183" spans="1:29" x14ac:dyDescent="0.25">
      <c r="A183" s="78" t="s">
        <v>27</v>
      </c>
      <c r="B183" s="79">
        <v>28208</v>
      </c>
      <c r="C183" s="79">
        <v>528</v>
      </c>
      <c r="D183" s="79">
        <v>14894</v>
      </c>
      <c r="E183" s="79">
        <v>56250</v>
      </c>
      <c r="F183" s="79">
        <v>593</v>
      </c>
      <c r="G183" s="79">
        <v>33356</v>
      </c>
      <c r="H183" s="79">
        <v>7356</v>
      </c>
      <c r="I183" s="79">
        <v>684</v>
      </c>
      <c r="J183" s="79">
        <v>5032</v>
      </c>
      <c r="K183" s="79">
        <v>41465</v>
      </c>
      <c r="L183" s="79">
        <v>1457</v>
      </c>
      <c r="M183" s="79">
        <v>80415</v>
      </c>
      <c r="N183" s="79">
        <v>16000</v>
      </c>
      <c r="O183" s="79">
        <v>562</v>
      </c>
      <c r="P183" s="79">
        <v>8992</v>
      </c>
      <c r="Q183" s="80" t="s">
        <v>18</v>
      </c>
      <c r="R183" s="80" t="s">
        <v>18</v>
      </c>
      <c r="S183" s="80" t="s">
        <v>18</v>
      </c>
      <c r="T183" s="79">
        <v>430</v>
      </c>
      <c r="U183" s="79">
        <v>430</v>
      </c>
      <c r="V183" s="79">
        <v>1088</v>
      </c>
      <c r="W183" s="92">
        <v>151810</v>
      </c>
      <c r="X183" s="123">
        <v>123776</v>
      </c>
      <c r="Y183" s="66"/>
      <c r="Z183" s="66"/>
      <c r="AA183" s="66"/>
      <c r="AB183" s="66"/>
      <c r="AC183" s="66"/>
    </row>
    <row r="184" spans="1:29" x14ac:dyDescent="0.25">
      <c r="A184" s="78" t="s">
        <v>28</v>
      </c>
      <c r="B184" s="79">
        <v>26820</v>
      </c>
      <c r="C184" s="79">
        <v>613</v>
      </c>
      <c r="D184" s="79">
        <v>16440</v>
      </c>
      <c r="E184" s="79">
        <v>46965</v>
      </c>
      <c r="F184" s="79">
        <v>516</v>
      </c>
      <c r="G184" s="79">
        <v>24234</v>
      </c>
      <c r="H184" s="79">
        <v>9057</v>
      </c>
      <c r="I184" s="79">
        <v>800</v>
      </c>
      <c r="J184" s="79">
        <v>7253</v>
      </c>
      <c r="K184" s="79">
        <v>8408</v>
      </c>
      <c r="L184" s="79">
        <v>1237</v>
      </c>
      <c r="M184" s="79">
        <v>10401</v>
      </c>
      <c r="N184" s="80" t="s">
        <v>18</v>
      </c>
      <c r="O184" s="80" t="s">
        <v>18</v>
      </c>
      <c r="P184" s="80" t="s">
        <v>18</v>
      </c>
      <c r="Q184" s="80" t="s">
        <v>18</v>
      </c>
      <c r="R184" s="80" t="s">
        <v>18</v>
      </c>
      <c r="S184" s="80" t="s">
        <v>18</v>
      </c>
      <c r="T184" s="79">
        <v>307</v>
      </c>
      <c r="U184" s="79">
        <v>307</v>
      </c>
      <c r="V184" s="79">
        <v>431</v>
      </c>
      <c r="W184" s="92">
        <v>92665</v>
      </c>
      <c r="X184" s="123">
        <v>58759</v>
      </c>
      <c r="Y184" s="66"/>
      <c r="Z184" s="66"/>
      <c r="AA184" s="66"/>
      <c r="AB184" s="66"/>
      <c r="AC184" s="66"/>
    </row>
    <row r="185" spans="1:29" x14ac:dyDescent="0.25">
      <c r="A185" s="78" t="s">
        <v>29</v>
      </c>
      <c r="B185" s="79">
        <v>19320</v>
      </c>
      <c r="C185" s="79">
        <v>637</v>
      </c>
      <c r="D185" s="79">
        <v>12307</v>
      </c>
      <c r="E185" s="79">
        <v>27805</v>
      </c>
      <c r="F185" s="79">
        <v>652</v>
      </c>
      <c r="G185" s="79">
        <v>18129</v>
      </c>
      <c r="H185" s="79">
        <v>3088</v>
      </c>
      <c r="I185" s="79">
        <v>766</v>
      </c>
      <c r="J185" s="79">
        <v>2365</v>
      </c>
      <c r="K185" s="79">
        <v>4027</v>
      </c>
      <c r="L185" s="79">
        <v>1153</v>
      </c>
      <c r="M185" s="79">
        <v>4804</v>
      </c>
      <c r="N185" s="79">
        <v>150</v>
      </c>
      <c r="O185" s="79">
        <v>800</v>
      </c>
      <c r="P185" s="79">
        <v>120</v>
      </c>
      <c r="Q185" s="80" t="s">
        <v>18</v>
      </c>
      <c r="R185" s="80" t="s">
        <v>18</v>
      </c>
      <c r="S185" s="80" t="s">
        <v>18</v>
      </c>
      <c r="T185" s="79">
        <v>350</v>
      </c>
      <c r="U185" s="79">
        <v>350</v>
      </c>
      <c r="V185" s="79">
        <v>301</v>
      </c>
      <c r="W185" s="92">
        <v>55250</v>
      </c>
      <c r="X185" s="123">
        <v>38026</v>
      </c>
      <c r="Y185" s="66"/>
      <c r="Z185" s="66"/>
      <c r="AA185" s="66"/>
      <c r="AB185" s="66"/>
      <c r="AC185" s="66"/>
    </row>
    <row r="186" spans="1:29" x14ac:dyDescent="0.25">
      <c r="A186" s="78" t="s">
        <v>30</v>
      </c>
      <c r="B186" s="79">
        <v>55351</v>
      </c>
      <c r="C186" s="79">
        <v>600</v>
      </c>
      <c r="D186" s="79">
        <v>33211</v>
      </c>
      <c r="E186" s="79">
        <v>101769</v>
      </c>
      <c r="F186" s="79">
        <v>712</v>
      </c>
      <c r="G186" s="79">
        <v>72460</v>
      </c>
      <c r="H186" s="79">
        <v>14342</v>
      </c>
      <c r="I186" s="79">
        <v>514</v>
      </c>
      <c r="J186" s="79">
        <v>7376</v>
      </c>
      <c r="K186" s="79">
        <v>3387</v>
      </c>
      <c r="L186" s="79">
        <v>1213</v>
      </c>
      <c r="M186" s="79">
        <v>4108</v>
      </c>
      <c r="N186" s="79">
        <v>1000</v>
      </c>
      <c r="O186" s="79">
        <v>835</v>
      </c>
      <c r="P186" s="79">
        <v>835</v>
      </c>
      <c r="Q186" s="80" t="s">
        <v>18</v>
      </c>
      <c r="R186" s="80" t="s">
        <v>18</v>
      </c>
      <c r="S186" s="80" t="s">
        <v>18</v>
      </c>
      <c r="T186" s="79">
        <v>380</v>
      </c>
      <c r="U186" s="79">
        <v>380</v>
      </c>
      <c r="V186" s="79">
        <v>65</v>
      </c>
      <c r="W186" s="92">
        <v>177549</v>
      </c>
      <c r="X186" s="123">
        <v>118055</v>
      </c>
      <c r="Y186" s="66"/>
      <c r="Z186" s="66"/>
      <c r="AA186" s="66"/>
      <c r="AB186" s="66"/>
      <c r="AC186" s="66"/>
    </row>
    <row r="187" spans="1:29" x14ac:dyDescent="0.25">
      <c r="A187" s="85" t="s">
        <v>31</v>
      </c>
      <c r="B187" s="112">
        <v>151221</v>
      </c>
      <c r="C187" s="112">
        <v>579</v>
      </c>
      <c r="D187" s="112">
        <v>93337</v>
      </c>
      <c r="E187" s="112">
        <v>368379</v>
      </c>
      <c r="F187" s="112">
        <v>714</v>
      </c>
      <c r="G187" s="112">
        <v>263159</v>
      </c>
      <c r="H187" s="112">
        <v>58993</v>
      </c>
      <c r="I187" s="112">
        <v>625</v>
      </c>
      <c r="J187" s="112">
        <v>43152</v>
      </c>
      <c r="K187" s="136">
        <v>88875</v>
      </c>
      <c r="L187" s="112">
        <v>1694</v>
      </c>
      <c r="M187" s="112">
        <f>SUM(M182:M186)</f>
        <v>150522</v>
      </c>
      <c r="N187" s="112">
        <f>SUM(N182:N186)</f>
        <v>32150</v>
      </c>
      <c r="O187" s="112">
        <v>804</v>
      </c>
      <c r="P187" s="112">
        <v>25862</v>
      </c>
      <c r="Q187" s="112"/>
      <c r="R187" s="112"/>
      <c r="S187" s="112"/>
      <c r="T187" s="112">
        <v>275</v>
      </c>
      <c r="U187" s="112">
        <v>275</v>
      </c>
      <c r="V187" s="112">
        <v>2270</v>
      </c>
      <c r="W187" s="134">
        <f>SUM(W182:W186)</f>
        <v>707053</v>
      </c>
      <c r="X187" s="135">
        <f>SUM(X182:X186)</f>
        <v>558301</v>
      </c>
      <c r="Y187" s="66"/>
      <c r="Z187" s="66"/>
      <c r="AA187" s="66"/>
      <c r="AB187" s="66"/>
      <c r="AC187" s="66"/>
    </row>
    <row r="188" spans="1:29" x14ac:dyDescent="0.25">
      <c r="A188" s="78" t="s">
        <v>32</v>
      </c>
      <c r="B188" s="79">
        <v>785709</v>
      </c>
      <c r="C188" s="79"/>
      <c r="D188" s="79">
        <v>361095</v>
      </c>
      <c r="E188" s="79">
        <v>644723</v>
      </c>
      <c r="F188" s="79"/>
      <c r="G188" s="79">
        <v>455634</v>
      </c>
      <c r="H188" s="79">
        <v>135668</v>
      </c>
      <c r="I188" s="79"/>
      <c r="J188" s="92">
        <v>94151</v>
      </c>
      <c r="K188" s="123">
        <v>90856</v>
      </c>
      <c r="L188" s="73"/>
      <c r="M188" s="79">
        <v>158282</v>
      </c>
      <c r="N188" s="79">
        <v>191826</v>
      </c>
      <c r="O188" s="79"/>
      <c r="P188" s="79">
        <v>174781</v>
      </c>
      <c r="Q188" s="79">
        <v>2500</v>
      </c>
      <c r="R188" s="79"/>
      <c r="S188" s="79">
        <v>3585</v>
      </c>
      <c r="T188" s="80" t="s">
        <v>18</v>
      </c>
      <c r="U188" s="80" t="s">
        <v>18</v>
      </c>
      <c r="V188" s="79">
        <v>2270</v>
      </c>
      <c r="W188" s="92">
        <v>1857717</v>
      </c>
      <c r="X188" s="123">
        <v>1229738</v>
      </c>
      <c r="Y188" s="66"/>
      <c r="Z188" s="66"/>
      <c r="AA188" s="66"/>
      <c r="AB188" s="66"/>
      <c r="AC188" s="66"/>
    </row>
    <row r="189" spans="1:29" x14ac:dyDescent="0.25">
      <c r="A189" s="86"/>
      <c r="B189" s="137"/>
      <c r="C189" s="137"/>
      <c r="D189" s="137"/>
      <c r="E189" s="137"/>
      <c r="F189" s="137"/>
      <c r="G189" s="137"/>
      <c r="H189" s="137"/>
      <c r="I189" s="137"/>
      <c r="J189" s="137"/>
      <c r="K189" s="138"/>
      <c r="L189" s="137"/>
      <c r="M189" s="137"/>
      <c r="N189" s="137"/>
      <c r="O189" s="137"/>
      <c r="P189" s="137"/>
      <c r="Q189" s="137"/>
      <c r="R189" s="137"/>
      <c r="S189" s="137"/>
      <c r="T189" s="137"/>
      <c r="U189" s="137"/>
      <c r="V189" s="137"/>
      <c r="W189" s="137"/>
      <c r="X189" s="138"/>
      <c r="Y189" s="66"/>
      <c r="Z189" s="66"/>
      <c r="AA189" s="66"/>
      <c r="AB189" s="66"/>
      <c r="AC189" s="66"/>
    </row>
    <row r="190" spans="1:29" x14ac:dyDescent="0.25">
      <c r="A190" s="86"/>
      <c r="B190" s="65" t="s">
        <v>64</v>
      </c>
      <c r="C190" s="86"/>
      <c r="D190" s="86"/>
      <c r="E190" s="86"/>
      <c r="F190" s="86"/>
      <c r="G190" s="86"/>
      <c r="H190" s="86"/>
      <c r="I190" s="66"/>
      <c r="J190" s="66"/>
      <c r="K190" s="87" t="s">
        <v>34</v>
      </c>
      <c r="L190" s="86"/>
      <c r="M190" s="66"/>
      <c r="N190" s="87" t="s">
        <v>35</v>
      </c>
      <c r="O190" s="66"/>
      <c r="P190" s="66"/>
      <c r="Q190" s="86"/>
      <c r="R190" s="87" t="s">
        <v>36</v>
      </c>
      <c r="S190" s="86"/>
      <c r="T190" s="66"/>
      <c r="U190" s="86"/>
      <c r="V190" s="86"/>
      <c r="W190" s="86"/>
      <c r="X190" s="86"/>
      <c r="Y190" s="66"/>
      <c r="Z190" s="66"/>
      <c r="AA190" s="66"/>
      <c r="AB190" s="66"/>
      <c r="AC190" s="66"/>
    </row>
    <row r="191" spans="1:29" x14ac:dyDescent="0.25">
      <c r="A191" s="139" t="s">
        <v>2</v>
      </c>
      <c r="B191" s="102"/>
      <c r="C191" s="100" t="s">
        <v>37</v>
      </c>
      <c r="D191" s="101"/>
      <c r="E191" s="102"/>
      <c r="F191" s="100" t="s">
        <v>38</v>
      </c>
      <c r="G191" s="101"/>
      <c r="H191" s="140"/>
      <c r="I191" s="141" t="s">
        <v>39</v>
      </c>
      <c r="J191" s="140"/>
      <c r="K191" s="102"/>
      <c r="L191" s="103" t="s">
        <v>40</v>
      </c>
      <c r="M191" s="101"/>
      <c r="N191" s="102"/>
      <c r="O191" s="103" t="s">
        <v>41</v>
      </c>
      <c r="P191" s="101"/>
      <c r="Q191" s="102"/>
      <c r="R191" s="103" t="s">
        <v>54</v>
      </c>
      <c r="S191" s="101"/>
      <c r="T191" s="102"/>
      <c r="U191" s="103" t="s">
        <v>43</v>
      </c>
      <c r="V191" s="101"/>
      <c r="W191" s="142"/>
      <c r="X191" s="143" t="s">
        <v>57</v>
      </c>
      <c r="Y191" s="66"/>
      <c r="Z191" s="66"/>
      <c r="AA191" s="66"/>
      <c r="AB191" s="66"/>
      <c r="AC191" s="66"/>
    </row>
    <row r="192" spans="1:29" ht="15.75" thickBot="1" x14ac:dyDescent="0.3">
      <c r="A192" s="144" t="s">
        <v>11</v>
      </c>
      <c r="B192" s="106" t="s">
        <v>12</v>
      </c>
      <c r="C192" s="106" t="s">
        <v>13</v>
      </c>
      <c r="D192" s="106" t="s">
        <v>14</v>
      </c>
      <c r="E192" s="106" t="s">
        <v>12</v>
      </c>
      <c r="F192" s="106" t="s">
        <v>13</v>
      </c>
      <c r="G192" s="106" t="s">
        <v>14</v>
      </c>
      <c r="H192" s="106" t="s">
        <v>12</v>
      </c>
      <c r="I192" s="106" t="s">
        <v>13</v>
      </c>
      <c r="J192" s="106" t="s">
        <v>14</v>
      </c>
      <c r="K192" s="106" t="s">
        <v>12</v>
      </c>
      <c r="L192" s="106" t="s">
        <v>13</v>
      </c>
      <c r="M192" s="106" t="s">
        <v>14</v>
      </c>
      <c r="N192" s="106" t="s">
        <v>12</v>
      </c>
      <c r="O192" s="106" t="s">
        <v>13</v>
      </c>
      <c r="P192" s="106" t="s">
        <v>14</v>
      </c>
      <c r="Q192" s="106" t="s">
        <v>12</v>
      </c>
      <c r="R192" s="106" t="s">
        <v>13</v>
      </c>
      <c r="S192" s="106" t="s">
        <v>14</v>
      </c>
      <c r="T192" s="106" t="s">
        <v>12</v>
      </c>
      <c r="U192" s="106" t="s">
        <v>13</v>
      </c>
      <c r="V192" s="106" t="s">
        <v>14</v>
      </c>
      <c r="W192" s="145" t="s">
        <v>12</v>
      </c>
      <c r="X192" s="145" t="s">
        <v>14</v>
      </c>
      <c r="Y192" s="66"/>
      <c r="Z192" s="66"/>
      <c r="AA192" s="66"/>
      <c r="AB192" s="66"/>
      <c r="AC192" s="66"/>
    </row>
    <row r="193" spans="1:29" ht="15.75" thickTop="1" x14ac:dyDescent="0.25">
      <c r="A193" s="107" t="s">
        <v>15</v>
      </c>
      <c r="B193" s="108">
        <v>9348</v>
      </c>
      <c r="C193" s="108">
        <v>480</v>
      </c>
      <c r="D193" s="108">
        <v>4487</v>
      </c>
      <c r="E193" s="108">
        <v>3134</v>
      </c>
      <c r="F193" s="108">
        <v>150</v>
      </c>
      <c r="G193" s="108">
        <v>470</v>
      </c>
      <c r="H193" s="77" t="s">
        <v>18</v>
      </c>
      <c r="I193" s="77" t="s">
        <v>18</v>
      </c>
      <c r="J193" s="77" t="s">
        <v>18</v>
      </c>
      <c r="K193" s="108">
        <v>7632</v>
      </c>
      <c r="L193" s="108">
        <v>2610</v>
      </c>
      <c r="M193" s="108">
        <v>20114</v>
      </c>
      <c r="N193" s="77" t="s">
        <v>18</v>
      </c>
      <c r="O193" s="77" t="s">
        <v>18</v>
      </c>
      <c r="P193" s="77" t="s">
        <v>18</v>
      </c>
      <c r="Q193" s="77" t="s">
        <v>18</v>
      </c>
      <c r="R193" s="77" t="s">
        <v>18</v>
      </c>
      <c r="S193" s="77" t="s">
        <v>18</v>
      </c>
      <c r="T193" s="77" t="s">
        <v>18</v>
      </c>
      <c r="U193" s="77" t="s">
        <v>18</v>
      </c>
      <c r="V193" s="77" t="s">
        <v>18</v>
      </c>
      <c r="W193" s="108">
        <v>20114</v>
      </c>
      <c r="X193" s="108">
        <v>7567</v>
      </c>
      <c r="Y193" s="66"/>
      <c r="Z193" s="66"/>
      <c r="AA193" s="66"/>
      <c r="AB193" s="66"/>
      <c r="AC193" s="66"/>
    </row>
    <row r="194" spans="1:29" x14ac:dyDescent="0.25">
      <c r="A194" s="78" t="s">
        <v>49</v>
      </c>
      <c r="B194" s="80"/>
      <c r="C194" s="80"/>
      <c r="D194" s="80"/>
      <c r="E194" s="80"/>
      <c r="F194" s="80"/>
      <c r="G194" s="80"/>
      <c r="H194" s="80"/>
      <c r="I194" s="80"/>
      <c r="J194" s="80"/>
      <c r="K194" s="80"/>
      <c r="L194" s="80"/>
      <c r="M194" s="80"/>
      <c r="N194" s="80"/>
      <c r="O194" s="80"/>
      <c r="P194" s="80"/>
      <c r="Q194" s="80"/>
      <c r="R194" s="80"/>
      <c r="S194" s="80"/>
      <c r="T194" s="80"/>
      <c r="U194" s="80"/>
      <c r="V194" s="80"/>
      <c r="W194" s="80"/>
      <c r="X194" s="80"/>
      <c r="Y194" s="66"/>
      <c r="Z194" s="66"/>
      <c r="AA194" s="66"/>
      <c r="AB194" s="66"/>
      <c r="AC194" s="66"/>
    </row>
    <row r="195" spans="1:29" x14ac:dyDescent="0.25">
      <c r="A195" s="78" t="s">
        <v>17</v>
      </c>
      <c r="B195" s="79">
        <v>11200</v>
      </c>
      <c r="C195" s="79">
        <v>800</v>
      </c>
      <c r="D195" s="79">
        <v>8960</v>
      </c>
      <c r="E195" s="80" t="s">
        <v>18</v>
      </c>
      <c r="F195" s="80" t="s">
        <v>18</v>
      </c>
      <c r="G195" s="80" t="s">
        <v>18</v>
      </c>
      <c r="H195" s="80" t="s">
        <v>18</v>
      </c>
      <c r="I195" s="80" t="s">
        <v>18</v>
      </c>
      <c r="J195" s="80" t="s">
        <v>18</v>
      </c>
      <c r="K195" s="80" t="s">
        <v>18</v>
      </c>
      <c r="L195" s="80" t="s">
        <v>18</v>
      </c>
      <c r="M195" s="80" t="s">
        <v>18</v>
      </c>
      <c r="N195" s="80" t="s">
        <v>18</v>
      </c>
      <c r="O195" s="80" t="s">
        <v>18</v>
      </c>
      <c r="P195" s="80" t="s">
        <v>18</v>
      </c>
      <c r="Q195" s="80" t="s">
        <v>18</v>
      </c>
      <c r="R195" s="80" t="s">
        <v>18</v>
      </c>
      <c r="S195" s="80" t="s">
        <v>18</v>
      </c>
      <c r="T195" s="80" t="s">
        <v>18</v>
      </c>
      <c r="U195" s="80" t="s">
        <v>18</v>
      </c>
      <c r="V195" s="80" t="s">
        <v>18</v>
      </c>
      <c r="W195" s="79">
        <v>11200</v>
      </c>
      <c r="X195" s="79">
        <v>8960</v>
      </c>
      <c r="Y195" s="66"/>
      <c r="Z195" s="66"/>
      <c r="AA195" s="66"/>
      <c r="AB195" s="66"/>
      <c r="AC195" s="66"/>
    </row>
    <row r="196" spans="1:29" x14ac:dyDescent="0.25">
      <c r="A196" s="78" t="s">
        <v>46</v>
      </c>
      <c r="B196" s="79">
        <v>13320</v>
      </c>
      <c r="C196" s="79">
        <v>647</v>
      </c>
      <c r="D196" s="79">
        <v>8618</v>
      </c>
      <c r="E196" s="79">
        <v>172</v>
      </c>
      <c r="F196" s="79">
        <v>271</v>
      </c>
      <c r="G196" s="79">
        <v>106</v>
      </c>
      <c r="H196" s="80" t="s">
        <v>18</v>
      </c>
      <c r="I196" s="80" t="s">
        <v>18</v>
      </c>
      <c r="J196" s="80" t="s">
        <v>18</v>
      </c>
      <c r="K196" s="79">
        <v>2630</v>
      </c>
      <c r="L196" s="79">
        <v>440</v>
      </c>
      <c r="M196" s="79">
        <v>1157</v>
      </c>
      <c r="N196" s="80" t="s">
        <v>18</v>
      </c>
      <c r="O196" s="80" t="s">
        <v>18</v>
      </c>
      <c r="P196" s="80" t="s">
        <v>18</v>
      </c>
      <c r="Q196" s="80" t="s">
        <v>18</v>
      </c>
      <c r="R196" s="80" t="s">
        <v>18</v>
      </c>
      <c r="S196" s="80" t="s">
        <v>18</v>
      </c>
      <c r="T196" s="80" t="s">
        <v>18</v>
      </c>
      <c r="U196" s="80" t="s">
        <v>18</v>
      </c>
      <c r="V196" s="80" t="s">
        <v>18</v>
      </c>
      <c r="W196" s="79">
        <v>16122</v>
      </c>
      <c r="X196" s="79">
        <v>9881</v>
      </c>
      <c r="Y196" s="66"/>
      <c r="Z196" s="66"/>
      <c r="AA196" s="66"/>
      <c r="AB196" s="66"/>
      <c r="AC196" s="66"/>
    </row>
    <row r="197" spans="1:29" x14ac:dyDescent="0.25">
      <c r="A197" s="78" t="s">
        <v>20</v>
      </c>
      <c r="B197" s="79">
        <v>32682</v>
      </c>
      <c r="C197" s="79">
        <v>800</v>
      </c>
      <c r="D197" s="79">
        <v>26145</v>
      </c>
      <c r="E197" s="79">
        <v>800</v>
      </c>
      <c r="F197" s="79">
        <v>400</v>
      </c>
      <c r="G197" s="79">
        <v>3200</v>
      </c>
      <c r="H197" s="80" t="s">
        <v>18</v>
      </c>
      <c r="I197" s="80" t="s">
        <v>18</v>
      </c>
      <c r="J197" s="80" t="s">
        <v>18</v>
      </c>
      <c r="K197" s="79"/>
      <c r="L197" s="79"/>
      <c r="M197" s="79"/>
      <c r="N197" s="80" t="s">
        <v>18</v>
      </c>
      <c r="O197" s="80" t="s">
        <v>18</v>
      </c>
      <c r="P197" s="80" t="s">
        <v>18</v>
      </c>
      <c r="Q197" s="80" t="s">
        <v>18</v>
      </c>
      <c r="R197" s="80" t="s">
        <v>18</v>
      </c>
      <c r="S197" s="80" t="s">
        <v>18</v>
      </c>
      <c r="T197" s="80" t="s">
        <v>18</v>
      </c>
      <c r="U197" s="80" t="s">
        <v>18</v>
      </c>
      <c r="V197" s="80" t="s">
        <v>18</v>
      </c>
      <c r="W197" s="79">
        <v>40682</v>
      </c>
      <c r="X197" s="79">
        <v>29345</v>
      </c>
      <c r="Y197" s="66"/>
      <c r="Z197" s="66"/>
      <c r="AA197" s="66"/>
      <c r="AB197" s="66"/>
      <c r="AC197" s="66"/>
    </row>
    <row r="198" spans="1:29" x14ac:dyDescent="0.25">
      <c r="A198" s="78" t="s">
        <v>21</v>
      </c>
      <c r="B198" s="80" t="s">
        <v>18</v>
      </c>
      <c r="C198" s="80" t="s">
        <v>18</v>
      </c>
      <c r="D198" s="80" t="s">
        <v>18</v>
      </c>
      <c r="E198" s="80" t="s">
        <v>18</v>
      </c>
      <c r="F198" s="80" t="s">
        <v>18</v>
      </c>
      <c r="G198" s="80" t="s">
        <v>18</v>
      </c>
      <c r="H198" s="80" t="s">
        <v>18</v>
      </c>
      <c r="I198" s="80" t="s">
        <v>18</v>
      </c>
      <c r="J198" s="80" t="s">
        <v>18</v>
      </c>
      <c r="K198" s="79">
        <v>905</v>
      </c>
      <c r="L198" s="79">
        <v>150</v>
      </c>
      <c r="M198" s="79">
        <v>133</v>
      </c>
      <c r="N198" s="80" t="s">
        <v>18</v>
      </c>
      <c r="O198" s="80" t="s">
        <v>18</v>
      </c>
      <c r="P198" s="80" t="s">
        <v>18</v>
      </c>
      <c r="Q198" s="80" t="s">
        <v>18</v>
      </c>
      <c r="R198" s="80" t="s">
        <v>18</v>
      </c>
      <c r="S198" s="80" t="s">
        <v>18</v>
      </c>
      <c r="T198" s="80" t="s">
        <v>18</v>
      </c>
      <c r="U198" s="80" t="s">
        <v>18</v>
      </c>
      <c r="V198" s="80" t="s">
        <v>18</v>
      </c>
      <c r="W198" s="79">
        <v>905</v>
      </c>
      <c r="X198" s="79">
        <v>133</v>
      </c>
      <c r="Y198" s="66"/>
      <c r="Z198" s="66"/>
      <c r="AA198" s="66"/>
      <c r="AB198" s="66"/>
      <c r="AC198" s="66"/>
    </row>
    <row r="199" spans="1:29" x14ac:dyDescent="0.25">
      <c r="A199" s="78" t="s">
        <v>22</v>
      </c>
      <c r="B199" s="80" t="s">
        <v>18</v>
      </c>
      <c r="C199" s="80" t="s">
        <v>18</v>
      </c>
      <c r="D199" s="80" t="s">
        <v>18</v>
      </c>
      <c r="E199" s="80" t="s">
        <v>18</v>
      </c>
      <c r="F199" s="80" t="s">
        <v>18</v>
      </c>
      <c r="G199" s="80" t="s">
        <v>18</v>
      </c>
      <c r="H199" s="80" t="s">
        <v>18</v>
      </c>
      <c r="I199" s="80" t="s">
        <v>18</v>
      </c>
      <c r="J199" s="80" t="s">
        <v>18</v>
      </c>
      <c r="K199" s="79"/>
      <c r="L199" s="79"/>
      <c r="M199" s="79"/>
      <c r="N199" s="80" t="s">
        <v>18</v>
      </c>
      <c r="O199" s="80" t="s">
        <v>18</v>
      </c>
      <c r="P199" s="80" t="s">
        <v>18</v>
      </c>
      <c r="Q199" s="80" t="s">
        <v>18</v>
      </c>
      <c r="R199" s="80" t="s">
        <v>18</v>
      </c>
      <c r="S199" s="80" t="s">
        <v>18</v>
      </c>
      <c r="T199" s="80" t="s">
        <v>18</v>
      </c>
      <c r="U199" s="80" t="s">
        <v>18</v>
      </c>
      <c r="V199" s="80" t="s">
        <v>18</v>
      </c>
      <c r="W199" s="80" t="s">
        <v>18</v>
      </c>
      <c r="X199" s="80" t="s">
        <v>18</v>
      </c>
      <c r="Y199" s="66"/>
      <c r="Z199" s="66"/>
      <c r="AA199" s="66"/>
      <c r="AB199" s="66"/>
      <c r="AC199" s="66"/>
    </row>
    <row r="200" spans="1:29" x14ac:dyDescent="0.25">
      <c r="A200" s="78" t="s">
        <v>23</v>
      </c>
      <c r="B200" s="79">
        <v>157000</v>
      </c>
      <c r="C200" s="79">
        <v>1128</v>
      </c>
      <c r="D200" s="79">
        <v>177096</v>
      </c>
      <c r="E200" s="79">
        <v>9700</v>
      </c>
      <c r="F200" s="79">
        <v>275</v>
      </c>
      <c r="G200" s="79">
        <v>2677</v>
      </c>
      <c r="H200" s="80" t="s">
        <v>18</v>
      </c>
      <c r="I200" s="80" t="s">
        <v>18</v>
      </c>
      <c r="J200" s="80" t="s">
        <v>18</v>
      </c>
      <c r="K200" s="79">
        <v>19500</v>
      </c>
      <c r="L200" s="79">
        <v>700</v>
      </c>
      <c r="M200" s="79">
        <v>13860</v>
      </c>
      <c r="N200" s="80" t="s">
        <v>18</v>
      </c>
      <c r="O200" s="80" t="s">
        <v>18</v>
      </c>
      <c r="P200" s="80" t="s">
        <v>18</v>
      </c>
      <c r="Q200" s="80" t="s">
        <v>18</v>
      </c>
      <c r="R200" s="80" t="s">
        <v>18</v>
      </c>
      <c r="S200" s="80" t="s">
        <v>18</v>
      </c>
      <c r="T200" s="80" t="s">
        <v>18</v>
      </c>
      <c r="U200" s="80" t="s">
        <v>18</v>
      </c>
      <c r="V200" s="80" t="s">
        <v>18</v>
      </c>
      <c r="W200" s="79">
        <v>186200</v>
      </c>
      <c r="X200" s="79">
        <v>193633</v>
      </c>
      <c r="Y200" s="66"/>
      <c r="Z200" s="66"/>
      <c r="AA200" s="66"/>
      <c r="AB200" s="66"/>
      <c r="AC200" s="66"/>
    </row>
    <row r="201" spans="1:29" x14ac:dyDescent="0.25">
      <c r="A201" s="78" t="s">
        <v>24</v>
      </c>
      <c r="B201" s="79">
        <v>3200</v>
      </c>
      <c r="C201" s="79">
        <v>899</v>
      </c>
      <c r="D201" s="79">
        <v>2876</v>
      </c>
      <c r="E201" s="79">
        <v>1115</v>
      </c>
      <c r="F201" s="79">
        <v>365</v>
      </c>
      <c r="G201" s="79">
        <v>407</v>
      </c>
      <c r="H201" s="80" t="s">
        <v>18</v>
      </c>
      <c r="I201" s="80" t="s">
        <v>18</v>
      </c>
      <c r="J201" s="80" t="s">
        <v>18</v>
      </c>
      <c r="K201" s="80" t="s">
        <v>18</v>
      </c>
      <c r="L201" s="80" t="s">
        <v>18</v>
      </c>
      <c r="M201" s="80" t="s">
        <v>18</v>
      </c>
      <c r="N201" s="80" t="s">
        <v>18</v>
      </c>
      <c r="O201" s="80" t="s">
        <v>18</v>
      </c>
      <c r="P201" s="80" t="s">
        <v>18</v>
      </c>
      <c r="Q201" s="80" t="s">
        <v>18</v>
      </c>
      <c r="R201" s="80" t="s">
        <v>18</v>
      </c>
      <c r="S201" s="80" t="s">
        <v>18</v>
      </c>
      <c r="T201" s="80" t="s">
        <v>18</v>
      </c>
      <c r="U201" s="80" t="s">
        <v>18</v>
      </c>
      <c r="V201" s="80" t="s">
        <v>18</v>
      </c>
      <c r="W201" s="79">
        <v>4315</v>
      </c>
      <c r="X201" s="79">
        <v>3283</v>
      </c>
      <c r="Y201" s="66"/>
      <c r="Z201" s="66"/>
      <c r="AA201" s="66"/>
      <c r="AB201" s="66"/>
      <c r="AC201" s="66"/>
    </row>
    <row r="202" spans="1:29" x14ac:dyDescent="0.25">
      <c r="A202" s="82" t="s">
        <v>25</v>
      </c>
      <c r="B202" s="112">
        <v>226750</v>
      </c>
      <c r="C202" s="112">
        <v>1006</v>
      </c>
      <c r="D202" s="112">
        <v>228182</v>
      </c>
      <c r="E202" s="112">
        <v>14921</v>
      </c>
      <c r="F202" s="112">
        <v>460</v>
      </c>
      <c r="G202" s="112">
        <v>6860</v>
      </c>
      <c r="H202" s="112"/>
      <c r="I202" s="112"/>
      <c r="J202" s="112"/>
      <c r="K202" s="112">
        <v>30667</v>
      </c>
      <c r="L202" s="112">
        <v>579</v>
      </c>
      <c r="M202" s="112">
        <v>17760</v>
      </c>
      <c r="N202" s="113" t="s">
        <v>18</v>
      </c>
      <c r="O202" s="113" t="s">
        <v>18</v>
      </c>
      <c r="P202" s="113" t="s">
        <v>18</v>
      </c>
      <c r="Q202" s="113" t="s">
        <v>18</v>
      </c>
      <c r="R202" s="113" t="s">
        <v>18</v>
      </c>
      <c r="S202" s="113" t="s">
        <v>18</v>
      </c>
      <c r="T202" s="113" t="s">
        <v>18</v>
      </c>
      <c r="U202" s="113" t="s">
        <v>18</v>
      </c>
      <c r="V202" s="113" t="s">
        <v>18</v>
      </c>
      <c r="W202" s="112">
        <v>279538</v>
      </c>
      <c r="X202" s="112">
        <v>252802</v>
      </c>
      <c r="Y202" s="66"/>
      <c r="Z202" s="66"/>
      <c r="AA202" s="66"/>
      <c r="AB202" s="66"/>
      <c r="AC202" s="66"/>
    </row>
    <row r="203" spans="1:29" x14ac:dyDescent="0.25">
      <c r="A203" s="78" t="s">
        <v>47</v>
      </c>
      <c r="B203" s="79">
        <v>54788</v>
      </c>
      <c r="C203" s="79">
        <v>945</v>
      </c>
      <c r="D203" s="79">
        <v>51774</v>
      </c>
      <c r="E203" s="79">
        <v>6706</v>
      </c>
      <c r="F203" s="79">
        <v>409</v>
      </c>
      <c r="G203" s="79">
        <v>2742</v>
      </c>
      <c r="H203" s="80" t="s">
        <v>18</v>
      </c>
      <c r="I203" s="80" t="s">
        <v>18</v>
      </c>
      <c r="J203" s="80" t="s">
        <v>18</v>
      </c>
      <c r="K203" s="80" t="s">
        <v>18</v>
      </c>
      <c r="L203" s="80" t="s">
        <v>18</v>
      </c>
      <c r="M203" s="80" t="s">
        <v>18</v>
      </c>
      <c r="N203" s="79">
        <v>2545</v>
      </c>
      <c r="O203" s="79">
        <v>11200</v>
      </c>
      <c r="P203" s="79">
        <v>28504</v>
      </c>
      <c r="Q203" s="80" t="s">
        <v>18</v>
      </c>
      <c r="R203" s="80" t="s">
        <v>18</v>
      </c>
      <c r="S203" s="80" t="s">
        <v>18</v>
      </c>
      <c r="T203" s="80" t="s">
        <v>18</v>
      </c>
      <c r="U203" s="80" t="s">
        <v>18</v>
      </c>
      <c r="V203" s="80" t="s">
        <v>18</v>
      </c>
      <c r="W203" s="79">
        <v>61494</v>
      </c>
      <c r="X203" s="79">
        <v>54516</v>
      </c>
      <c r="Y203" s="66"/>
      <c r="Z203" s="66"/>
      <c r="AA203" s="66"/>
      <c r="AB203" s="66"/>
      <c r="AC203" s="66"/>
    </row>
    <row r="204" spans="1:29" x14ac:dyDescent="0.25">
      <c r="A204" s="78" t="s">
        <v>27</v>
      </c>
      <c r="B204" s="79">
        <v>25933</v>
      </c>
      <c r="C204" s="79">
        <v>768</v>
      </c>
      <c r="D204" s="79">
        <v>1991</v>
      </c>
      <c r="E204" s="79">
        <v>13841</v>
      </c>
      <c r="F204" s="79">
        <v>345</v>
      </c>
      <c r="G204" s="79">
        <v>4775</v>
      </c>
      <c r="H204" s="80" t="s">
        <v>18</v>
      </c>
      <c r="I204" s="80" t="s">
        <v>18</v>
      </c>
      <c r="J204" s="80" t="s">
        <v>18</v>
      </c>
      <c r="K204" s="80" t="s">
        <v>18</v>
      </c>
      <c r="L204" s="80" t="s">
        <v>18</v>
      </c>
      <c r="M204" s="80" t="s">
        <v>18</v>
      </c>
      <c r="N204" s="79">
        <v>1160</v>
      </c>
      <c r="O204" s="79">
        <v>10000</v>
      </c>
      <c r="P204" s="79">
        <v>11600</v>
      </c>
      <c r="Q204" s="80" t="s">
        <v>18</v>
      </c>
      <c r="R204" s="80" t="s">
        <v>18</v>
      </c>
      <c r="S204" s="80" t="s">
        <v>18</v>
      </c>
      <c r="T204" s="80" t="s">
        <v>18</v>
      </c>
      <c r="U204" s="80" t="s">
        <v>18</v>
      </c>
      <c r="V204" s="80" t="s">
        <v>18</v>
      </c>
      <c r="W204" s="79">
        <v>39774</v>
      </c>
      <c r="X204" s="79">
        <v>24691</v>
      </c>
      <c r="Y204" s="66"/>
      <c r="Z204" s="66"/>
      <c r="AA204" s="66"/>
      <c r="AB204" s="66"/>
      <c r="AC204" s="66"/>
    </row>
    <row r="205" spans="1:29" x14ac:dyDescent="0.25">
      <c r="A205" s="78" t="s">
        <v>28</v>
      </c>
      <c r="B205" s="79">
        <v>42596</v>
      </c>
      <c r="C205" s="79">
        <v>879</v>
      </c>
      <c r="D205" s="79">
        <v>37442</v>
      </c>
      <c r="E205" s="79">
        <v>20262</v>
      </c>
      <c r="F205" s="79">
        <v>334</v>
      </c>
      <c r="G205" s="79">
        <v>6767</v>
      </c>
      <c r="H205" s="80" t="s">
        <v>18</v>
      </c>
      <c r="I205" s="80" t="s">
        <v>18</v>
      </c>
      <c r="J205" s="80" t="s">
        <v>18</v>
      </c>
      <c r="K205" s="80" t="s">
        <v>18</v>
      </c>
      <c r="L205" s="80" t="s">
        <v>18</v>
      </c>
      <c r="M205" s="80" t="s">
        <v>18</v>
      </c>
      <c r="N205" s="79">
        <v>4576</v>
      </c>
      <c r="O205" s="79">
        <v>10500</v>
      </c>
      <c r="P205" s="79">
        <v>48048</v>
      </c>
      <c r="Q205" s="80" t="s">
        <v>18</v>
      </c>
      <c r="R205" s="80" t="s">
        <v>18</v>
      </c>
      <c r="S205" s="80" t="s">
        <v>18</v>
      </c>
      <c r="T205" s="80" t="s">
        <v>18</v>
      </c>
      <c r="U205" s="80" t="s">
        <v>18</v>
      </c>
      <c r="V205" s="80" t="s">
        <v>18</v>
      </c>
      <c r="W205" s="79">
        <v>2858</v>
      </c>
      <c r="X205" s="79">
        <v>44209</v>
      </c>
      <c r="Y205" s="66"/>
      <c r="Z205" s="66"/>
      <c r="AA205" s="66"/>
      <c r="AB205" s="66"/>
      <c r="AC205" s="66"/>
    </row>
    <row r="206" spans="1:29" x14ac:dyDescent="0.25">
      <c r="A206" s="78" t="s">
        <v>29</v>
      </c>
      <c r="B206" s="79">
        <v>8980</v>
      </c>
      <c r="C206" s="79">
        <v>876</v>
      </c>
      <c r="D206" s="79">
        <v>7866</v>
      </c>
      <c r="E206" s="79">
        <v>6688</v>
      </c>
      <c r="F206" s="79">
        <v>368</v>
      </c>
      <c r="G206" s="79">
        <v>2461</v>
      </c>
      <c r="H206" s="80" t="s">
        <v>18</v>
      </c>
      <c r="I206" s="80" t="s">
        <v>18</v>
      </c>
      <c r="J206" s="80" t="s">
        <v>18</v>
      </c>
      <c r="K206" s="80" t="s">
        <v>18</v>
      </c>
      <c r="L206" s="80" t="s">
        <v>18</v>
      </c>
      <c r="M206" s="80" t="s">
        <v>18</v>
      </c>
      <c r="N206" s="79">
        <v>5967</v>
      </c>
      <c r="O206" s="79">
        <v>10550</v>
      </c>
      <c r="P206" s="79">
        <v>62653</v>
      </c>
      <c r="Q206" s="80" t="s">
        <v>18</v>
      </c>
      <c r="R206" s="80" t="s">
        <v>18</v>
      </c>
      <c r="S206" s="80" t="s">
        <v>18</v>
      </c>
      <c r="T206" s="80" t="s">
        <v>18</v>
      </c>
      <c r="U206" s="80" t="s">
        <v>18</v>
      </c>
      <c r="V206" s="80" t="s">
        <v>18</v>
      </c>
      <c r="W206" s="79">
        <v>15668</v>
      </c>
      <c r="X206" s="79">
        <v>10327</v>
      </c>
      <c r="Y206" s="66"/>
      <c r="Z206" s="66"/>
      <c r="AA206" s="66"/>
      <c r="AB206" s="66"/>
      <c r="AC206" s="66"/>
    </row>
    <row r="207" spans="1:29" x14ac:dyDescent="0.25">
      <c r="A207" s="78" t="s">
        <v>30</v>
      </c>
      <c r="B207" s="79">
        <v>26073</v>
      </c>
      <c r="C207" s="79">
        <v>1023</v>
      </c>
      <c r="D207" s="79">
        <v>26672</v>
      </c>
      <c r="E207" s="79">
        <v>4054</v>
      </c>
      <c r="F207" s="79">
        <v>301</v>
      </c>
      <c r="G207" s="79">
        <v>1220</v>
      </c>
      <c r="H207" s="80" t="s">
        <v>18</v>
      </c>
      <c r="I207" s="80" t="s">
        <v>18</v>
      </c>
      <c r="J207" s="80" t="s">
        <v>18</v>
      </c>
      <c r="K207" s="80" t="s">
        <v>18</v>
      </c>
      <c r="L207" s="80" t="s">
        <v>18</v>
      </c>
      <c r="M207" s="80" t="s">
        <v>18</v>
      </c>
      <c r="N207" s="79">
        <v>8970</v>
      </c>
      <c r="O207" s="79">
        <v>11500</v>
      </c>
      <c r="P207" s="79">
        <v>10315</v>
      </c>
      <c r="Q207" s="80" t="s">
        <v>18</v>
      </c>
      <c r="R207" s="80" t="s">
        <v>18</v>
      </c>
      <c r="S207" s="80" t="s">
        <v>18</v>
      </c>
      <c r="T207" s="80" t="s">
        <v>18</v>
      </c>
      <c r="U207" s="80" t="s">
        <v>18</v>
      </c>
      <c r="V207" s="80" t="s">
        <v>18</v>
      </c>
      <c r="W207" s="79">
        <v>30127</v>
      </c>
      <c r="X207" s="79">
        <v>27892</v>
      </c>
      <c r="Y207" s="66"/>
      <c r="Z207" s="66"/>
      <c r="AA207" s="66"/>
      <c r="AB207" s="66"/>
      <c r="AC207" s="66"/>
    </row>
    <row r="208" spans="1:29" x14ac:dyDescent="0.25">
      <c r="A208" s="85" t="s">
        <v>31</v>
      </c>
      <c r="B208" s="112">
        <v>158370</v>
      </c>
      <c r="C208" s="112">
        <v>794</v>
      </c>
      <c r="D208" s="112">
        <v>125745</v>
      </c>
      <c r="E208" s="112">
        <v>51551</v>
      </c>
      <c r="F208" s="112">
        <v>348</v>
      </c>
      <c r="G208" s="112">
        <v>17965</v>
      </c>
      <c r="H208" s="113" t="s">
        <v>18</v>
      </c>
      <c r="I208" s="113" t="s">
        <v>18</v>
      </c>
      <c r="J208" s="113" t="s">
        <v>18</v>
      </c>
      <c r="K208" s="113" t="s">
        <v>18</v>
      </c>
      <c r="L208" s="113" t="s">
        <v>18</v>
      </c>
      <c r="M208" s="113" t="s">
        <v>18</v>
      </c>
      <c r="N208" s="112">
        <f>SUM(N203:N207)</f>
        <v>23218</v>
      </c>
      <c r="O208" s="112">
        <v>6939</v>
      </c>
      <c r="P208" s="112">
        <f>SUM(P203:P207)</f>
        <v>161120</v>
      </c>
      <c r="Q208" s="113" t="s">
        <v>18</v>
      </c>
      <c r="R208" s="113" t="s">
        <v>18</v>
      </c>
      <c r="S208" s="113" t="s">
        <v>18</v>
      </c>
      <c r="T208" s="113" t="s">
        <v>18</v>
      </c>
      <c r="U208" s="113" t="s">
        <v>18</v>
      </c>
      <c r="V208" s="113" t="s">
        <v>18</v>
      </c>
      <c r="W208" s="112">
        <v>209921</v>
      </c>
      <c r="X208" s="112">
        <v>11635</v>
      </c>
      <c r="Y208" s="66"/>
      <c r="Z208" s="66"/>
      <c r="AA208" s="66"/>
      <c r="AB208" s="66"/>
      <c r="AC208" s="66"/>
    </row>
    <row r="209" spans="1:29" x14ac:dyDescent="0.25">
      <c r="A209" s="78" t="s">
        <v>32</v>
      </c>
      <c r="B209" s="79">
        <v>385120</v>
      </c>
      <c r="C209" s="79"/>
      <c r="D209" s="79">
        <v>353927</v>
      </c>
      <c r="E209" s="79">
        <v>66472</v>
      </c>
      <c r="F209" s="79"/>
      <c r="G209" s="79">
        <v>21218</v>
      </c>
      <c r="H209" s="80" t="s">
        <v>18</v>
      </c>
      <c r="I209" s="80" t="s">
        <v>18</v>
      </c>
      <c r="J209" s="80" t="s">
        <v>18</v>
      </c>
      <c r="K209" s="79">
        <v>30667</v>
      </c>
      <c r="L209" s="79"/>
      <c r="M209" s="79">
        <v>17760</v>
      </c>
      <c r="N209" s="79">
        <v>23210</v>
      </c>
      <c r="O209" s="79"/>
      <c r="P209" s="79">
        <v>161120</v>
      </c>
      <c r="Q209" s="80" t="s">
        <v>18</v>
      </c>
      <c r="R209" s="80" t="s">
        <v>18</v>
      </c>
      <c r="S209" s="80" t="s">
        <v>18</v>
      </c>
      <c r="T209" s="80" t="s">
        <v>18</v>
      </c>
      <c r="U209" s="80" t="s">
        <v>18</v>
      </c>
      <c r="V209" s="80" t="s">
        <v>18</v>
      </c>
      <c r="W209" s="79">
        <v>489459</v>
      </c>
      <c r="X209" s="79">
        <v>414437</v>
      </c>
      <c r="Y209" s="66"/>
      <c r="Z209" s="66"/>
      <c r="AA209" s="66"/>
      <c r="AB209" s="66"/>
      <c r="AC209" s="66"/>
    </row>
    <row r="210" spans="1:29" x14ac:dyDescent="0.25">
      <c r="A210" s="95" t="s">
        <v>58</v>
      </c>
      <c r="B210" s="96"/>
      <c r="C210" s="96"/>
      <c r="D210" s="95" t="s">
        <v>59</v>
      </c>
      <c r="E210" s="96"/>
      <c r="F210" s="96"/>
      <c r="G210" s="96"/>
      <c r="H210" s="96"/>
      <c r="I210" s="95" t="s">
        <v>60</v>
      </c>
      <c r="J210" s="96"/>
      <c r="K210" s="96"/>
      <c r="L210" s="114"/>
      <c r="M210" s="114"/>
      <c r="N210" s="114"/>
      <c r="O210" s="114"/>
      <c r="P210" s="114"/>
      <c r="Q210" s="114"/>
      <c r="R210" s="114"/>
      <c r="S210" s="114"/>
      <c r="T210" s="114"/>
      <c r="U210" s="114"/>
      <c r="V210" s="114"/>
      <c r="W210" s="114"/>
      <c r="X210" s="114"/>
      <c r="Y210" s="114"/>
      <c r="Z210" s="114"/>
      <c r="AA210" s="114"/>
      <c r="AB210" s="114"/>
      <c r="AC210" s="114"/>
    </row>
    <row r="211" spans="1:29" x14ac:dyDescent="0.25">
      <c r="A211" s="95"/>
      <c r="B211" s="96"/>
      <c r="C211" s="96"/>
      <c r="D211" s="95"/>
      <c r="E211" s="96"/>
      <c r="F211" s="96"/>
      <c r="G211" s="96"/>
      <c r="H211" s="96"/>
      <c r="I211" s="95"/>
      <c r="J211" s="96"/>
      <c r="K211" s="96"/>
      <c r="L211" s="114"/>
      <c r="M211" s="114"/>
      <c r="N211" s="114"/>
      <c r="O211" s="114"/>
      <c r="P211" s="114"/>
      <c r="Q211" s="114"/>
      <c r="R211" s="114"/>
      <c r="S211" s="114"/>
      <c r="T211" s="114"/>
      <c r="U211" s="114"/>
      <c r="V211" s="114"/>
      <c r="W211" s="114"/>
      <c r="X211" s="114"/>
      <c r="Y211" s="114"/>
      <c r="Z211" s="114"/>
      <c r="AA211" s="114"/>
      <c r="AB211" s="114"/>
      <c r="AC211" s="114"/>
    </row>
    <row r="212" spans="1:29" x14ac:dyDescent="0.25">
      <c r="A212" s="64"/>
      <c r="B212" s="65" t="s">
        <v>0</v>
      </c>
      <c r="C212" s="64"/>
      <c r="D212" s="64"/>
      <c r="E212" s="64"/>
      <c r="F212" s="64"/>
      <c r="G212" s="64"/>
      <c r="H212" s="64"/>
      <c r="I212" s="65" t="s">
        <v>65</v>
      </c>
      <c r="J212" s="64"/>
      <c r="K212" s="64"/>
      <c r="L212" s="64"/>
      <c r="M212" s="64"/>
      <c r="N212" s="64"/>
      <c r="O212" s="64"/>
      <c r="P212" s="64"/>
      <c r="Q212" s="64"/>
      <c r="R212" s="66"/>
      <c r="S212" s="66"/>
      <c r="T212" s="66"/>
      <c r="U212" s="66"/>
      <c r="V212" s="66"/>
      <c r="W212" s="66"/>
      <c r="X212" s="66"/>
      <c r="Y212" s="66"/>
      <c r="Z212" s="66"/>
      <c r="AA212" s="66"/>
      <c r="AB212" s="66"/>
      <c r="AC212" s="66"/>
    </row>
    <row r="213" spans="1:29" x14ac:dyDescent="0.25">
      <c r="A213" s="115" t="s">
        <v>2</v>
      </c>
      <c r="B213" s="146"/>
      <c r="C213" s="89" t="s">
        <v>66</v>
      </c>
      <c r="D213" s="146"/>
      <c r="E213" s="88"/>
      <c r="F213" s="91" t="s">
        <v>4</v>
      </c>
      <c r="G213" s="90"/>
      <c r="H213" s="88"/>
      <c r="I213" s="89" t="s">
        <v>5</v>
      </c>
      <c r="J213" s="90"/>
      <c r="K213" s="88"/>
      <c r="L213" s="89" t="s">
        <v>6</v>
      </c>
      <c r="M213" s="90"/>
      <c r="N213" s="88"/>
      <c r="O213" s="89" t="s">
        <v>7</v>
      </c>
      <c r="P213" s="90"/>
      <c r="Q213" s="88"/>
      <c r="R213" s="91" t="s">
        <v>8</v>
      </c>
      <c r="S213" s="90"/>
      <c r="T213" s="88"/>
      <c r="U213" s="91" t="s">
        <v>9</v>
      </c>
      <c r="V213" s="90"/>
      <c r="W213" s="147" t="s">
        <v>10</v>
      </c>
      <c r="X213" s="73"/>
      <c r="Y213" s="66"/>
      <c r="Z213" s="66"/>
      <c r="AA213" s="66"/>
      <c r="AB213" s="66"/>
      <c r="AC213" s="66"/>
    </row>
    <row r="214" spans="1:29" ht="15.75" thickBot="1" x14ac:dyDescent="0.3">
      <c r="A214" s="148" t="s">
        <v>11</v>
      </c>
      <c r="B214" s="149" t="s">
        <v>12</v>
      </c>
      <c r="C214" s="125" t="s">
        <v>13</v>
      </c>
      <c r="D214" s="125" t="s">
        <v>14</v>
      </c>
      <c r="E214" s="126" t="s">
        <v>12</v>
      </c>
      <c r="F214" s="126" t="s">
        <v>13</v>
      </c>
      <c r="G214" s="126" t="s">
        <v>14</v>
      </c>
      <c r="H214" s="126" t="s">
        <v>12</v>
      </c>
      <c r="I214" s="126" t="s">
        <v>13</v>
      </c>
      <c r="J214" s="126" t="s">
        <v>14</v>
      </c>
      <c r="K214" s="126" t="s">
        <v>12</v>
      </c>
      <c r="L214" s="126" t="s">
        <v>13</v>
      </c>
      <c r="M214" s="126" t="s">
        <v>14</v>
      </c>
      <c r="N214" s="126" t="s">
        <v>12</v>
      </c>
      <c r="O214" s="126" t="s">
        <v>13</v>
      </c>
      <c r="P214" s="126" t="s">
        <v>14</v>
      </c>
      <c r="Q214" s="126" t="s">
        <v>12</v>
      </c>
      <c r="R214" s="126" t="s">
        <v>13</v>
      </c>
      <c r="S214" s="126" t="s">
        <v>14</v>
      </c>
      <c r="T214" s="126" t="s">
        <v>12</v>
      </c>
      <c r="U214" s="126" t="s">
        <v>13</v>
      </c>
      <c r="V214" s="126" t="s">
        <v>14</v>
      </c>
      <c r="W214" s="150" t="s">
        <v>12</v>
      </c>
      <c r="X214" s="150" t="s">
        <v>14</v>
      </c>
      <c r="Y214" s="66"/>
      <c r="Z214" s="66"/>
      <c r="AA214" s="66"/>
      <c r="AB214" s="66"/>
      <c r="AC214" s="66"/>
    </row>
    <row r="215" spans="1:29" ht="15.75" thickTop="1" x14ac:dyDescent="0.25">
      <c r="A215" s="107" t="s">
        <v>15</v>
      </c>
      <c r="B215" s="151">
        <v>103337</v>
      </c>
      <c r="C215" s="108">
        <v>300</v>
      </c>
      <c r="D215" s="108">
        <v>31000</v>
      </c>
      <c r="E215" s="108">
        <v>61382</v>
      </c>
      <c r="F215" s="108">
        <v>288</v>
      </c>
      <c r="G215" s="108">
        <v>17678</v>
      </c>
      <c r="H215" s="77" t="s">
        <v>18</v>
      </c>
      <c r="I215" s="77" t="s">
        <v>18</v>
      </c>
      <c r="J215" s="77" t="s">
        <v>18</v>
      </c>
      <c r="K215" s="77" t="s">
        <v>18</v>
      </c>
      <c r="L215" s="77" t="s">
        <v>18</v>
      </c>
      <c r="M215" s="77" t="s">
        <v>18</v>
      </c>
      <c r="N215" s="77" t="s">
        <v>18</v>
      </c>
      <c r="O215" s="77" t="s">
        <v>18</v>
      </c>
      <c r="P215" s="77" t="s">
        <v>18</v>
      </c>
      <c r="Q215" s="77" t="s">
        <v>18</v>
      </c>
      <c r="R215" s="77" t="s">
        <v>18</v>
      </c>
      <c r="S215" s="77" t="s">
        <v>18</v>
      </c>
      <c r="T215" s="77" t="s">
        <v>18</v>
      </c>
      <c r="U215" s="77" t="s">
        <v>18</v>
      </c>
      <c r="V215" s="77" t="s">
        <v>18</v>
      </c>
      <c r="W215" s="108">
        <v>164719</v>
      </c>
      <c r="X215" s="108">
        <v>48678</v>
      </c>
      <c r="Y215" s="66"/>
      <c r="Z215" s="66"/>
      <c r="AA215" s="66"/>
      <c r="AB215" s="66"/>
      <c r="AC215" s="66"/>
    </row>
    <row r="216" spans="1:29" x14ac:dyDescent="0.25">
      <c r="A216" s="78" t="s">
        <v>49</v>
      </c>
      <c r="B216" s="81"/>
      <c r="C216" s="80"/>
      <c r="D216" s="80"/>
      <c r="E216" s="80"/>
      <c r="F216" s="80"/>
      <c r="G216" s="80"/>
      <c r="H216" s="80"/>
      <c r="I216" s="80"/>
      <c r="J216" s="80"/>
      <c r="K216" s="80"/>
      <c r="L216" s="80"/>
      <c r="M216" s="80"/>
      <c r="N216" s="80"/>
      <c r="O216" s="80"/>
      <c r="P216" s="80"/>
      <c r="Q216" s="80"/>
      <c r="R216" s="80"/>
      <c r="S216" s="80"/>
      <c r="T216" s="80"/>
      <c r="U216" s="80"/>
      <c r="V216" s="80"/>
      <c r="W216" s="80"/>
      <c r="X216" s="80"/>
      <c r="Y216" s="66"/>
      <c r="Z216" s="66"/>
      <c r="AA216" s="66"/>
      <c r="AB216" s="66"/>
      <c r="AC216" s="66"/>
    </row>
    <row r="217" spans="1:29" x14ac:dyDescent="0.25">
      <c r="A217" s="78" t="s">
        <v>17</v>
      </c>
      <c r="B217" s="73">
        <v>196213</v>
      </c>
      <c r="C217" s="79">
        <v>94</v>
      </c>
      <c r="D217" s="79">
        <v>18444</v>
      </c>
      <c r="E217" s="79">
        <v>14998</v>
      </c>
      <c r="F217" s="79">
        <v>200</v>
      </c>
      <c r="G217" s="79">
        <v>3000</v>
      </c>
      <c r="H217" s="80" t="s">
        <v>18</v>
      </c>
      <c r="I217" s="80" t="s">
        <v>18</v>
      </c>
      <c r="J217" s="80" t="s">
        <v>18</v>
      </c>
      <c r="K217" s="80" t="s">
        <v>18</v>
      </c>
      <c r="L217" s="80" t="s">
        <v>18</v>
      </c>
      <c r="M217" s="80" t="s">
        <v>18</v>
      </c>
      <c r="N217" s="80" t="s">
        <v>18</v>
      </c>
      <c r="O217" s="80" t="s">
        <v>18</v>
      </c>
      <c r="P217" s="80" t="s">
        <v>18</v>
      </c>
      <c r="Q217" s="80" t="s">
        <v>18</v>
      </c>
      <c r="R217" s="80" t="s">
        <v>18</v>
      </c>
      <c r="S217" s="80" t="s">
        <v>18</v>
      </c>
      <c r="T217" s="80" t="s">
        <v>18</v>
      </c>
      <c r="U217" s="80" t="s">
        <v>18</v>
      </c>
      <c r="V217" s="80" t="s">
        <v>18</v>
      </c>
      <c r="W217" s="79">
        <v>211211</v>
      </c>
      <c r="X217" s="79">
        <v>21444</v>
      </c>
      <c r="Y217" s="66"/>
      <c r="Z217" s="66"/>
      <c r="AA217" s="66"/>
      <c r="AB217" s="66"/>
      <c r="AC217" s="66"/>
    </row>
    <row r="218" spans="1:29" x14ac:dyDescent="0.25">
      <c r="A218" s="78" t="s">
        <v>19</v>
      </c>
      <c r="B218" s="73">
        <v>113465</v>
      </c>
      <c r="C218" s="79">
        <v>602</v>
      </c>
      <c r="D218" s="79">
        <v>68305</v>
      </c>
      <c r="E218" s="79">
        <v>83936</v>
      </c>
      <c r="F218" s="79">
        <v>903</v>
      </c>
      <c r="G218" s="79">
        <v>75794</v>
      </c>
      <c r="H218" s="79">
        <v>20638</v>
      </c>
      <c r="I218" s="79">
        <v>438</v>
      </c>
      <c r="J218" s="79">
        <v>9039</v>
      </c>
      <c r="K218" s="79">
        <v>3224</v>
      </c>
      <c r="L218" s="79">
        <v>1920</v>
      </c>
      <c r="M218" s="79">
        <v>6686</v>
      </c>
      <c r="N218" s="79">
        <v>19641</v>
      </c>
      <c r="O218" s="79">
        <v>600</v>
      </c>
      <c r="P218" s="79">
        <v>11784</v>
      </c>
      <c r="Q218" s="80" t="s">
        <v>18</v>
      </c>
      <c r="R218" s="80" t="s">
        <v>18</v>
      </c>
      <c r="S218" s="80" t="s">
        <v>18</v>
      </c>
      <c r="T218" s="80" t="s">
        <v>18</v>
      </c>
      <c r="U218" s="80" t="s">
        <v>18</v>
      </c>
      <c r="V218" s="80" t="s">
        <v>18</v>
      </c>
      <c r="W218" s="79">
        <v>240904</v>
      </c>
      <c r="X218" s="79">
        <v>171608</v>
      </c>
      <c r="Y218" s="66"/>
      <c r="Z218" s="66"/>
      <c r="AA218" s="66"/>
      <c r="AB218" s="66"/>
      <c r="AC218" s="66"/>
    </row>
    <row r="219" spans="1:29" x14ac:dyDescent="0.25">
      <c r="A219" s="78" t="s">
        <v>20</v>
      </c>
      <c r="B219" s="73">
        <v>24806</v>
      </c>
      <c r="C219" s="79">
        <v>400</v>
      </c>
      <c r="D219" s="79">
        <v>9922</v>
      </c>
      <c r="E219" s="79">
        <v>53832</v>
      </c>
      <c r="F219" s="79">
        <v>407</v>
      </c>
      <c r="G219" s="79">
        <v>21909</v>
      </c>
      <c r="H219" s="80" t="s">
        <v>18</v>
      </c>
      <c r="I219" s="80" t="s">
        <v>18</v>
      </c>
      <c r="J219" s="80" t="s">
        <v>18</v>
      </c>
      <c r="K219" s="79">
        <v>225</v>
      </c>
      <c r="L219" s="79">
        <v>1200</v>
      </c>
      <c r="M219" s="79">
        <v>270</v>
      </c>
      <c r="N219" s="79">
        <v>10000</v>
      </c>
      <c r="O219" s="79">
        <v>670</v>
      </c>
      <c r="P219" s="79">
        <v>6700</v>
      </c>
      <c r="Q219" s="80" t="s">
        <v>18</v>
      </c>
      <c r="R219" s="80" t="s">
        <v>18</v>
      </c>
      <c r="S219" s="80" t="s">
        <v>18</v>
      </c>
      <c r="T219" s="80" t="s">
        <v>18</v>
      </c>
      <c r="U219" s="80" t="s">
        <v>18</v>
      </c>
      <c r="V219" s="80" t="s">
        <v>18</v>
      </c>
      <c r="W219" s="79">
        <v>88863</v>
      </c>
      <c r="X219" s="79">
        <v>38801</v>
      </c>
      <c r="Y219" s="66"/>
      <c r="Z219" s="66"/>
      <c r="AA219" s="66"/>
      <c r="AB219" s="66"/>
      <c r="AC219" s="66"/>
    </row>
    <row r="220" spans="1:29" x14ac:dyDescent="0.25">
      <c r="A220" s="78" t="s">
        <v>21</v>
      </c>
      <c r="B220" s="73">
        <v>39600</v>
      </c>
      <c r="C220" s="79">
        <v>150</v>
      </c>
      <c r="D220" s="79">
        <v>5940</v>
      </c>
      <c r="E220" s="79">
        <v>1354</v>
      </c>
      <c r="F220" s="79">
        <v>125</v>
      </c>
      <c r="G220" s="79">
        <v>170</v>
      </c>
      <c r="H220" s="80" t="s">
        <v>18</v>
      </c>
      <c r="I220" s="80" t="s">
        <v>18</v>
      </c>
      <c r="J220" s="80" t="s">
        <v>18</v>
      </c>
      <c r="K220" s="80" t="s">
        <v>18</v>
      </c>
      <c r="L220" s="80" t="s">
        <v>18</v>
      </c>
      <c r="M220" s="80" t="s">
        <v>18</v>
      </c>
      <c r="N220" s="80" t="s">
        <v>18</v>
      </c>
      <c r="O220" s="80" t="s">
        <v>18</v>
      </c>
      <c r="P220" s="80" t="s">
        <v>18</v>
      </c>
      <c r="Q220" s="80" t="s">
        <v>18</v>
      </c>
      <c r="R220" s="80" t="s">
        <v>18</v>
      </c>
      <c r="S220" s="80" t="s">
        <v>18</v>
      </c>
      <c r="T220" s="80" t="s">
        <v>18</v>
      </c>
      <c r="U220" s="80" t="s">
        <v>18</v>
      </c>
      <c r="V220" s="80" t="s">
        <v>18</v>
      </c>
      <c r="W220" s="79">
        <v>40954</v>
      </c>
      <c r="X220" s="79">
        <v>6110</v>
      </c>
      <c r="Y220" s="66"/>
      <c r="Z220" s="66"/>
      <c r="AA220" s="66"/>
      <c r="AB220" s="66"/>
      <c r="AC220" s="66"/>
    </row>
    <row r="221" spans="1:29" x14ac:dyDescent="0.25">
      <c r="A221" s="78" t="s">
        <v>22</v>
      </c>
      <c r="B221" s="73">
        <v>14630</v>
      </c>
      <c r="C221" s="79">
        <v>220</v>
      </c>
      <c r="D221" s="79">
        <v>3290</v>
      </c>
      <c r="E221" s="79">
        <v>271</v>
      </c>
      <c r="F221" s="79">
        <v>300</v>
      </c>
      <c r="G221" s="79">
        <v>81</v>
      </c>
      <c r="H221" s="79">
        <v>28404</v>
      </c>
      <c r="I221" s="79">
        <v>1202</v>
      </c>
      <c r="J221" s="79">
        <v>34141</v>
      </c>
      <c r="K221" s="80" t="s">
        <v>18</v>
      </c>
      <c r="L221" s="80" t="s">
        <v>18</v>
      </c>
      <c r="M221" s="80" t="s">
        <v>18</v>
      </c>
      <c r="N221" s="80" t="s">
        <v>18</v>
      </c>
      <c r="O221" s="80" t="s">
        <v>18</v>
      </c>
      <c r="P221" s="80" t="s">
        <v>18</v>
      </c>
      <c r="Q221" s="79">
        <v>1875</v>
      </c>
      <c r="R221" s="79">
        <v>1434</v>
      </c>
      <c r="S221" s="79">
        <v>2688</v>
      </c>
      <c r="T221" s="80" t="s">
        <v>18</v>
      </c>
      <c r="U221" s="80" t="s">
        <v>18</v>
      </c>
      <c r="V221" s="80" t="s">
        <v>18</v>
      </c>
      <c r="W221" s="79">
        <v>45180</v>
      </c>
      <c r="X221" s="79">
        <v>40200</v>
      </c>
      <c r="Y221" s="66"/>
      <c r="Z221" s="66"/>
      <c r="AA221" s="66"/>
      <c r="AB221" s="66"/>
      <c r="AC221" s="66"/>
    </row>
    <row r="222" spans="1:29" x14ac:dyDescent="0.25">
      <c r="A222" s="78" t="s">
        <v>23</v>
      </c>
      <c r="B222" s="73">
        <v>129600</v>
      </c>
      <c r="C222" s="79">
        <v>302</v>
      </c>
      <c r="D222" s="79">
        <v>39140</v>
      </c>
      <c r="E222" s="79">
        <v>56119</v>
      </c>
      <c r="F222" s="79">
        <v>235</v>
      </c>
      <c r="G222" s="79">
        <v>13188</v>
      </c>
      <c r="H222" s="80" t="s">
        <v>18</v>
      </c>
      <c r="I222" s="80" t="s">
        <v>18</v>
      </c>
      <c r="J222" s="80" t="s">
        <v>18</v>
      </c>
      <c r="K222" s="80" t="s">
        <v>18</v>
      </c>
      <c r="L222" s="80" t="s">
        <v>18</v>
      </c>
      <c r="M222" s="80" t="s">
        <v>18</v>
      </c>
      <c r="N222" s="80" t="s">
        <v>18</v>
      </c>
      <c r="O222" s="80" t="s">
        <v>18</v>
      </c>
      <c r="P222" s="80" t="s">
        <v>18</v>
      </c>
      <c r="Q222" s="80" t="s">
        <v>18</v>
      </c>
      <c r="R222" s="80" t="s">
        <v>18</v>
      </c>
      <c r="S222" s="80" t="s">
        <v>18</v>
      </c>
      <c r="T222" s="80" t="s">
        <v>18</v>
      </c>
      <c r="U222" s="80" t="s">
        <v>18</v>
      </c>
      <c r="V222" s="80" t="s">
        <v>18</v>
      </c>
      <c r="W222" s="79">
        <v>185719</v>
      </c>
      <c r="X222" s="79">
        <v>52328</v>
      </c>
      <c r="Y222" s="66"/>
      <c r="Z222" s="66"/>
      <c r="AA222" s="66"/>
      <c r="AB222" s="66"/>
      <c r="AC222" s="66"/>
    </row>
    <row r="223" spans="1:29" x14ac:dyDescent="0.25">
      <c r="A223" s="78" t="s">
        <v>24</v>
      </c>
      <c r="B223" s="73">
        <v>5390</v>
      </c>
      <c r="C223" s="79">
        <v>416</v>
      </c>
      <c r="D223" s="79">
        <v>2155</v>
      </c>
      <c r="E223" s="79">
        <v>13245</v>
      </c>
      <c r="F223" s="79">
        <v>400</v>
      </c>
      <c r="G223" s="79">
        <v>5297</v>
      </c>
      <c r="H223" s="79">
        <v>6700</v>
      </c>
      <c r="I223" s="79">
        <v>400</v>
      </c>
      <c r="J223" s="79">
        <v>2680</v>
      </c>
      <c r="K223" s="79">
        <v>1810</v>
      </c>
      <c r="L223" s="79">
        <v>1500</v>
      </c>
      <c r="M223" s="79">
        <v>2715</v>
      </c>
      <c r="N223" s="79">
        <v>80000</v>
      </c>
      <c r="O223" s="79">
        <v>1000</v>
      </c>
      <c r="P223" s="79">
        <v>80000</v>
      </c>
      <c r="Q223" s="80" t="s">
        <v>18</v>
      </c>
      <c r="R223" s="80" t="s">
        <v>18</v>
      </c>
      <c r="S223" s="80" t="s">
        <v>18</v>
      </c>
      <c r="T223" s="80" t="s">
        <v>18</v>
      </c>
      <c r="U223" s="80" t="s">
        <v>18</v>
      </c>
      <c r="V223" s="80" t="s">
        <v>18</v>
      </c>
      <c r="W223" s="79">
        <v>107145</v>
      </c>
      <c r="X223" s="79">
        <v>92847</v>
      </c>
      <c r="Y223" s="66"/>
      <c r="Z223" s="66"/>
      <c r="AA223" s="66"/>
      <c r="AB223" s="66"/>
      <c r="AC223" s="66"/>
    </row>
    <row r="224" spans="1:29" x14ac:dyDescent="0.25">
      <c r="A224" s="82" t="s">
        <v>25</v>
      </c>
      <c r="B224" s="90">
        <f>SUM(B215:B223)</f>
        <v>627041</v>
      </c>
      <c r="C224" s="152">
        <v>284</v>
      </c>
      <c r="D224" s="152">
        <v>178196</v>
      </c>
      <c r="E224" s="152">
        <v>285137</v>
      </c>
      <c r="F224" s="152">
        <v>391</v>
      </c>
      <c r="G224" s="152">
        <v>137117</v>
      </c>
      <c r="H224" s="152">
        <v>55742</v>
      </c>
      <c r="I224" s="152">
        <v>823</v>
      </c>
      <c r="J224" s="152">
        <v>45860</v>
      </c>
      <c r="K224" s="152">
        <v>5259</v>
      </c>
      <c r="L224" s="152">
        <v>1839</v>
      </c>
      <c r="M224" s="152">
        <v>9671</v>
      </c>
      <c r="N224" s="152">
        <v>109641</v>
      </c>
      <c r="O224" s="152">
        <v>898</v>
      </c>
      <c r="P224" s="152">
        <v>98484</v>
      </c>
      <c r="Q224" s="152">
        <v>1875</v>
      </c>
      <c r="R224" s="152">
        <v>1434</v>
      </c>
      <c r="S224" s="152">
        <v>2688</v>
      </c>
      <c r="T224" s="75" t="s">
        <v>18</v>
      </c>
      <c r="U224" s="75" t="s">
        <v>18</v>
      </c>
      <c r="V224" s="75" t="s">
        <v>18</v>
      </c>
      <c r="W224" s="152">
        <v>1084953</v>
      </c>
      <c r="X224" s="152">
        <v>472025</v>
      </c>
      <c r="Y224" s="66"/>
      <c r="Z224" s="66"/>
      <c r="AA224" s="66"/>
      <c r="AB224" s="66"/>
      <c r="AC224" s="66"/>
    </row>
    <row r="225" spans="1:29" x14ac:dyDescent="0.25">
      <c r="A225" s="78" t="s">
        <v>26</v>
      </c>
      <c r="B225" s="73">
        <v>28228</v>
      </c>
      <c r="C225" s="79">
        <v>512</v>
      </c>
      <c r="D225" s="79">
        <v>14452</v>
      </c>
      <c r="E225" s="79">
        <v>109132</v>
      </c>
      <c r="F225" s="79">
        <v>853</v>
      </c>
      <c r="G225" s="79">
        <v>93089</v>
      </c>
      <c r="H225" s="79">
        <v>11100</v>
      </c>
      <c r="I225" s="79">
        <v>450</v>
      </c>
      <c r="J225" s="79">
        <v>5000</v>
      </c>
      <c r="K225" s="79">
        <v>35321</v>
      </c>
      <c r="L225" s="79">
        <v>1257</v>
      </c>
      <c r="M225" s="79">
        <v>44398</v>
      </c>
      <c r="N225" s="79">
        <v>22285</v>
      </c>
      <c r="O225" s="79">
        <v>816</v>
      </c>
      <c r="P225" s="79">
        <v>18184</v>
      </c>
      <c r="Q225" s="80" t="s">
        <v>18</v>
      </c>
      <c r="R225" s="80" t="s">
        <v>18</v>
      </c>
      <c r="S225" s="80" t="s">
        <v>18</v>
      </c>
      <c r="T225" s="80" t="s">
        <v>18</v>
      </c>
      <c r="U225" s="80" t="s">
        <v>18</v>
      </c>
      <c r="V225" s="80" t="s">
        <v>18</v>
      </c>
      <c r="W225" s="79">
        <v>206066</v>
      </c>
      <c r="X225" s="79">
        <v>175123</v>
      </c>
      <c r="Y225" s="66"/>
      <c r="Z225" s="66"/>
      <c r="AA225" s="66"/>
      <c r="AB225" s="66"/>
      <c r="AC225" s="66"/>
    </row>
    <row r="226" spans="1:29" x14ac:dyDescent="0.25">
      <c r="A226" s="78" t="s">
        <v>27</v>
      </c>
      <c r="B226" s="73">
        <v>38533</v>
      </c>
      <c r="C226" s="79">
        <v>500</v>
      </c>
      <c r="D226" s="79">
        <v>19266</v>
      </c>
      <c r="E226" s="79">
        <v>37377</v>
      </c>
      <c r="F226" s="79">
        <v>400</v>
      </c>
      <c r="G226" s="79">
        <v>19100</v>
      </c>
      <c r="H226" s="79">
        <v>2114</v>
      </c>
      <c r="I226" s="79">
        <v>515</v>
      </c>
      <c r="J226" s="79">
        <v>1088</v>
      </c>
      <c r="K226" s="79">
        <v>33200</v>
      </c>
      <c r="L226" s="79">
        <v>700</v>
      </c>
      <c r="M226" s="79">
        <v>23240</v>
      </c>
      <c r="N226" s="79">
        <v>5113</v>
      </c>
      <c r="O226" s="79">
        <v>325</v>
      </c>
      <c r="P226" s="79">
        <v>1661</v>
      </c>
      <c r="Q226" s="80" t="s">
        <v>18</v>
      </c>
      <c r="R226" s="80" t="s">
        <v>18</v>
      </c>
      <c r="S226" s="80" t="s">
        <v>18</v>
      </c>
      <c r="T226" s="79">
        <v>747</v>
      </c>
      <c r="U226" s="79">
        <v>430</v>
      </c>
      <c r="V226" s="79">
        <v>321</v>
      </c>
      <c r="W226" s="79">
        <v>117084</v>
      </c>
      <c r="X226" s="79">
        <v>64355</v>
      </c>
      <c r="Y226" s="66"/>
      <c r="Z226" s="66"/>
      <c r="AA226" s="66"/>
      <c r="AB226" s="66"/>
      <c r="AC226" s="66"/>
    </row>
    <row r="227" spans="1:29" x14ac:dyDescent="0.25">
      <c r="A227" s="78" t="s">
        <v>67</v>
      </c>
      <c r="B227" s="73">
        <v>34234</v>
      </c>
      <c r="C227" s="79">
        <v>312</v>
      </c>
      <c r="D227" s="79">
        <v>10681</v>
      </c>
      <c r="E227" s="79">
        <v>41050</v>
      </c>
      <c r="F227" s="79">
        <v>591</v>
      </c>
      <c r="G227" s="79">
        <v>24260</v>
      </c>
      <c r="H227" s="79">
        <v>6060</v>
      </c>
      <c r="I227" s="79">
        <v>825</v>
      </c>
      <c r="J227" s="79">
        <v>5000</v>
      </c>
      <c r="K227" s="79">
        <v>9163</v>
      </c>
      <c r="L227" s="79">
        <v>1321</v>
      </c>
      <c r="M227" s="79">
        <v>12104</v>
      </c>
      <c r="N227" s="80" t="s">
        <v>18</v>
      </c>
      <c r="O227" s="80" t="s">
        <v>18</v>
      </c>
      <c r="P227" s="80" t="s">
        <v>18</v>
      </c>
      <c r="Q227" s="80" t="s">
        <v>18</v>
      </c>
      <c r="R227" s="80" t="s">
        <v>18</v>
      </c>
      <c r="S227" s="80" t="s">
        <v>18</v>
      </c>
      <c r="T227" s="79">
        <v>139</v>
      </c>
      <c r="U227" s="79">
        <v>307</v>
      </c>
      <c r="V227" s="79">
        <v>42</v>
      </c>
      <c r="W227" s="79">
        <v>90646</v>
      </c>
      <c r="X227" s="79">
        <v>52087</v>
      </c>
      <c r="Y227" s="66"/>
      <c r="Z227" s="66"/>
      <c r="AA227" s="66"/>
      <c r="AB227" s="66"/>
      <c r="AC227" s="66"/>
    </row>
    <row r="228" spans="1:29" x14ac:dyDescent="0.25">
      <c r="A228" s="78" t="s">
        <v>29</v>
      </c>
      <c r="B228" s="73">
        <v>20089</v>
      </c>
      <c r="C228" s="79">
        <v>505</v>
      </c>
      <c r="D228" s="79">
        <v>10144</v>
      </c>
      <c r="E228" s="79">
        <v>75283</v>
      </c>
      <c r="F228" s="79">
        <v>764</v>
      </c>
      <c r="G228" s="79">
        <v>57516</v>
      </c>
      <c r="H228" s="79">
        <v>3130</v>
      </c>
      <c r="I228" s="79">
        <v>660</v>
      </c>
      <c r="J228" s="79">
        <v>2066</v>
      </c>
      <c r="K228" s="79">
        <v>2446</v>
      </c>
      <c r="L228" s="79">
        <v>600</v>
      </c>
      <c r="M228" s="79">
        <v>1200</v>
      </c>
      <c r="N228" s="79">
        <v>150</v>
      </c>
      <c r="O228" s="79">
        <v>800</v>
      </c>
      <c r="P228" s="79">
        <v>120</v>
      </c>
      <c r="Q228" s="80" t="s">
        <v>18</v>
      </c>
      <c r="R228" s="80" t="s">
        <v>18</v>
      </c>
      <c r="S228" s="80" t="s">
        <v>18</v>
      </c>
      <c r="T228" s="80" t="s">
        <v>18</v>
      </c>
      <c r="U228" s="80" t="s">
        <v>18</v>
      </c>
      <c r="V228" s="80" t="s">
        <v>18</v>
      </c>
      <c r="W228" s="79">
        <v>101098</v>
      </c>
      <c r="X228" s="79">
        <v>71046</v>
      </c>
      <c r="Y228" s="66"/>
      <c r="Z228" s="66"/>
      <c r="AA228" s="66"/>
      <c r="AB228" s="66"/>
      <c r="AC228" s="66"/>
    </row>
    <row r="229" spans="1:29" x14ac:dyDescent="0.25">
      <c r="A229" s="78" t="s">
        <v>30</v>
      </c>
      <c r="B229" s="73">
        <v>43628</v>
      </c>
      <c r="C229" s="79">
        <v>598</v>
      </c>
      <c r="D229" s="79">
        <v>26089</v>
      </c>
      <c r="E229" s="79">
        <v>93730</v>
      </c>
      <c r="F229" s="79">
        <v>644</v>
      </c>
      <c r="G229" s="79">
        <v>60632</v>
      </c>
      <c r="H229" s="79">
        <v>6868</v>
      </c>
      <c r="I229" s="79">
        <v>728</v>
      </c>
      <c r="J229" s="79">
        <v>5000</v>
      </c>
      <c r="K229" s="79">
        <v>4179</v>
      </c>
      <c r="L229" s="79">
        <v>600</v>
      </c>
      <c r="M229" s="79">
        <v>2507</v>
      </c>
      <c r="N229" s="79">
        <v>835</v>
      </c>
      <c r="O229" s="79">
        <v>835</v>
      </c>
      <c r="P229" s="79">
        <v>835</v>
      </c>
      <c r="Q229" s="80" t="s">
        <v>18</v>
      </c>
      <c r="R229" s="80" t="s">
        <v>18</v>
      </c>
      <c r="S229" s="80" t="s">
        <v>18</v>
      </c>
      <c r="T229" s="80" t="s">
        <v>18</v>
      </c>
      <c r="U229" s="80" t="s">
        <v>18</v>
      </c>
      <c r="V229" s="80" t="s">
        <v>18</v>
      </c>
      <c r="W229" s="79">
        <v>149240</v>
      </c>
      <c r="X229" s="79">
        <v>95063</v>
      </c>
      <c r="Y229" s="66"/>
      <c r="Z229" s="66"/>
      <c r="AA229" s="66"/>
      <c r="AB229" s="66"/>
      <c r="AC229" s="66"/>
    </row>
    <row r="230" spans="1:29" x14ac:dyDescent="0.25">
      <c r="A230" s="85" t="s">
        <v>31</v>
      </c>
      <c r="B230" s="90">
        <v>164712</v>
      </c>
      <c r="C230" s="152">
        <v>490</v>
      </c>
      <c r="D230" s="152">
        <v>80632</v>
      </c>
      <c r="E230" s="152">
        <v>356572</v>
      </c>
      <c r="F230" s="152">
        <v>714</v>
      </c>
      <c r="G230" s="152">
        <v>254597</v>
      </c>
      <c r="H230" s="152">
        <v>29272</v>
      </c>
      <c r="I230" s="152">
        <v>620</v>
      </c>
      <c r="J230" s="152">
        <v>18154</v>
      </c>
      <c r="K230" s="152">
        <v>84309</v>
      </c>
      <c r="L230" s="152">
        <v>990</v>
      </c>
      <c r="M230" s="152">
        <v>83449</v>
      </c>
      <c r="N230" s="152">
        <v>28383</v>
      </c>
      <c r="O230" s="152">
        <v>733</v>
      </c>
      <c r="P230" s="152">
        <v>20800</v>
      </c>
      <c r="Q230" s="75" t="s">
        <v>18</v>
      </c>
      <c r="R230" s="75" t="s">
        <v>18</v>
      </c>
      <c r="S230" s="75" t="s">
        <v>18</v>
      </c>
      <c r="T230" s="152">
        <v>886</v>
      </c>
      <c r="U230" s="152">
        <v>410</v>
      </c>
      <c r="V230" s="152">
        <v>363</v>
      </c>
      <c r="W230" s="152">
        <v>664134</v>
      </c>
      <c r="X230" s="152">
        <v>457995</v>
      </c>
      <c r="Y230" s="66"/>
      <c r="Z230" s="66"/>
      <c r="AA230" s="66"/>
      <c r="AB230" s="66"/>
      <c r="AC230" s="66"/>
    </row>
    <row r="231" spans="1:29" x14ac:dyDescent="0.25">
      <c r="A231" s="78" t="s">
        <v>32</v>
      </c>
      <c r="B231" s="73">
        <v>791753</v>
      </c>
      <c r="C231" s="79">
        <v>327</v>
      </c>
      <c r="D231" s="79">
        <v>258828</v>
      </c>
      <c r="E231" s="79">
        <v>641709</v>
      </c>
      <c r="F231" s="79">
        <v>641</v>
      </c>
      <c r="G231" s="79">
        <v>391714</v>
      </c>
      <c r="H231" s="79">
        <v>85014</v>
      </c>
      <c r="I231" s="79">
        <v>718</v>
      </c>
      <c r="J231" s="79">
        <v>64014</v>
      </c>
      <c r="K231" s="79">
        <v>89826</v>
      </c>
      <c r="L231" s="79">
        <v>1031</v>
      </c>
      <c r="M231" s="79">
        <v>92624</v>
      </c>
      <c r="N231" s="79">
        <v>138024</v>
      </c>
      <c r="O231" s="79">
        <v>864</v>
      </c>
      <c r="P231" s="79">
        <v>119284</v>
      </c>
      <c r="Q231" s="79">
        <v>1875</v>
      </c>
      <c r="R231" s="80">
        <v>1434</v>
      </c>
      <c r="S231" s="79">
        <v>2688</v>
      </c>
      <c r="T231" s="79">
        <v>886</v>
      </c>
      <c r="U231" s="153">
        <v>410</v>
      </c>
      <c r="V231" s="79">
        <v>363</v>
      </c>
      <c r="W231" s="79">
        <v>1742250</v>
      </c>
      <c r="X231" s="79">
        <v>929515</v>
      </c>
      <c r="Y231" s="66"/>
      <c r="Z231" s="66"/>
      <c r="AA231" s="66"/>
      <c r="AB231" s="66"/>
      <c r="AC231" s="66"/>
    </row>
    <row r="232" spans="1:29" x14ac:dyDescent="0.25">
      <c r="A232" s="86"/>
      <c r="B232" s="86"/>
      <c r="C232" s="86"/>
      <c r="D232" s="86"/>
      <c r="E232" s="86"/>
      <c r="F232" s="86"/>
      <c r="G232" s="86"/>
      <c r="H232" s="86"/>
      <c r="I232" s="86"/>
      <c r="J232" s="86"/>
      <c r="K232" s="86"/>
      <c r="L232" s="86"/>
      <c r="M232" s="86"/>
      <c r="N232" s="86"/>
      <c r="O232" s="86"/>
      <c r="P232" s="86"/>
      <c r="Q232" s="86"/>
      <c r="R232" s="86"/>
      <c r="S232" s="86"/>
      <c r="T232" s="86"/>
      <c r="U232" s="86"/>
      <c r="V232" s="86"/>
      <c r="W232" s="86"/>
      <c r="X232" s="86"/>
      <c r="Y232" s="66"/>
      <c r="Z232" s="66"/>
      <c r="AA232" s="66"/>
      <c r="AB232" s="66"/>
      <c r="AC232" s="66"/>
    </row>
    <row r="233" spans="1:29" x14ac:dyDescent="0.25">
      <c r="A233" s="86"/>
      <c r="B233" s="65" t="s">
        <v>68</v>
      </c>
      <c r="C233" s="86"/>
      <c r="D233" s="86"/>
      <c r="E233" s="86"/>
      <c r="F233" s="86"/>
      <c r="G233" s="86"/>
      <c r="H233" s="86"/>
      <c r="I233" s="86"/>
      <c r="J233" s="86"/>
      <c r="K233" s="86"/>
      <c r="L233" s="87" t="s">
        <v>34</v>
      </c>
      <c r="M233" s="86"/>
      <c r="N233" s="66"/>
      <c r="O233" s="87" t="s">
        <v>35</v>
      </c>
      <c r="P233" s="66"/>
      <c r="Q233" s="86"/>
      <c r="R233" s="86"/>
      <c r="S233" s="86"/>
      <c r="T233" s="86"/>
      <c r="U233" s="86"/>
      <c r="V233" s="86"/>
      <c r="W233" s="86"/>
      <c r="X233" s="86"/>
      <c r="Y233" s="66"/>
      <c r="Z233" s="66"/>
      <c r="AA233" s="66"/>
      <c r="AB233" s="66"/>
      <c r="AC233" s="66"/>
    </row>
    <row r="234" spans="1:29" x14ac:dyDescent="0.25">
      <c r="A234" s="115" t="s">
        <v>2</v>
      </c>
      <c r="B234" s="116"/>
      <c r="C234" s="69" t="s">
        <v>37</v>
      </c>
      <c r="D234" s="70"/>
      <c r="E234" s="68"/>
      <c r="F234" s="69" t="s">
        <v>38</v>
      </c>
      <c r="G234" s="70"/>
      <c r="H234" s="68"/>
      <c r="I234" s="69" t="s">
        <v>69</v>
      </c>
      <c r="J234" s="70"/>
      <c r="K234" s="68"/>
      <c r="L234" s="71" t="s">
        <v>70</v>
      </c>
      <c r="M234" s="70"/>
      <c r="N234" s="68"/>
      <c r="O234" s="71" t="s">
        <v>41</v>
      </c>
      <c r="P234" s="70"/>
      <c r="Q234" s="68"/>
      <c r="R234" s="71" t="s">
        <v>54</v>
      </c>
      <c r="S234" s="70"/>
      <c r="T234" s="68"/>
      <c r="U234" s="71" t="s">
        <v>43</v>
      </c>
      <c r="V234" s="70"/>
      <c r="W234" s="154"/>
      <c r="X234" s="155" t="s">
        <v>57</v>
      </c>
      <c r="Y234" s="66"/>
      <c r="Z234" s="66"/>
      <c r="AA234" s="66"/>
      <c r="AB234" s="66"/>
      <c r="AC234" s="66"/>
    </row>
    <row r="235" spans="1:29" ht="15.75" thickBot="1" x14ac:dyDescent="0.3">
      <c r="A235" s="156" t="s">
        <v>11</v>
      </c>
      <c r="B235" s="106" t="s">
        <v>12</v>
      </c>
      <c r="C235" s="106" t="s">
        <v>13</v>
      </c>
      <c r="D235" s="106" t="s">
        <v>14</v>
      </c>
      <c r="E235" s="106" t="s">
        <v>12</v>
      </c>
      <c r="F235" s="106" t="s">
        <v>13</v>
      </c>
      <c r="G235" s="106" t="s">
        <v>14</v>
      </c>
      <c r="H235" s="106" t="s">
        <v>12</v>
      </c>
      <c r="I235" s="106" t="s">
        <v>13</v>
      </c>
      <c r="J235" s="106" t="s">
        <v>14</v>
      </c>
      <c r="K235" s="106" t="s">
        <v>12</v>
      </c>
      <c r="L235" s="106" t="s">
        <v>13</v>
      </c>
      <c r="M235" s="106" t="s">
        <v>14</v>
      </c>
      <c r="N235" s="106" t="s">
        <v>12</v>
      </c>
      <c r="O235" s="106" t="s">
        <v>13</v>
      </c>
      <c r="P235" s="106" t="s">
        <v>14</v>
      </c>
      <c r="Q235" s="106" t="s">
        <v>12</v>
      </c>
      <c r="R235" s="106" t="s">
        <v>13</v>
      </c>
      <c r="S235" s="106" t="s">
        <v>14</v>
      </c>
      <c r="T235" s="106" t="s">
        <v>12</v>
      </c>
      <c r="U235" s="106" t="s">
        <v>13</v>
      </c>
      <c r="V235" s="106" t="s">
        <v>14</v>
      </c>
      <c r="W235" s="145" t="s">
        <v>12</v>
      </c>
      <c r="X235" s="145" t="s">
        <v>14</v>
      </c>
      <c r="Y235" s="66"/>
      <c r="Z235" s="66"/>
      <c r="AA235" s="66"/>
      <c r="AB235" s="66"/>
      <c r="AC235" s="66"/>
    </row>
    <row r="236" spans="1:29" ht="15.75" thickTop="1" x14ac:dyDescent="0.25">
      <c r="A236" s="107" t="s">
        <v>15</v>
      </c>
      <c r="B236" s="108">
        <v>1800</v>
      </c>
      <c r="C236" s="108">
        <v>340</v>
      </c>
      <c r="D236" s="108">
        <v>6120</v>
      </c>
      <c r="E236" s="108">
        <v>4300</v>
      </c>
      <c r="F236" s="108">
        <v>100</v>
      </c>
      <c r="G236" s="108">
        <v>430</v>
      </c>
      <c r="H236" s="108">
        <v>10800</v>
      </c>
      <c r="I236" s="108">
        <v>300</v>
      </c>
      <c r="J236" s="108">
        <v>3240</v>
      </c>
      <c r="K236" s="77" t="s">
        <v>18</v>
      </c>
      <c r="L236" s="77" t="s">
        <v>18</v>
      </c>
      <c r="M236" s="77" t="s">
        <v>18</v>
      </c>
      <c r="N236" s="77" t="s">
        <v>18</v>
      </c>
      <c r="O236" s="77" t="s">
        <v>18</v>
      </c>
      <c r="P236" s="77" t="s">
        <v>18</v>
      </c>
      <c r="Q236" s="77" t="s">
        <v>18</v>
      </c>
      <c r="R236" s="77" t="s">
        <v>18</v>
      </c>
      <c r="S236" s="77" t="s">
        <v>18</v>
      </c>
      <c r="T236" s="77" t="s">
        <v>18</v>
      </c>
      <c r="U236" s="77" t="s">
        <v>18</v>
      </c>
      <c r="V236" s="77" t="s">
        <v>18</v>
      </c>
      <c r="W236" s="108">
        <v>16900</v>
      </c>
      <c r="X236" s="108">
        <v>9790</v>
      </c>
      <c r="Y236" s="66"/>
      <c r="Z236" s="66"/>
      <c r="AA236" s="66"/>
      <c r="AB236" s="66"/>
      <c r="AC236" s="66"/>
    </row>
    <row r="237" spans="1:29" x14ac:dyDescent="0.25">
      <c r="A237" s="78" t="s">
        <v>49</v>
      </c>
      <c r="B237" s="80"/>
      <c r="C237" s="80"/>
      <c r="D237" s="80"/>
      <c r="E237" s="80"/>
      <c r="F237" s="80"/>
      <c r="G237" s="80"/>
      <c r="H237" s="80"/>
      <c r="I237" s="80"/>
      <c r="J237" s="80"/>
      <c r="K237" s="80"/>
      <c r="L237" s="80"/>
      <c r="M237" s="80"/>
      <c r="N237" s="80"/>
      <c r="O237" s="80"/>
      <c r="P237" s="80"/>
      <c r="Q237" s="80"/>
      <c r="R237" s="80"/>
      <c r="S237" s="80"/>
      <c r="T237" s="80"/>
      <c r="U237" s="80"/>
      <c r="V237" s="80"/>
      <c r="W237" s="157"/>
      <c r="X237" s="80"/>
      <c r="Y237" s="66"/>
      <c r="Z237" s="66"/>
      <c r="AA237" s="66"/>
      <c r="AB237" s="66"/>
      <c r="AC237" s="66"/>
    </row>
    <row r="238" spans="1:29" x14ac:dyDescent="0.25">
      <c r="A238" s="78" t="s">
        <v>17</v>
      </c>
      <c r="B238" s="79">
        <v>9000</v>
      </c>
      <c r="C238" s="79">
        <v>22</v>
      </c>
      <c r="D238" s="79">
        <v>198</v>
      </c>
      <c r="E238" s="79">
        <v>2484</v>
      </c>
      <c r="F238" s="79">
        <v>60</v>
      </c>
      <c r="G238" s="79">
        <v>150</v>
      </c>
      <c r="H238" s="79">
        <v>1537</v>
      </c>
      <c r="I238" s="79">
        <v>150</v>
      </c>
      <c r="J238" s="79">
        <v>230</v>
      </c>
      <c r="K238" s="80" t="s">
        <v>18</v>
      </c>
      <c r="L238" s="80" t="s">
        <v>18</v>
      </c>
      <c r="M238" s="80" t="s">
        <v>18</v>
      </c>
      <c r="N238" s="80" t="s">
        <v>18</v>
      </c>
      <c r="O238" s="80" t="s">
        <v>18</v>
      </c>
      <c r="P238" s="80" t="s">
        <v>18</v>
      </c>
      <c r="Q238" s="80" t="s">
        <v>18</v>
      </c>
      <c r="R238" s="80" t="s">
        <v>18</v>
      </c>
      <c r="S238" s="80" t="s">
        <v>18</v>
      </c>
      <c r="T238" s="80" t="s">
        <v>18</v>
      </c>
      <c r="U238" s="80" t="s">
        <v>18</v>
      </c>
      <c r="V238" s="80" t="s">
        <v>18</v>
      </c>
      <c r="W238" s="79">
        <v>13021</v>
      </c>
      <c r="X238" s="79">
        <v>578</v>
      </c>
      <c r="Y238" s="66"/>
      <c r="Z238" s="66"/>
      <c r="AA238" s="66"/>
      <c r="AB238" s="66"/>
      <c r="AC238" s="66"/>
    </row>
    <row r="239" spans="1:29" x14ac:dyDescent="0.25">
      <c r="A239" s="78" t="s">
        <v>46</v>
      </c>
      <c r="B239" s="79">
        <v>58544</v>
      </c>
      <c r="C239" s="79">
        <v>550</v>
      </c>
      <c r="D239" s="79">
        <v>32200</v>
      </c>
      <c r="E239" s="79">
        <v>6111</v>
      </c>
      <c r="F239" s="79">
        <v>200</v>
      </c>
      <c r="G239" s="79">
        <v>1222</v>
      </c>
      <c r="H239" s="79">
        <v>26886</v>
      </c>
      <c r="I239" s="79">
        <v>440</v>
      </c>
      <c r="J239" s="79">
        <v>11830</v>
      </c>
      <c r="K239" s="79">
        <v>477</v>
      </c>
      <c r="L239" s="79">
        <v>500</v>
      </c>
      <c r="M239" s="79">
        <v>238</v>
      </c>
      <c r="N239" s="80" t="s">
        <v>18</v>
      </c>
      <c r="O239" s="80" t="s">
        <v>18</v>
      </c>
      <c r="P239" s="80" t="s">
        <v>18</v>
      </c>
      <c r="Q239" s="80" t="s">
        <v>18</v>
      </c>
      <c r="R239" s="80" t="s">
        <v>18</v>
      </c>
      <c r="S239" s="80" t="s">
        <v>18</v>
      </c>
      <c r="T239" s="80" t="s">
        <v>18</v>
      </c>
      <c r="U239" s="80" t="s">
        <v>18</v>
      </c>
      <c r="V239" s="80" t="s">
        <v>18</v>
      </c>
      <c r="W239" s="79">
        <v>92018</v>
      </c>
      <c r="X239" s="79">
        <v>45490</v>
      </c>
      <c r="Y239" s="66"/>
      <c r="Z239" s="66"/>
      <c r="AA239" s="66"/>
      <c r="AB239" s="66"/>
      <c r="AC239" s="66"/>
    </row>
    <row r="240" spans="1:29" x14ac:dyDescent="0.25">
      <c r="A240" s="78" t="s">
        <v>20</v>
      </c>
      <c r="B240" s="79">
        <v>21835</v>
      </c>
      <c r="C240" s="79">
        <v>500</v>
      </c>
      <c r="D240" s="79">
        <v>10918</v>
      </c>
      <c r="E240" s="79">
        <v>15500</v>
      </c>
      <c r="F240" s="79">
        <v>400</v>
      </c>
      <c r="G240" s="79">
        <v>6200</v>
      </c>
      <c r="H240" s="79">
        <v>13175</v>
      </c>
      <c r="I240" s="79">
        <v>425</v>
      </c>
      <c r="J240" s="79">
        <v>5600</v>
      </c>
      <c r="K240" s="79">
        <v>897</v>
      </c>
      <c r="L240" s="79">
        <v>550</v>
      </c>
      <c r="M240" s="79">
        <v>492</v>
      </c>
      <c r="N240" s="80" t="s">
        <v>18</v>
      </c>
      <c r="O240" s="80" t="s">
        <v>18</v>
      </c>
      <c r="P240" s="80" t="s">
        <v>18</v>
      </c>
      <c r="Q240" s="80" t="s">
        <v>18</v>
      </c>
      <c r="R240" s="80" t="s">
        <v>18</v>
      </c>
      <c r="S240" s="80" t="s">
        <v>18</v>
      </c>
      <c r="T240" s="80" t="s">
        <v>18</v>
      </c>
      <c r="U240" s="80" t="s">
        <v>18</v>
      </c>
      <c r="V240" s="80" t="s">
        <v>18</v>
      </c>
      <c r="W240" s="79">
        <v>51407</v>
      </c>
      <c r="X240" s="79">
        <v>23210</v>
      </c>
      <c r="Y240" s="66"/>
      <c r="Z240" s="66"/>
      <c r="AA240" s="66"/>
      <c r="AB240" s="66"/>
      <c r="AC240" s="66"/>
    </row>
    <row r="241" spans="1:29" x14ac:dyDescent="0.25">
      <c r="A241" s="78" t="s">
        <v>21</v>
      </c>
      <c r="B241" s="79">
        <v>468</v>
      </c>
      <c r="C241" s="79">
        <v>300</v>
      </c>
      <c r="D241" s="79">
        <v>140</v>
      </c>
      <c r="E241" s="80" t="s">
        <v>18</v>
      </c>
      <c r="F241" s="80" t="s">
        <v>18</v>
      </c>
      <c r="G241" s="80" t="s">
        <v>18</v>
      </c>
      <c r="H241" s="79">
        <v>2380</v>
      </c>
      <c r="I241" s="79">
        <v>335</v>
      </c>
      <c r="J241" s="79">
        <v>798</v>
      </c>
      <c r="K241" s="80" t="s">
        <v>18</v>
      </c>
      <c r="L241" s="80" t="s">
        <v>18</v>
      </c>
      <c r="M241" s="80" t="s">
        <v>18</v>
      </c>
      <c r="N241" s="80" t="s">
        <v>18</v>
      </c>
      <c r="O241" s="80" t="s">
        <v>18</v>
      </c>
      <c r="P241" s="80" t="s">
        <v>18</v>
      </c>
      <c r="Q241" s="80" t="s">
        <v>18</v>
      </c>
      <c r="R241" s="80" t="s">
        <v>18</v>
      </c>
      <c r="S241" s="80" t="s">
        <v>18</v>
      </c>
      <c r="T241" s="80" t="s">
        <v>18</v>
      </c>
      <c r="U241" s="80" t="s">
        <v>18</v>
      </c>
      <c r="V241" s="80" t="s">
        <v>18</v>
      </c>
      <c r="W241" s="79">
        <v>2948</v>
      </c>
      <c r="X241" s="79">
        <v>938</v>
      </c>
      <c r="Y241" s="66"/>
      <c r="Z241" s="66"/>
      <c r="AA241" s="66"/>
      <c r="AB241" s="66"/>
      <c r="AC241" s="66"/>
    </row>
    <row r="242" spans="1:29" x14ac:dyDescent="0.25">
      <c r="A242" s="78" t="s">
        <v>22</v>
      </c>
      <c r="B242" s="79">
        <v>163</v>
      </c>
      <c r="C242" s="79">
        <v>350</v>
      </c>
      <c r="D242" s="79">
        <v>57</v>
      </c>
      <c r="E242" s="80" t="s">
        <v>18</v>
      </c>
      <c r="F242" s="80" t="s">
        <v>18</v>
      </c>
      <c r="G242" s="80" t="s">
        <v>18</v>
      </c>
      <c r="H242" s="79">
        <v>2693</v>
      </c>
      <c r="I242" s="79">
        <v>600</v>
      </c>
      <c r="J242" s="79">
        <v>1615</v>
      </c>
      <c r="K242" s="79">
        <v>163</v>
      </c>
      <c r="L242" s="79">
        <v>600</v>
      </c>
      <c r="M242" s="79">
        <v>98</v>
      </c>
      <c r="N242" s="80" t="s">
        <v>18</v>
      </c>
      <c r="O242" s="80" t="s">
        <v>18</v>
      </c>
      <c r="P242" s="80" t="s">
        <v>18</v>
      </c>
      <c r="Q242" s="80" t="s">
        <v>18</v>
      </c>
      <c r="R242" s="80" t="s">
        <v>18</v>
      </c>
      <c r="S242" s="80" t="s">
        <v>18</v>
      </c>
      <c r="T242" s="80" t="s">
        <v>18</v>
      </c>
      <c r="U242" s="80" t="s">
        <v>18</v>
      </c>
      <c r="V242" s="80" t="s">
        <v>18</v>
      </c>
      <c r="W242" s="79">
        <v>3105</v>
      </c>
      <c r="X242" s="79">
        <v>1770</v>
      </c>
      <c r="Y242" s="66"/>
      <c r="Z242" s="66"/>
      <c r="AA242" s="66"/>
      <c r="AB242" s="66"/>
      <c r="AC242" s="66"/>
    </row>
    <row r="243" spans="1:29" x14ac:dyDescent="0.25">
      <c r="A243" s="78" t="s">
        <v>23</v>
      </c>
      <c r="B243" s="79">
        <v>88235</v>
      </c>
      <c r="C243" s="79">
        <v>670</v>
      </c>
      <c r="D243" s="79">
        <v>59117</v>
      </c>
      <c r="E243" s="79">
        <v>6550</v>
      </c>
      <c r="F243" s="79">
        <v>350</v>
      </c>
      <c r="G243" s="79">
        <v>2292</v>
      </c>
      <c r="H243" s="79">
        <v>8680</v>
      </c>
      <c r="I243" s="79">
        <v>1000</v>
      </c>
      <c r="J243" s="79">
        <v>8680</v>
      </c>
      <c r="K243" s="79">
        <v>249</v>
      </c>
      <c r="L243" s="79">
        <v>300</v>
      </c>
      <c r="M243" s="79">
        <v>75</v>
      </c>
      <c r="N243" s="80" t="s">
        <v>18</v>
      </c>
      <c r="O243" s="80" t="s">
        <v>18</v>
      </c>
      <c r="P243" s="80" t="s">
        <v>18</v>
      </c>
      <c r="Q243" s="80" t="s">
        <v>18</v>
      </c>
      <c r="R243" s="80" t="s">
        <v>18</v>
      </c>
      <c r="S243" s="80" t="s">
        <v>18</v>
      </c>
      <c r="T243" s="80" t="s">
        <v>18</v>
      </c>
      <c r="U243" s="80" t="s">
        <v>18</v>
      </c>
      <c r="V243" s="80" t="s">
        <v>18</v>
      </c>
      <c r="W243" s="79">
        <v>103714</v>
      </c>
      <c r="X243" s="79">
        <v>70164</v>
      </c>
      <c r="Y243" s="66"/>
      <c r="Z243" s="66"/>
      <c r="AA243" s="66"/>
      <c r="AB243" s="66"/>
      <c r="AC243" s="66"/>
    </row>
    <row r="244" spans="1:29" x14ac:dyDescent="0.25">
      <c r="A244" s="78" t="s">
        <v>24</v>
      </c>
      <c r="B244" s="79">
        <v>14126</v>
      </c>
      <c r="C244" s="79">
        <v>700</v>
      </c>
      <c r="D244" s="79">
        <v>9888</v>
      </c>
      <c r="E244" s="79">
        <v>2613</v>
      </c>
      <c r="F244" s="79">
        <v>250</v>
      </c>
      <c r="G244" s="79">
        <v>653</v>
      </c>
      <c r="H244" s="79">
        <v>1746</v>
      </c>
      <c r="I244" s="79">
        <v>1000</v>
      </c>
      <c r="J244" s="79">
        <v>1746</v>
      </c>
      <c r="K244" s="79">
        <v>42</v>
      </c>
      <c r="L244" s="79">
        <v>650</v>
      </c>
      <c r="M244" s="79">
        <v>27</v>
      </c>
      <c r="N244" s="80" t="s">
        <v>18</v>
      </c>
      <c r="O244" s="80" t="s">
        <v>18</v>
      </c>
      <c r="P244" s="80" t="s">
        <v>18</v>
      </c>
      <c r="Q244" s="80" t="s">
        <v>18</v>
      </c>
      <c r="R244" s="80" t="s">
        <v>18</v>
      </c>
      <c r="S244" s="80" t="s">
        <v>18</v>
      </c>
      <c r="T244" s="80" t="s">
        <v>18</v>
      </c>
      <c r="U244" s="80" t="s">
        <v>18</v>
      </c>
      <c r="V244" s="80" t="s">
        <v>18</v>
      </c>
      <c r="W244" s="79">
        <v>18527</v>
      </c>
      <c r="X244" s="79">
        <v>12314</v>
      </c>
      <c r="Y244" s="66"/>
      <c r="Z244" s="66"/>
      <c r="AA244" s="66"/>
      <c r="AB244" s="66"/>
      <c r="AC244" s="66"/>
    </row>
    <row r="245" spans="1:29" x14ac:dyDescent="0.25">
      <c r="A245" s="82" t="s">
        <v>25</v>
      </c>
      <c r="B245" s="112">
        <v>194171</v>
      </c>
      <c r="C245" s="112">
        <v>564</v>
      </c>
      <c r="D245" s="112">
        <v>118638</v>
      </c>
      <c r="E245" s="112">
        <v>37558</v>
      </c>
      <c r="F245" s="112">
        <v>291</v>
      </c>
      <c r="G245" s="112">
        <v>10947</v>
      </c>
      <c r="H245" s="112">
        <v>67897</v>
      </c>
      <c r="I245" s="112">
        <v>497</v>
      </c>
      <c r="J245" s="112">
        <v>33739</v>
      </c>
      <c r="K245" s="112">
        <v>1825</v>
      </c>
      <c r="L245" s="112">
        <v>509</v>
      </c>
      <c r="M245" s="112">
        <v>930</v>
      </c>
      <c r="N245" s="112"/>
      <c r="O245" s="112"/>
      <c r="P245" s="112"/>
      <c r="Q245" s="113" t="s">
        <v>18</v>
      </c>
      <c r="R245" s="113" t="s">
        <v>18</v>
      </c>
      <c r="S245" s="113" t="s">
        <v>18</v>
      </c>
      <c r="T245" s="113" t="s">
        <v>18</v>
      </c>
      <c r="U245" s="113" t="s">
        <v>18</v>
      </c>
      <c r="V245" s="113" t="s">
        <v>18</v>
      </c>
      <c r="W245" s="112">
        <f>SUM(W236:W244)</f>
        <v>301640</v>
      </c>
      <c r="X245" s="112">
        <f>SUM(X236:X244)</f>
        <v>164254</v>
      </c>
      <c r="Y245" s="66"/>
      <c r="Z245" s="66"/>
      <c r="AA245" s="66"/>
      <c r="AB245" s="66"/>
      <c r="AC245" s="66"/>
    </row>
    <row r="246" spans="1:29" x14ac:dyDescent="0.25">
      <c r="A246" s="78" t="s">
        <v>47</v>
      </c>
      <c r="B246" s="79">
        <v>43654</v>
      </c>
      <c r="C246" s="79">
        <v>1033</v>
      </c>
      <c r="D246" s="79">
        <v>45094</v>
      </c>
      <c r="E246" s="79">
        <v>16141</v>
      </c>
      <c r="F246" s="79">
        <v>408</v>
      </c>
      <c r="G246" s="79">
        <v>3424</v>
      </c>
      <c r="H246" s="79">
        <v>15181</v>
      </c>
      <c r="I246" s="79">
        <v>640</v>
      </c>
      <c r="J246" s="79">
        <v>9715</v>
      </c>
      <c r="K246" s="79">
        <v>3265</v>
      </c>
      <c r="L246" s="79">
        <v>800</v>
      </c>
      <c r="M246" s="79">
        <v>2612</v>
      </c>
      <c r="N246" s="80" t="s">
        <v>18</v>
      </c>
      <c r="O246" s="80" t="s">
        <v>18</v>
      </c>
      <c r="P246" s="80" t="s">
        <v>18</v>
      </c>
      <c r="Q246" s="80" t="s">
        <v>18</v>
      </c>
      <c r="R246" s="80" t="s">
        <v>18</v>
      </c>
      <c r="S246" s="80" t="s">
        <v>18</v>
      </c>
      <c r="T246" s="80" t="s">
        <v>18</v>
      </c>
      <c r="U246" s="80" t="s">
        <v>18</v>
      </c>
      <c r="V246" s="80" t="s">
        <v>18</v>
      </c>
      <c r="W246" s="79">
        <v>78241</v>
      </c>
      <c r="X246" s="79">
        <v>60845</v>
      </c>
      <c r="Y246" s="66"/>
      <c r="Z246" s="66"/>
      <c r="AA246" s="66"/>
      <c r="AB246" s="66"/>
      <c r="AC246" s="66"/>
    </row>
    <row r="247" spans="1:29" x14ac:dyDescent="0.25">
      <c r="A247" s="78" t="s">
        <v>27</v>
      </c>
      <c r="B247" s="79">
        <v>22190</v>
      </c>
      <c r="C247" s="79">
        <v>886</v>
      </c>
      <c r="D247" s="79">
        <v>19661</v>
      </c>
      <c r="E247" s="79">
        <v>3200</v>
      </c>
      <c r="F247" s="79">
        <v>527</v>
      </c>
      <c r="G247" s="79">
        <v>1686</v>
      </c>
      <c r="H247" s="79">
        <v>18204</v>
      </c>
      <c r="I247" s="79">
        <v>615</v>
      </c>
      <c r="J247" s="79">
        <v>11195</v>
      </c>
      <c r="K247" s="79">
        <v>4131</v>
      </c>
      <c r="L247" s="79">
        <v>720</v>
      </c>
      <c r="M247" s="79">
        <v>2974</v>
      </c>
      <c r="N247" s="80" t="s">
        <v>18</v>
      </c>
      <c r="O247" s="80" t="s">
        <v>18</v>
      </c>
      <c r="P247" s="80" t="s">
        <v>18</v>
      </c>
      <c r="Q247" s="80" t="s">
        <v>18</v>
      </c>
      <c r="R247" s="80" t="s">
        <v>18</v>
      </c>
      <c r="S247" s="80" t="s">
        <v>18</v>
      </c>
      <c r="T247" s="80" t="s">
        <v>18</v>
      </c>
      <c r="U247" s="80" t="s">
        <v>18</v>
      </c>
      <c r="V247" s="80" t="s">
        <v>18</v>
      </c>
      <c r="W247" s="79">
        <v>47725</v>
      </c>
      <c r="X247" s="79">
        <v>35516</v>
      </c>
      <c r="Y247" s="66"/>
      <c r="Z247" s="66"/>
      <c r="AA247" s="66"/>
      <c r="AB247" s="66"/>
      <c r="AC247" s="66"/>
    </row>
    <row r="248" spans="1:29" x14ac:dyDescent="0.25">
      <c r="A248" s="78" t="s">
        <v>71</v>
      </c>
      <c r="B248" s="79">
        <v>55823</v>
      </c>
      <c r="C248" s="79">
        <v>1138</v>
      </c>
      <c r="D248" s="79">
        <v>63526</v>
      </c>
      <c r="E248" s="79">
        <v>24000</v>
      </c>
      <c r="F248" s="79">
        <v>350</v>
      </c>
      <c r="G248" s="79">
        <v>8400</v>
      </c>
      <c r="H248" s="79">
        <v>5948</v>
      </c>
      <c r="I248" s="79">
        <v>350</v>
      </c>
      <c r="J248" s="79">
        <v>2081</v>
      </c>
      <c r="K248" s="79">
        <v>2864</v>
      </c>
      <c r="L248" s="79">
        <v>600</v>
      </c>
      <c r="M248" s="79">
        <v>1718</v>
      </c>
      <c r="N248" s="80" t="s">
        <v>18</v>
      </c>
      <c r="O248" s="80" t="s">
        <v>18</v>
      </c>
      <c r="P248" s="80" t="s">
        <v>18</v>
      </c>
      <c r="Q248" s="80" t="s">
        <v>18</v>
      </c>
      <c r="R248" s="80" t="s">
        <v>18</v>
      </c>
      <c r="S248" s="80" t="s">
        <v>18</v>
      </c>
      <c r="T248" s="80" t="s">
        <v>18</v>
      </c>
      <c r="U248" s="80" t="s">
        <v>18</v>
      </c>
      <c r="V248" s="80" t="s">
        <v>18</v>
      </c>
      <c r="W248" s="79">
        <v>88635</v>
      </c>
      <c r="X248" s="79">
        <v>75725</v>
      </c>
      <c r="Y248" s="66"/>
      <c r="Z248" s="66"/>
      <c r="AA248" s="66"/>
      <c r="AB248" s="66"/>
      <c r="AC248" s="66"/>
    </row>
    <row r="249" spans="1:29" x14ac:dyDescent="0.25">
      <c r="A249" s="78" t="s">
        <v>72</v>
      </c>
      <c r="B249" s="79">
        <v>38581</v>
      </c>
      <c r="C249" s="79">
        <v>941</v>
      </c>
      <c r="D249" s="79">
        <v>36305</v>
      </c>
      <c r="E249" s="79">
        <v>16032</v>
      </c>
      <c r="F249" s="79">
        <v>419</v>
      </c>
      <c r="G249" s="79">
        <v>6717</v>
      </c>
      <c r="H249" s="79">
        <v>6193</v>
      </c>
      <c r="I249" s="79">
        <v>570</v>
      </c>
      <c r="J249" s="79">
        <v>3530</v>
      </c>
      <c r="K249" s="79">
        <v>729</v>
      </c>
      <c r="L249" s="79">
        <v>640</v>
      </c>
      <c r="M249" s="79">
        <v>466</v>
      </c>
      <c r="N249" s="80" t="s">
        <v>18</v>
      </c>
      <c r="O249" s="80" t="s">
        <v>18</v>
      </c>
      <c r="P249" s="80" t="s">
        <v>18</v>
      </c>
      <c r="Q249" s="80" t="s">
        <v>18</v>
      </c>
      <c r="R249" s="80" t="s">
        <v>18</v>
      </c>
      <c r="S249" s="80" t="s">
        <v>18</v>
      </c>
      <c r="T249" s="80" t="s">
        <v>18</v>
      </c>
      <c r="U249" s="80" t="s">
        <v>18</v>
      </c>
      <c r="V249" s="80" t="s">
        <v>18</v>
      </c>
      <c r="W249" s="79">
        <v>61535</v>
      </c>
      <c r="X249" s="79">
        <v>47018</v>
      </c>
      <c r="Y249" s="66"/>
      <c r="Z249" s="66"/>
      <c r="AA249" s="66"/>
      <c r="AB249" s="66"/>
      <c r="AC249" s="66"/>
    </row>
    <row r="250" spans="1:29" x14ac:dyDescent="0.25">
      <c r="A250" s="78" t="s">
        <v>73</v>
      </c>
      <c r="B250" s="79">
        <v>67229</v>
      </c>
      <c r="C250" s="79">
        <v>1124</v>
      </c>
      <c r="D250" s="79">
        <v>75567</v>
      </c>
      <c r="E250" s="79">
        <v>5306</v>
      </c>
      <c r="F250" s="79">
        <v>347</v>
      </c>
      <c r="G250" s="79">
        <v>1840</v>
      </c>
      <c r="H250" s="79">
        <v>21040</v>
      </c>
      <c r="I250" s="79">
        <v>540</v>
      </c>
      <c r="J250" s="79">
        <v>11361</v>
      </c>
      <c r="K250" s="79">
        <v>11427</v>
      </c>
      <c r="L250" s="79">
        <v>1200</v>
      </c>
      <c r="M250" s="79">
        <v>13712</v>
      </c>
      <c r="N250" s="80" t="s">
        <v>18</v>
      </c>
      <c r="O250" s="80" t="s">
        <v>18</v>
      </c>
      <c r="P250" s="80" t="s">
        <v>18</v>
      </c>
      <c r="Q250" s="80" t="s">
        <v>18</v>
      </c>
      <c r="R250" s="80" t="s">
        <v>18</v>
      </c>
      <c r="S250" s="80" t="s">
        <v>18</v>
      </c>
      <c r="T250" s="80" t="s">
        <v>18</v>
      </c>
      <c r="U250" s="80" t="s">
        <v>18</v>
      </c>
      <c r="V250" s="80" t="s">
        <v>18</v>
      </c>
      <c r="W250" s="79">
        <v>105002</v>
      </c>
      <c r="X250" s="79">
        <v>102480</v>
      </c>
      <c r="Y250" s="66"/>
      <c r="Z250" s="66"/>
      <c r="AA250" s="66"/>
      <c r="AB250" s="66"/>
      <c r="AC250" s="66"/>
    </row>
    <row r="251" spans="1:29" x14ac:dyDescent="0.25">
      <c r="A251" s="85" t="s">
        <v>31</v>
      </c>
      <c r="B251" s="112">
        <v>227477</v>
      </c>
      <c r="C251" s="112">
        <v>1056</v>
      </c>
      <c r="D251" s="112">
        <v>240153</v>
      </c>
      <c r="E251" s="112">
        <v>64679</v>
      </c>
      <c r="F251" s="112">
        <v>341</v>
      </c>
      <c r="G251" s="112">
        <v>22067</v>
      </c>
      <c r="H251" s="112">
        <v>66566</v>
      </c>
      <c r="I251" s="112">
        <v>569</v>
      </c>
      <c r="J251" s="112">
        <v>37882</v>
      </c>
      <c r="K251" s="112">
        <v>22416</v>
      </c>
      <c r="L251" s="112">
        <v>958</v>
      </c>
      <c r="M251" s="112">
        <v>21482</v>
      </c>
      <c r="N251" s="113" t="s">
        <v>18</v>
      </c>
      <c r="O251" s="112"/>
      <c r="P251" s="113" t="s">
        <v>18</v>
      </c>
      <c r="Q251" s="113" t="s">
        <v>18</v>
      </c>
      <c r="R251" s="112"/>
      <c r="S251" s="113" t="s">
        <v>18</v>
      </c>
      <c r="T251" s="113" t="s">
        <v>18</v>
      </c>
      <c r="U251" s="112"/>
      <c r="V251" s="113" t="s">
        <v>18</v>
      </c>
      <c r="W251" s="112">
        <v>381138</v>
      </c>
      <c r="X251" s="112">
        <v>321584</v>
      </c>
      <c r="Y251" s="66"/>
      <c r="Z251" s="66"/>
      <c r="AA251" s="66"/>
      <c r="AB251" s="66"/>
      <c r="AC251" s="66"/>
    </row>
    <row r="252" spans="1:29" x14ac:dyDescent="0.25">
      <c r="A252" s="78" t="s">
        <v>32</v>
      </c>
      <c r="B252" s="79">
        <v>421648</v>
      </c>
      <c r="C252" s="79">
        <v>851</v>
      </c>
      <c r="D252" s="79">
        <v>358791</v>
      </c>
      <c r="E252" s="79">
        <v>102237</v>
      </c>
      <c r="F252" s="79">
        <v>323</v>
      </c>
      <c r="G252" s="79">
        <v>33014</v>
      </c>
      <c r="H252" s="79">
        <v>134463</v>
      </c>
      <c r="I252" s="79">
        <v>533</v>
      </c>
      <c r="J252" s="79">
        <v>71621</v>
      </c>
      <c r="K252" s="79">
        <v>24241</v>
      </c>
      <c r="L252" s="79">
        <v>925</v>
      </c>
      <c r="M252" s="79">
        <v>22412</v>
      </c>
      <c r="N252" s="80" t="s">
        <v>18</v>
      </c>
      <c r="O252" s="79"/>
      <c r="P252" s="80" t="s">
        <v>18</v>
      </c>
      <c r="Q252" s="80" t="s">
        <v>18</v>
      </c>
      <c r="R252" s="79"/>
      <c r="S252" s="80" t="s">
        <v>18</v>
      </c>
      <c r="T252" s="80" t="s">
        <v>18</v>
      </c>
      <c r="U252" s="79"/>
      <c r="V252" s="80" t="s">
        <v>18</v>
      </c>
      <c r="W252" s="79">
        <v>698790</v>
      </c>
      <c r="X252" s="79">
        <v>485838</v>
      </c>
      <c r="Y252" s="66"/>
      <c r="Z252" s="66"/>
      <c r="AA252" s="66"/>
      <c r="AB252" s="66"/>
      <c r="AC252" s="66"/>
    </row>
    <row r="253" spans="1:29" x14ac:dyDescent="0.25">
      <c r="A253" s="95" t="s">
        <v>58</v>
      </c>
      <c r="B253" s="96"/>
      <c r="C253" s="96"/>
      <c r="D253" s="95" t="s">
        <v>59</v>
      </c>
      <c r="E253" s="96"/>
      <c r="F253" s="96"/>
      <c r="G253" s="96"/>
      <c r="H253" s="96"/>
      <c r="I253" s="95" t="s">
        <v>60</v>
      </c>
      <c r="J253" s="96"/>
      <c r="K253" s="96"/>
      <c r="L253" s="114"/>
      <c r="M253" s="114"/>
      <c r="N253" s="114"/>
      <c r="O253" s="114"/>
      <c r="P253" s="114"/>
      <c r="Q253" s="114"/>
      <c r="R253" s="114"/>
      <c r="S253" s="114"/>
      <c r="T253" s="114"/>
      <c r="U253" s="114"/>
      <c r="V253" s="114"/>
      <c r="W253" s="114"/>
      <c r="X253" s="114"/>
      <c r="Y253" s="114"/>
      <c r="Z253" s="114"/>
      <c r="AA253" s="114"/>
      <c r="AB253" s="114"/>
      <c r="AC253" s="114"/>
    </row>
    <row r="254" spans="1:29" x14ac:dyDescent="0.25">
      <c r="A254" s="95"/>
      <c r="B254" s="96"/>
      <c r="C254" s="96"/>
      <c r="D254" s="95"/>
      <c r="E254" s="96"/>
      <c r="F254" s="96"/>
      <c r="G254" s="96"/>
      <c r="H254" s="96"/>
      <c r="I254" s="95"/>
      <c r="J254" s="96"/>
      <c r="K254" s="96"/>
      <c r="L254" s="114"/>
      <c r="M254" s="114"/>
      <c r="N254" s="114"/>
      <c r="O254" s="114"/>
      <c r="P254" s="114"/>
      <c r="Q254" s="114"/>
      <c r="R254" s="114"/>
      <c r="S254" s="114"/>
      <c r="T254" s="114"/>
      <c r="U254" s="114"/>
      <c r="V254" s="114"/>
      <c r="W254" s="114"/>
      <c r="X254" s="114"/>
      <c r="Y254" s="114"/>
      <c r="Z254" s="114"/>
      <c r="AA254" s="114"/>
      <c r="AB254" s="114"/>
      <c r="AC254" s="114"/>
    </row>
    <row r="255" spans="1:29" x14ac:dyDescent="0.25">
      <c r="A255" s="64"/>
      <c r="B255" s="65" t="s">
        <v>0</v>
      </c>
      <c r="C255" s="64"/>
      <c r="D255" s="64"/>
      <c r="E255" s="64"/>
      <c r="F255" s="64"/>
      <c r="G255" s="64"/>
      <c r="H255" s="64"/>
      <c r="I255" s="65" t="s">
        <v>74</v>
      </c>
      <c r="J255" s="64"/>
      <c r="K255" s="64"/>
      <c r="L255" s="64"/>
      <c r="M255" s="64"/>
      <c r="N255" s="64"/>
      <c r="O255" s="64"/>
      <c r="P255" s="64"/>
      <c r="Q255" s="64"/>
      <c r="R255" s="66"/>
      <c r="S255" s="66"/>
      <c r="T255" s="66"/>
      <c r="U255" s="66"/>
      <c r="V255" s="66"/>
      <c r="W255" s="66"/>
      <c r="X255" s="66"/>
      <c r="Y255" s="66"/>
      <c r="Z255" s="66"/>
      <c r="AA255" s="66"/>
      <c r="AB255" s="66"/>
      <c r="AC255" s="66"/>
    </row>
    <row r="256" spans="1:29" x14ac:dyDescent="0.25">
      <c r="A256" s="158" t="s">
        <v>2</v>
      </c>
      <c r="B256" s="88"/>
      <c r="C256" s="89" t="s">
        <v>3</v>
      </c>
      <c r="D256" s="90"/>
      <c r="E256" s="88"/>
      <c r="F256" s="91" t="s">
        <v>4</v>
      </c>
      <c r="G256" s="90"/>
      <c r="H256" s="88"/>
      <c r="I256" s="89" t="s">
        <v>5</v>
      </c>
      <c r="J256" s="90"/>
      <c r="K256" s="88"/>
      <c r="L256" s="89" t="s">
        <v>6</v>
      </c>
      <c r="M256" s="90"/>
      <c r="N256" s="88"/>
      <c r="O256" s="89" t="s">
        <v>7</v>
      </c>
      <c r="P256" s="90"/>
      <c r="Q256" s="88"/>
      <c r="R256" s="91" t="s">
        <v>8</v>
      </c>
      <c r="S256" s="90"/>
      <c r="T256" s="88"/>
      <c r="U256" s="91" t="s">
        <v>9</v>
      </c>
      <c r="V256" s="90"/>
      <c r="W256" s="147" t="s">
        <v>10</v>
      </c>
      <c r="X256" s="73"/>
      <c r="Y256" s="66"/>
      <c r="Z256" s="66"/>
      <c r="AA256" s="66"/>
      <c r="AB256" s="66"/>
      <c r="AC256" s="66"/>
    </row>
    <row r="257" spans="1:29" ht="15.75" thickBot="1" x14ac:dyDescent="0.3">
      <c r="A257" s="148" t="s">
        <v>11</v>
      </c>
      <c r="B257" s="149" t="s">
        <v>12</v>
      </c>
      <c r="C257" s="125" t="s">
        <v>13</v>
      </c>
      <c r="D257" s="125" t="s">
        <v>14</v>
      </c>
      <c r="E257" s="125" t="s">
        <v>12</v>
      </c>
      <c r="F257" s="125" t="s">
        <v>13</v>
      </c>
      <c r="G257" s="125" t="s">
        <v>14</v>
      </c>
      <c r="H257" s="125" t="s">
        <v>12</v>
      </c>
      <c r="I257" s="125" t="s">
        <v>13</v>
      </c>
      <c r="J257" s="125" t="s">
        <v>14</v>
      </c>
      <c r="K257" s="125" t="s">
        <v>12</v>
      </c>
      <c r="L257" s="125" t="s">
        <v>13</v>
      </c>
      <c r="M257" s="125" t="s">
        <v>14</v>
      </c>
      <c r="N257" s="125" t="s">
        <v>12</v>
      </c>
      <c r="O257" s="125" t="s">
        <v>13</v>
      </c>
      <c r="P257" s="125" t="s">
        <v>14</v>
      </c>
      <c r="Q257" s="125" t="s">
        <v>12</v>
      </c>
      <c r="R257" s="125" t="s">
        <v>13</v>
      </c>
      <c r="S257" s="125" t="s">
        <v>14</v>
      </c>
      <c r="T257" s="125" t="s">
        <v>12</v>
      </c>
      <c r="U257" s="125" t="s">
        <v>13</v>
      </c>
      <c r="V257" s="125" t="s">
        <v>14</v>
      </c>
      <c r="W257" s="159" t="s">
        <v>12</v>
      </c>
      <c r="X257" s="159" t="s">
        <v>14</v>
      </c>
      <c r="Y257" s="66"/>
      <c r="Z257" s="66"/>
      <c r="AA257" s="66"/>
      <c r="AB257" s="66"/>
      <c r="AC257" s="66"/>
    </row>
    <row r="258" spans="1:29" ht="15.75" thickTop="1" x14ac:dyDescent="0.25">
      <c r="A258" s="107" t="s">
        <v>15</v>
      </c>
      <c r="B258" s="108">
        <v>139000</v>
      </c>
      <c r="C258" s="108">
        <v>304</v>
      </c>
      <c r="D258" s="108">
        <v>42256</v>
      </c>
      <c r="E258" s="108">
        <v>77250</v>
      </c>
      <c r="F258" s="108">
        <v>365</v>
      </c>
      <c r="G258" s="108">
        <v>28196</v>
      </c>
      <c r="H258" s="77" t="s">
        <v>18</v>
      </c>
      <c r="I258" s="77" t="s">
        <v>18</v>
      </c>
      <c r="J258" s="77" t="s">
        <v>18</v>
      </c>
      <c r="K258" s="77" t="s">
        <v>18</v>
      </c>
      <c r="L258" s="77" t="s">
        <v>18</v>
      </c>
      <c r="M258" s="77" t="s">
        <v>18</v>
      </c>
      <c r="N258" s="108">
        <v>24203</v>
      </c>
      <c r="O258" s="108">
        <v>451</v>
      </c>
      <c r="P258" s="108">
        <v>10922</v>
      </c>
      <c r="Q258" s="77" t="s">
        <v>18</v>
      </c>
      <c r="R258" s="77" t="s">
        <v>18</v>
      </c>
      <c r="S258" s="77" t="s">
        <v>18</v>
      </c>
      <c r="T258" s="77" t="s">
        <v>18</v>
      </c>
      <c r="U258" s="77" t="s">
        <v>18</v>
      </c>
      <c r="V258" s="77" t="s">
        <v>18</v>
      </c>
      <c r="W258" s="108">
        <v>240453</v>
      </c>
      <c r="X258" s="108">
        <v>81374</v>
      </c>
      <c r="Y258" s="66"/>
      <c r="Z258" s="66"/>
      <c r="AA258" s="66"/>
      <c r="AB258" s="66"/>
      <c r="AC258" s="66"/>
    </row>
    <row r="259" spans="1:29" x14ac:dyDescent="0.25">
      <c r="A259" s="78" t="s">
        <v>49</v>
      </c>
      <c r="B259" s="80"/>
      <c r="C259" s="80"/>
      <c r="D259" s="80"/>
      <c r="E259" s="80"/>
      <c r="F259" s="80"/>
      <c r="G259" s="80"/>
      <c r="H259" s="80"/>
      <c r="I259" s="80"/>
      <c r="J259" s="80"/>
      <c r="K259" s="80"/>
      <c r="L259" s="80"/>
      <c r="M259" s="80"/>
      <c r="N259" s="80"/>
      <c r="O259" s="80"/>
      <c r="P259" s="80"/>
      <c r="Q259" s="80"/>
      <c r="R259" s="80"/>
      <c r="S259" s="80"/>
      <c r="T259" s="80"/>
      <c r="U259" s="80"/>
      <c r="V259" s="80"/>
      <c r="W259" s="80"/>
      <c r="X259" s="80"/>
      <c r="Y259" s="66"/>
      <c r="Z259" s="66"/>
      <c r="AA259" s="66"/>
      <c r="AB259" s="66"/>
      <c r="AC259" s="66"/>
    </row>
    <row r="260" spans="1:29" x14ac:dyDescent="0.25">
      <c r="A260" s="78" t="s">
        <v>17</v>
      </c>
      <c r="B260" s="79">
        <v>68000</v>
      </c>
      <c r="C260" s="79">
        <v>300</v>
      </c>
      <c r="D260" s="79">
        <v>20400</v>
      </c>
      <c r="E260" s="79">
        <v>24800</v>
      </c>
      <c r="F260" s="79">
        <v>325</v>
      </c>
      <c r="G260" s="79">
        <v>8060</v>
      </c>
      <c r="H260" s="80" t="s">
        <v>18</v>
      </c>
      <c r="I260" s="80" t="s">
        <v>18</v>
      </c>
      <c r="J260" s="80" t="s">
        <v>18</v>
      </c>
      <c r="K260" s="80" t="s">
        <v>18</v>
      </c>
      <c r="L260" s="80" t="s">
        <v>18</v>
      </c>
      <c r="M260" s="80" t="s">
        <v>18</v>
      </c>
      <c r="N260" s="80" t="s">
        <v>18</v>
      </c>
      <c r="O260" s="80" t="s">
        <v>18</v>
      </c>
      <c r="P260" s="80" t="s">
        <v>18</v>
      </c>
      <c r="Q260" s="80" t="s">
        <v>18</v>
      </c>
      <c r="R260" s="80" t="s">
        <v>18</v>
      </c>
      <c r="S260" s="80" t="s">
        <v>18</v>
      </c>
      <c r="T260" s="80" t="s">
        <v>18</v>
      </c>
      <c r="U260" s="80" t="s">
        <v>18</v>
      </c>
      <c r="V260" s="80" t="s">
        <v>18</v>
      </c>
      <c r="W260" s="79">
        <v>92800</v>
      </c>
      <c r="X260" s="79">
        <v>28460</v>
      </c>
      <c r="Y260" s="66"/>
      <c r="Z260" s="66"/>
      <c r="AA260" s="66"/>
      <c r="AB260" s="66"/>
      <c r="AC260" s="66"/>
    </row>
    <row r="261" spans="1:29" x14ac:dyDescent="0.25">
      <c r="A261" s="78" t="s">
        <v>19</v>
      </c>
      <c r="B261" s="79">
        <v>171138</v>
      </c>
      <c r="C261" s="79">
        <v>528</v>
      </c>
      <c r="D261" s="79">
        <v>90360</v>
      </c>
      <c r="E261" s="79">
        <v>104900</v>
      </c>
      <c r="F261" s="79">
        <v>699</v>
      </c>
      <c r="G261" s="79">
        <v>73325</v>
      </c>
      <c r="H261" s="79">
        <v>21798</v>
      </c>
      <c r="I261" s="79">
        <v>1230</v>
      </c>
      <c r="J261" s="79">
        <v>26811</v>
      </c>
      <c r="K261" s="79">
        <v>564</v>
      </c>
      <c r="L261" s="79">
        <v>3200</v>
      </c>
      <c r="M261" s="79">
        <v>1804</v>
      </c>
      <c r="N261" s="79">
        <v>20623</v>
      </c>
      <c r="O261" s="79">
        <v>718</v>
      </c>
      <c r="P261" s="79">
        <v>14807</v>
      </c>
      <c r="Q261" s="80" t="s">
        <v>18</v>
      </c>
      <c r="R261" s="80" t="s">
        <v>18</v>
      </c>
      <c r="S261" s="80" t="s">
        <v>18</v>
      </c>
      <c r="T261" s="80" t="s">
        <v>18</v>
      </c>
      <c r="U261" s="80" t="s">
        <v>18</v>
      </c>
      <c r="V261" s="80" t="s">
        <v>18</v>
      </c>
      <c r="W261" s="79">
        <v>319023</v>
      </c>
      <c r="X261" s="79">
        <v>207107</v>
      </c>
      <c r="Y261" s="66"/>
      <c r="Z261" s="66"/>
      <c r="AA261" s="66"/>
      <c r="AB261" s="66"/>
      <c r="AC261" s="66"/>
    </row>
    <row r="262" spans="1:29" x14ac:dyDescent="0.25">
      <c r="A262" s="78" t="s">
        <v>20</v>
      </c>
      <c r="B262" s="79">
        <v>39029</v>
      </c>
      <c r="C262" s="79">
        <v>744</v>
      </c>
      <c r="D262" s="79">
        <v>29035</v>
      </c>
      <c r="E262" s="79">
        <v>73380</v>
      </c>
      <c r="F262" s="79">
        <v>664</v>
      </c>
      <c r="G262" s="79">
        <v>48747</v>
      </c>
      <c r="H262" s="79">
        <v>2680</v>
      </c>
      <c r="I262" s="79">
        <v>245</v>
      </c>
      <c r="J262" s="79">
        <v>657</v>
      </c>
      <c r="K262" s="79">
        <v>600</v>
      </c>
      <c r="L262" s="79">
        <v>1085</v>
      </c>
      <c r="M262" s="79">
        <v>651</v>
      </c>
      <c r="N262" s="79">
        <v>38572</v>
      </c>
      <c r="O262" s="79">
        <v>945</v>
      </c>
      <c r="P262" s="79">
        <v>36472</v>
      </c>
      <c r="Q262" s="80" t="s">
        <v>18</v>
      </c>
      <c r="R262" s="80" t="s">
        <v>18</v>
      </c>
      <c r="S262" s="80" t="s">
        <v>18</v>
      </c>
      <c r="T262" s="80" t="s">
        <v>18</v>
      </c>
      <c r="U262" s="80" t="s">
        <v>18</v>
      </c>
      <c r="V262" s="80" t="s">
        <v>18</v>
      </c>
      <c r="W262" s="79">
        <v>155394</v>
      </c>
      <c r="X262" s="79">
        <v>115562</v>
      </c>
      <c r="Y262" s="66"/>
      <c r="Z262" s="66"/>
      <c r="AA262" s="66"/>
      <c r="AB262" s="66"/>
      <c r="AC262" s="66"/>
    </row>
    <row r="263" spans="1:29" x14ac:dyDescent="0.25">
      <c r="A263" s="78" t="s">
        <v>21</v>
      </c>
      <c r="B263" s="79">
        <v>22630</v>
      </c>
      <c r="C263" s="79">
        <v>410</v>
      </c>
      <c r="D263" s="79">
        <v>9280</v>
      </c>
      <c r="E263" s="80" t="s">
        <v>18</v>
      </c>
      <c r="F263" s="80" t="s">
        <v>18</v>
      </c>
      <c r="G263" s="80" t="s">
        <v>18</v>
      </c>
      <c r="H263" s="79">
        <v>220</v>
      </c>
      <c r="I263" s="79">
        <v>2000</v>
      </c>
      <c r="J263" s="79">
        <v>440</v>
      </c>
      <c r="K263" s="80" t="s">
        <v>18</v>
      </c>
      <c r="L263" s="80" t="s">
        <v>18</v>
      </c>
      <c r="M263" s="80" t="s">
        <v>18</v>
      </c>
      <c r="N263" s="80" t="s">
        <v>18</v>
      </c>
      <c r="O263" s="80" t="s">
        <v>18</v>
      </c>
      <c r="P263" s="80" t="s">
        <v>18</v>
      </c>
      <c r="Q263" s="80" t="s">
        <v>18</v>
      </c>
      <c r="R263" s="80" t="s">
        <v>18</v>
      </c>
      <c r="S263" s="80" t="s">
        <v>18</v>
      </c>
      <c r="T263" s="80" t="s">
        <v>18</v>
      </c>
      <c r="U263" s="80" t="s">
        <v>18</v>
      </c>
      <c r="V263" s="80" t="s">
        <v>18</v>
      </c>
      <c r="W263" s="79">
        <v>23070</v>
      </c>
      <c r="X263" s="79">
        <v>9720</v>
      </c>
      <c r="Y263" s="66"/>
      <c r="Z263" s="66"/>
      <c r="AA263" s="66"/>
      <c r="AB263" s="66"/>
      <c r="AC263" s="66"/>
    </row>
    <row r="264" spans="1:29" x14ac:dyDescent="0.25">
      <c r="A264" s="78" t="s">
        <v>22</v>
      </c>
      <c r="B264" s="79">
        <v>54150</v>
      </c>
      <c r="C264" s="79">
        <v>539</v>
      </c>
      <c r="D264" s="79">
        <v>29186</v>
      </c>
      <c r="E264" s="80" t="s">
        <v>18</v>
      </c>
      <c r="F264" s="80" t="s">
        <v>18</v>
      </c>
      <c r="G264" s="80" t="s">
        <v>18</v>
      </c>
      <c r="H264" s="79">
        <v>29380</v>
      </c>
      <c r="I264" s="79">
        <v>1085</v>
      </c>
      <c r="J264" s="79">
        <v>31844</v>
      </c>
      <c r="K264" s="80" t="s">
        <v>18</v>
      </c>
      <c r="L264" s="80" t="s">
        <v>18</v>
      </c>
      <c r="M264" s="80" t="s">
        <v>18</v>
      </c>
      <c r="N264" s="80" t="s">
        <v>18</v>
      </c>
      <c r="O264" s="80" t="s">
        <v>18</v>
      </c>
      <c r="P264" s="80" t="s">
        <v>18</v>
      </c>
      <c r="Q264" s="79">
        <v>1875</v>
      </c>
      <c r="R264" s="79">
        <v>1900</v>
      </c>
      <c r="S264" s="79">
        <v>3562</v>
      </c>
      <c r="T264" s="80" t="s">
        <v>18</v>
      </c>
      <c r="U264" s="80" t="s">
        <v>18</v>
      </c>
      <c r="V264" s="80" t="s">
        <v>18</v>
      </c>
      <c r="W264" s="79">
        <v>85505</v>
      </c>
      <c r="X264" s="79">
        <v>64592</v>
      </c>
      <c r="Y264" s="66"/>
      <c r="Z264" s="66"/>
      <c r="AA264" s="66"/>
      <c r="AB264" s="66"/>
      <c r="AC264" s="66"/>
    </row>
    <row r="265" spans="1:29" x14ac:dyDescent="0.25">
      <c r="A265" s="78" t="s">
        <v>23</v>
      </c>
      <c r="B265" s="79">
        <v>162600</v>
      </c>
      <c r="C265" s="79">
        <v>389</v>
      </c>
      <c r="D265" s="79">
        <v>63251</v>
      </c>
      <c r="E265" s="79">
        <v>65700</v>
      </c>
      <c r="F265" s="79">
        <v>392</v>
      </c>
      <c r="G265" s="79">
        <v>25754</v>
      </c>
      <c r="H265" s="79">
        <v>7550</v>
      </c>
      <c r="I265" s="79">
        <v>429</v>
      </c>
      <c r="J265" s="79">
        <v>3238</v>
      </c>
      <c r="K265" s="80" t="s">
        <v>18</v>
      </c>
      <c r="L265" s="80" t="s">
        <v>18</v>
      </c>
      <c r="M265" s="80" t="s">
        <v>18</v>
      </c>
      <c r="N265" s="80" t="s">
        <v>18</v>
      </c>
      <c r="O265" s="80" t="s">
        <v>18</v>
      </c>
      <c r="P265" s="80" t="s">
        <v>18</v>
      </c>
      <c r="Q265" s="80" t="s">
        <v>18</v>
      </c>
      <c r="R265" s="80" t="s">
        <v>18</v>
      </c>
      <c r="S265" s="80" t="s">
        <v>18</v>
      </c>
      <c r="T265" s="80" t="s">
        <v>18</v>
      </c>
      <c r="U265" s="80" t="s">
        <v>18</v>
      </c>
      <c r="V265" s="80" t="s">
        <v>18</v>
      </c>
      <c r="W265" s="79">
        <v>235850</v>
      </c>
      <c r="X265" s="79">
        <v>92243</v>
      </c>
      <c r="Y265" s="66"/>
      <c r="Z265" s="66"/>
      <c r="AA265" s="66"/>
      <c r="AB265" s="66"/>
      <c r="AC265" s="66"/>
    </row>
    <row r="266" spans="1:29" x14ac:dyDescent="0.25">
      <c r="A266" s="78" t="s">
        <v>24</v>
      </c>
      <c r="B266" s="79">
        <v>5100</v>
      </c>
      <c r="C266" s="79">
        <v>800</v>
      </c>
      <c r="D266" s="79">
        <v>4080</v>
      </c>
      <c r="E266" s="79">
        <v>27200</v>
      </c>
      <c r="F266" s="79">
        <v>1200</v>
      </c>
      <c r="G266" s="79">
        <v>32640</v>
      </c>
      <c r="H266" s="79">
        <v>4300</v>
      </c>
      <c r="I266" s="79">
        <v>1300</v>
      </c>
      <c r="J266" s="79">
        <v>5390</v>
      </c>
      <c r="K266" s="79">
        <v>2300</v>
      </c>
      <c r="L266" s="79">
        <v>4053</v>
      </c>
      <c r="M266" s="79">
        <v>9323</v>
      </c>
      <c r="N266" s="79">
        <v>125000</v>
      </c>
      <c r="O266" s="79">
        <v>1000</v>
      </c>
      <c r="P266" s="79">
        <v>125000</v>
      </c>
      <c r="Q266" s="80" t="s">
        <v>18</v>
      </c>
      <c r="R266" s="80" t="s">
        <v>18</v>
      </c>
      <c r="S266" s="80" t="s">
        <v>18</v>
      </c>
      <c r="T266" s="80" t="s">
        <v>18</v>
      </c>
      <c r="U266" s="80" t="s">
        <v>18</v>
      </c>
      <c r="V266" s="80" t="s">
        <v>18</v>
      </c>
      <c r="W266" s="79">
        <v>163900</v>
      </c>
      <c r="X266" s="79">
        <v>176433</v>
      </c>
      <c r="Y266" s="66"/>
      <c r="Z266" s="66"/>
      <c r="AA266" s="66"/>
      <c r="AB266" s="66"/>
      <c r="AC266" s="66"/>
    </row>
    <row r="267" spans="1:29" x14ac:dyDescent="0.25">
      <c r="A267" s="82" t="s">
        <v>25</v>
      </c>
      <c r="B267" s="112">
        <v>661647</v>
      </c>
      <c r="C267" s="112">
        <v>435</v>
      </c>
      <c r="D267" s="112">
        <v>287848</v>
      </c>
      <c r="E267" s="112">
        <f>SUM(E258:E266)</f>
        <v>373230</v>
      </c>
      <c r="F267" s="112">
        <v>581</v>
      </c>
      <c r="G267" s="112">
        <v>216722</v>
      </c>
      <c r="H267" s="112">
        <v>65928</v>
      </c>
      <c r="I267" s="112">
        <v>1037</v>
      </c>
      <c r="J267" s="112">
        <v>68380</v>
      </c>
      <c r="K267" s="112">
        <v>3464</v>
      </c>
      <c r="L267" s="112">
        <v>3400</v>
      </c>
      <c r="M267" s="112">
        <v>11778</v>
      </c>
      <c r="N267" s="112">
        <v>208398</v>
      </c>
      <c r="O267" s="112">
        <v>898</v>
      </c>
      <c r="P267" s="112">
        <v>187201</v>
      </c>
      <c r="Q267" s="112">
        <v>1875</v>
      </c>
      <c r="R267" s="112">
        <v>1900</v>
      </c>
      <c r="S267" s="112">
        <v>3562</v>
      </c>
      <c r="T267" s="112"/>
      <c r="U267" s="112"/>
      <c r="V267" s="112"/>
      <c r="W267" s="112">
        <v>1314542</v>
      </c>
      <c r="X267" s="112">
        <v>775491</v>
      </c>
      <c r="Y267" s="66"/>
      <c r="Z267" s="66"/>
      <c r="AA267" s="66"/>
      <c r="AB267" s="66"/>
      <c r="AC267" s="66"/>
    </row>
    <row r="268" spans="1:29" x14ac:dyDescent="0.25">
      <c r="A268" s="78" t="s">
        <v>26</v>
      </c>
      <c r="B268" s="79">
        <v>62919</v>
      </c>
      <c r="C268" s="79">
        <v>678</v>
      </c>
      <c r="D268" s="79">
        <v>42683</v>
      </c>
      <c r="E268" s="79">
        <v>136415</v>
      </c>
      <c r="F268" s="79">
        <v>805</v>
      </c>
      <c r="G268" s="79">
        <v>109873</v>
      </c>
      <c r="H268" s="79">
        <v>19400</v>
      </c>
      <c r="I268" s="79">
        <v>747</v>
      </c>
      <c r="J268" s="79">
        <v>14509</v>
      </c>
      <c r="K268" s="79">
        <v>40080</v>
      </c>
      <c r="L268" s="79">
        <v>1518</v>
      </c>
      <c r="M268" s="79">
        <v>55771</v>
      </c>
      <c r="N268" s="79">
        <v>16000</v>
      </c>
      <c r="O268" s="79">
        <v>948</v>
      </c>
      <c r="P268" s="79">
        <v>15168</v>
      </c>
      <c r="Q268" s="80" t="s">
        <v>18</v>
      </c>
      <c r="R268" s="80" t="s">
        <v>18</v>
      </c>
      <c r="S268" s="80" t="s">
        <v>18</v>
      </c>
      <c r="T268" s="80" t="s">
        <v>18</v>
      </c>
      <c r="U268" s="80" t="s">
        <v>18</v>
      </c>
      <c r="V268" s="80" t="s">
        <v>18</v>
      </c>
      <c r="W268" s="79">
        <v>274814</v>
      </c>
      <c r="X268" s="79">
        <v>238004</v>
      </c>
      <c r="Y268" s="66"/>
      <c r="Z268" s="66"/>
      <c r="AA268" s="66"/>
      <c r="AB268" s="66"/>
      <c r="AC268" s="66"/>
    </row>
    <row r="269" spans="1:29" x14ac:dyDescent="0.25">
      <c r="A269" s="78" t="s">
        <v>27</v>
      </c>
      <c r="B269" s="79">
        <v>28028</v>
      </c>
      <c r="C269" s="79">
        <v>530</v>
      </c>
      <c r="D269" s="79">
        <v>14879</v>
      </c>
      <c r="E269" s="79">
        <v>49715</v>
      </c>
      <c r="F269" s="79">
        <v>519</v>
      </c>
      <c r="G269" s="79">
        <v>25802</v>
      </c>
      <c r="H269" s="79">
        <v>9433</v>
      </c>
      <c r="I269" s="79">
        <v>651</v>
      </c>
      <c r="J269" s="79">
        <v>6140</v>
      </c>
      <c r="K269" s="79">
        <v>23179</v>
      </c>
      <c r="L269" s="79">
        <v>1176</v>
      </c>
      <c r="M269" s="79">
        <v>27264</v>
      </c>
      <c r="N269" s="79">
        <v>3000</v>
      </c>
      <c r="O269" s="79">
        <v>579</v>
      </c>
      <c r="P269" s="79">
        <v>1737</v>
      </c>
      <c r="Q269" s="80" t="s">
        <v>18</v>
      </c>
      <c r="R269" s="80" t="s">
        <v>18</v>
      </c>
      <c r="S269" s="80" t="s">
        <v>18</v>
      </c>
      <c r="T269" s="79">
        <v>1725</v>
      </c>
      <c r="U269" s="79">
        <v>437</v>
      </c>
      <c r="V269" s="79">
        <v>754</v>
      </c>
      <c r="W269" s="79">
        <v>115080</v>
      </c>
      <c r="X269" s="79">
        <v>76576</v>
      </c>
      <c r="Y269" s="66"/>
      <c r="Z269" s="66"/>
      <c r="AA269" s="66"/>
      <c r="AB269" s="66"/>
      <c r="AC269" s="66"/>
    </row>
    <row r="270" spans="1:29" x14ac:dyDescent="0.25">
      <c r="A270" s="78" t="s">
        <v>71</v>
      </c>
      <c r="B270" s="79">
        <v>34656</v>
      </c>
      <c r="C270" s="79">
        <v>481</v>
      </c>
      <c r="D270" s="79">
        <v>16669</v>
      </c>
      <c r="E270" s="79">
        <v>58351</v>
      </c>
      <c r="F270" s="79">
        <v>549</v>
      </c>
      <c r="G270" s="79">
        <v>32034</v>
      </c>
      <c r="H270" s="79">
        <v>9141</v>
      </c>
      <c r="I270" s="79">
        <v>719</v>
      </c>
      <c r="J270" s="79">
        <v>6573</v>
      </c>
      <c r="K270" s="79">
        <v>7836</v>
      </c>
      <c r="L270" s="79">
        <v>929</v>
      </c>
      <c r="M270" s="79">
        <v>7280</v>
      </c>
      <c r="N270" s="80" t="s">
        <v>18</v>
      </c>
      <c r="O270" s="80" t="s">
        <v>18</v>
      </c>
      <c r="P270" s="80" t="s">
        <v>18</v>
      </c>
      <c r="Q270" s="80" t="s">
        <v>18</v>
      </c>
      <c r="R270" s="80" t="s">
        <v>18</v>
      </c>
      <c r="S270" s="80" t="s">
        <v>18</v>
      </c>
      <c r="T270" s="79">
        <v>1075</v>
      </c>
      <c r="U270" s="79">
        <v>388</v>
      </c>
      <c r="V270" s="79">
        <v>418</v>
      </c>
      <c r="W270" s="79">
        <v>111059</v>
      </c>
      <c r="X270" s="79">
        <v>62974</v>
      </c>
      <c r="Y270" s="66"/>
      <c r="Z270" s="66"/>
      <c r="AA270" s="66"/>
      <c r="AB270" s="66"/>
      <c r="AC270" s="66"/>
    </row>
    <row r="271" spans="1:29" x14ac:dyDescent="0.25">
      <c r="A271" s="78" t="s">
        <v>72</v>
      </c>
      <c r="B271" s="79">
        <v>23846</v>
      </c>
      <c r="C271" s="79">
        <v>647</v>
      </c>
      <c r="D271" s="79">
        <v>15447</v>
      </c>
      <c r="E271" s="79">
        <v>91532</v>
      </c>
      <c r="F271" s="79">
        <v>670</v>
      </c>
      <c r="G271" s="79">
        <v>61339</v>
      </c>
      <c r="H271" s="79">
        <v>5936</v>
      </c>
      <c r="I271" s="79">
        <v>530</v>
      </c>
      <c r="J271" s="79">
        <v>3147</v>
      </c>
      <c r="K271" s="79">
        <v>6353</v>
      </c>
      <c r="L271" s="79">
        <v>766</v>
      </c>
      <c r="M271" s="79">
        <v>4866</v>
      </c>
      <c r="N271" s="79">
        <v>165</v>
      </c>
      <c r="O271" s="79">
        <v>948</v>
      </c>
      <c r="P271" s="79">
        <v>156</v>
      </c>
      <c r="Q271" s="80" t="s">
        <v>18</v>
      </c>
      <c r="R271" s="80" t="s">
        <v>18</v>
      </c>
      <c r="S271" s="80" t="s">
        <v>18</v>
      </c>
      <c r="T271" s="80" t="s">
        <v>18</v>
      </c>
      <c r="U271" s="80" t="s">
        <v>18</v>
      </c>
      <c r="V271" s="80" t="s">
        <v>18</v>
      </c>
      <c r="W271" s="79">
        <v>127832</v>
      </c>
      <c r="X271" s="79">
        <v>84955</v>
      </c>
      <c r="Y271" s="66"/>
      <c r="Z271" s="66"/>
      <c r="AA271" s="66"/>
      <c r="AB271" s="66"/>
      <c r="AC271" s="66"/>
    </row>
    <row r="272" spans="1:29" x14ac:dyDescent="0.25">
      <c r="A272" s="78" t="s">
        <v>73</v>
      </c>
      <c r="B272" s="79">
        <v>37763</v>
      </c>
      <c r="C272" s="79">
        <v>531</v>
      </c>
      <c r="D272" s="79">
        <v>20082</v>
      </c>
      <c r="E272" s="79">
        <v>80204</v>
      </c>
      <c r="F272" s="79">
        <v>641</v>
      </c>
      <c r="G272" s="79">
        <v>51457</v>
      </c>
      <c r="H272" s="79">
        <v>11098</v>
      </c>
      <c r="I272" s="79">
        <v>589</v>
      </c>
      <c r="J272" s="79">
        <v>6546</v>
      </c>
      <c r="K272" s="79">
        <v>6256</v>
      </c>
      <c r="L272" s="79">
        <v>832</v>
      </c>
      <c r="M272" s="79">
        <v>5208</v>
      </c>
      <c r="N272" s="79">
        <v>900</v>
      </c>
      <c r="O272" s="79">
        <v>848</v>
      </c>
      <c r="P272" s="92">
        <v>763</v>
      </c>
      <c r="Q272" s="80" t="s">
        <v>18</v>
      </c>
      <c r="R272" s="80" t="s">
        <v>18</v>
      </c>
      <c r="S272" s="80" t="s">
        <v>18</v>
      </c>
      <c r="T272" s="80" t="s">
        <v>18</v>
      </c>
      <c r="U272" s="80" t="s">
        <v>18</v>
      </c>
      <c r="V272" s="80" t="s">
        <v>18</v>
      </c>
      <c r="W272" s="79">
        <v>136221</v>
      </c>
      <c r="X272" s="79">
        <v>84056</v>
      </c>
      <c r="Y272" s="66"/>
      <c r="Z272" s="66"/>
      <c r="AA272" s="66"/>
      <c r="AB272" s="66"/>
      <c r="AC272" s="66"/>
    </row>
    <row r="273" spans="1:29" x14ac:dyDescent="0.25">
      <c r="A273" s="85" t="s">
        <v>31</v>
      </c>
      <c r="B273" s="136">
        <v>187212</v>
      </c>
      <c r="C273" s="136">
        <v>645</v>
      </c>
      <c r="D273" s="136">
        <v>109760</v>
      </c>
      <c r="E273" s="136">
        <v>416217</v>
      </c>
      <c r="F273" s="136">
        <v>674</v>
      </c>
      <c r="G273" s="136">
        <v>280505</v>
      </c>
      <c r="H273" s="136">
        <v>55008</v>
      </c>
      <c r="I273" s="136">
        <v>671</v>
      </c>
      <c r="J273" s="136">
        <v>36916</v>
      </c>
      <c r="K273" s="136">
        <v>83704</v>
      </c>
      <c r="L273" s="136">
        <v>1199</v>
      </c>
      <c r="M273" s="136">
        <v>100389</v>
      </c>
      <c r="N273" s="136">
        <v>20065</v>
      </c>
      <c r="O273" s="136">
        <v>888</v>
      </c>
      <c r="P273" s="136">
        <v>17824</v>
      </c>
      <c r="Q273" s="160" t="s">
        <v>18</v>
      </c>
      <c r="R273" s="136"/>
      <c r="S273" s="160" t="s">
        <v>18</v>
      </c>
      <c r="T273" s="136">
        <v>2800</v>
      </c>
      <c r="U273" s="136">
        <v>419</v>
      </c>
      <c r="V273" s="136">
        <v>1172</v>
      </c>
      <c r="W273" s="136">
        <v>765006</v>
      </c>
      <c r="X273" s="136">
        <v>546566</v>
      </c>
      <c r="Y273" s="66"/>
      <c r="Z273" s="66"/>
      <c r="AA273" s="66"/>
      <c r="AB273" s="66"/>
      <c r="AC273" s="66"/>
    </row>
    <row r="274" spans="1:29" x14ac:dyDescent="0.25">
      <c r="A274" s="78" t="s">
        <v>32</v>
      </c>
      <c r="B274" s="79">
        <v>848859</v>
      </c>
      <c r="C274" s="79">
        <v>464</v>
      </c>
      <c r="D274" s="79">
        <v>397608</v>
      </c>
      <c r="E274" s="79">
        <v>789447</v>
      </c>
      <c r="F274" s="79">
        <v>630</v>
      </c>
      <c r="G274" s="79">
        <v>497227</v>
      </c>
      <c r="H274" s="79">
        <v>120936</v>
      </c>
      <c r="I274" s="79">
        <v>871</v>
      </c>
      <c r="J274" s="79">
        <v>105296</v>
      </c>
      <c r="K274" s="79">
        <v>87168</v>
      </c>
      <c r="L274" s="79">
        <v>1287</v>
      </c>
      <c r="M274" s="79">
        <v>112167</v>
      </c>
      <c r="N274" s="79">
        <v>228463</v>
      </c>
      <c r="O274" s="79">
        <v>897</v>
      </c>
      <c r="P274" s="79">
        <f>P267+P273</f>
        <v>205025</v>
      </c>
      <c r="Q274" s="79">
        <v>1875</v>
      </c>
      <c r="R274" s="80">
        <v>1900</v>
      </c>
      <c r="S274" s="79">
        <v>3562</v>
      </c>
      <c r="T274" s="79">
        <v>2800</v>
      </c>
      <c r="U274" s="153">
        <v>419</v>
      </c>
      <c r="V274" s="79">
        <v>1172</v>
      </c>
      <c r="W274" s="79">
        <v>2079548</v>
      </c>
      <c r="X274" s="79">
        <v>1322056</v>
      </c>
      <c r="Y274" s="66"/>
      <c r="Z274" s="66"/>
      <c r="AA274" s="66"/>
      <c r="AB274" s="66"/>
      <c r="AC274" s="66"/>
    </row>
    <row r="275" spans="1:29" x14ac:dyDescent="0.25">
      <c r="A275" s="86"/>
      <c r="B275" s="86"/>
      <c r="C275" s="86"/>
      <c r="D275" s="86"/>
      <c r="E275" s="86"/>
      <c r="F275" s="86"/>
      <c r="G275" s="86"/>
      <c r="H275" s="86"/>
      <c r="I275" s="86"/>
      <c r="J275" s="86"/>
      <c r="K275" s="86"/>
      <c r="L275" s="86"/>
      <c r="M275" s="86"/>
      <c r="N275" s="86"/>
      <c r="O275" s="86"/>
      <c r="P275" s="86"/>
      <c r="Q275" s="86"/>
      <c r="R275" s="86"/>
      <c r="S275" s="86"/>
      <c r="T275" s="86"/>
      <c r="U275" s="86"/>
      <c r="V275" s="86"/>
      <c r="W275" s="86"/>
      <c r="X275" s="86"/>
      <c r="Y275" s="66"/>
      <c r="Z275" s="66"/>
      <c r="AA275" s="66"/>
      <c r="AB275" s="66"/>
      <c r="AC275" s="66"/>
    </row>
    <row r="276" spans="1:29" x14ac:dyDescent="0.25">
      <c r="A276" s="161"/>
      <c r="B276" s="162" t="s">
        <v>75</v>
      </c>
      <c r="C276" s="163"/>
      <c r="D276" s="164"/>
      <c r="E276" s="164"/>
      <c r="F276" s="164"/>
      <c r="G276" s="161"/>
      <c r="H276" s="165"/>
      <c r="I276" s="165"/>
      <c r="J276" s="165"/>
      <c r="K276" s="165"/>
      <c r="L276" s="162" t="s">
        <v>34</v>
      </c>
      <c r="M276" s="163"/>
      <c r="N276" s="166"/>
      <c r="O276" s="162" t="s">
        <v>35</v>
      </c>
      <c r="P276" s="167"/>
      <c r="Q276" s="165"/>
      <c r="R276" s="165"/>
      <c r="S276" s="165"/>
      <c r="T276" s="165"/>
      <c r="U276" s="165"/>
      <c r="V276" s="165"/>
      <c r="W276" s="168"/>
      <c r="X276" s="168"/>
      <c r="Y276" s="66"/>
      <c r="Z276" s="66"/>
      <c r="AA276" s="66"/>
      <c r="AB276" s="66"/>
      <c r="AC276" s="66"/>
    </row>
    <row r="277" spans="1:29" x14ac:dyDescent="0.25">
      <c r="A277" s="169" t="s">
        <v>2</v>
      </c>
      <c r="B277" s="152"/>
      <c r="C277" s="75" t="s">
        <v>37</v>
      </c>
      <c r="D277" s="152"/>
      <c r="E277" s="152"/>
      <c r="F277" s="75" t="s">
        <v>38</v>
      </c>
      <c r="G277" s="152"/>
      <c r="H277" s="152"/>
      <c r="I277" s="75" t="s">
        <v>70</v>
      </c>
      <c r="J277" s="152"/>
      <c r="K277" s="152"/>
      <c r="L277" s="169" t="s">
        <v>40</v>
      </c>
      <c r="M277" s="152"/>
      <c r="N277" s="152"/>
      <c r="O277" s="169" t="s">
        <v>41</v>
      </c>
      <c r="P277" s="152"/>
      <c r="Q277" s="152"/>
      <c r="R277" s="169" t="s">
        <v>54</v>
      </c>
      <c r="S277" s="152"/>
      <c r="T277" s="152"/>
      <c r="U277" s="169" t="s">
        <v>43</v>
      </c>
      <c r="V277" s="152"/>
      <c r="W277" s="79"/>
      <c r="X277" s="78" t="s">
        <v>57</v>
      </c>
      <c r="Y277" s="66"/>
      <c r="Z277" s="66"/>
      <c r="AA277" s="66"/>
      <c r="AB277" s="66"/>
      <c r="AC277" s="66"/>
    </row>
    <row r="278" spans="1:29" ht="15.75" thickBot="1" x14ac:dyDescent="0.3">
      <c r="A278" s="170" t="s">
        <v>11</v>
      </c>
      <c r="B278" s="106" t="s">
        <v>12</v>
      </c>
      <c r="C278" s="106" t="s">
        <v>13</v>
      </c>
      <c r="D278" s="106" t="s">
        <v>14</v>
      </c>
      <c r="E278" s="106" t="s">
        <v>12</v>
      </c>
      <c r="F278" s="106" t="s">
        <v>13</v>
      </c>
      <c r="G278" s="106" t="s">
        <v>14</v>
      </c>
      <c r="H278" s="106" t="s">
        <v>12</v>
      </c>
      <c r="I278" s="106" t="s">
        <v>13</v>
      </c>
      <c r="J278" s="106" t="s">
        <v>14</v>
      </c>
      <c r="K278" s="106" t="s">
        <v>12</v>
      </c>
      <c r="L278" s="106" t="s">
        <v>13</v>
      </c>
      <c r="M278" s="106" t="s">
        <v>14</v>
      </c>
      <c r="N278" s="106" t="s">
        <v>12</v>
      </c>
      <c r="O278" s="106" t="s">
        <v>13</v>
      </c>
      <c r="P278" s="106" t="s">
        <v>14</v>
      </c>
      <c r="Q278" s="106" t="s">
        <v>12</v>
      </c>
      <c r="R278" s="106" t="s">
        <v>13</v>
      </c>
      <c r="S278" s="106" t="s">
        <v>14</v>
      </c>
      <c r="T278" s="106" t="s">
        <v>12</v>
      </c>
      <c r="U278" s="106" t="s">
        <v>13</v>
      </c>
      <c r="V278" s="106" t="s">
        <v>14</v>
      </c>
      <c r="W278" s="145" t="s">
        <v>12</v>
      </c>
      <c r="X278" s="145" t="s">
        <v>14</v>
      </c>
      <c r="Y278" s="66"/>
      <c r="Z278" s="66"/>
      <c r="AA278" s="66"/>
      <c r="AB278" s="66"/>
      <c r="AC278" s="66"/>
    </row>
    <row r="279" spans="1:29" ht="15.75" thickTop="1" x14ac:dyDescent="0.25">
      <c r="A279" s="107" t="s">
        <v>15</v>
      </c>
      <c r="B279" s="108">
        <v>1200</v>
      </c>
      <c r="C279" s="108">
        <v>480</v>
      </c>
      <c r="D279" s="108">
        <v>5760</v>
      </c>
      <c r="E279" s="108">
        <v>800</v>
      </c>
      <c r="F279" s="108">
        <v>120</v>
      </c>
      <c r="G279" s="108">
        <v>96</v>
      </c>
      <c r="H279" s="77" t="s">
        <v>18</v>
      </c>
      <c r="I279" s="77" t="s">
        <v>18</v>
      </c>
      <c r="J279" s="77" t="s">
        <v>18</v>
      </c>
      <c r="K279" s="108">
        <v>8700</v>
      </c>
      <c r="L279" s="108">
        <v>300</v>
      </c>
      <c r="M279" s="108">
        <v>2610</v>
      </c>
      <c r="N279" s="77" t="s">
        <v>18</v>
      </c>
      <c r="O279" s="77" t="s">
        <v>18</v>
      </c>
      <c r="P279" s="77" t="s">
        <v>18</v>
      </c>
      <c r="Q279" s="77" t="s">
        <v>18</v>
      </c>
      <c r="R279" s="77" t="s">
        <v>18</v>
      </c>
      <c r="S279" s="77" t="s">
        <v>18</v>
      </c>
      <c r="T279" s="77" t="s">
        <v>18</v>
      </c>
      <c r="U279" s="77" t="s">
        <v>18</v>
      </c>
      <c r="V279" s="77" t="s">
        <v>18</v>
      </c>
      <c r="W279" s="108">
        <f>SUM(B279,E279,H279,K279,N279)</f>
        <v>10700</v>
      </c>
      <c r="X279" s="108">
        <f>SUM(D279,G279,J279,M279,P279)</f>
        <v>8466</v>
      </c>
      <c r="Y279" s="66"/>
      <c r="Z279" s="66"/>
      <c r="AA279" s="66"/>
      <c r="AB279" s="66"/>
      <c r="AC279" s="66"/>
    </row>
    <row r="280" spans="1:29" x14ac:dyDescent="0.25">
      <c r="A280" s="78" t="s">
        <v>49</v>
      </c>
      <c r="B280" s="80"/>
      <c r="C280" s="80"/>
      <c r="D280" s="80"/>
      <c r="E280" s="80"/>
      <c r="F280" s="80"/>
      <c r="G280" s="80"/>
      <c r="H280" s="80"/>
      <c r="I280" s="80"/>
      <c r="J280" s="80"/>
      <c r="K280" s="80"/>
      <c r="L280" s="80"/>
      <c r="M280" s="80"/>
      <c r="N280" s="80"/>
      <c r="O280" s="80"/>
      <c r="P280" s="80"/>
      <c r="Q280" s="80"/>
      <c r="R280" s="80"/>
      <c r="S280" s="80"/>
      <c r="T280" s="80"/>
      <c r="U280" s="80"/>
      <c r="V280" s="80"/>
      <c r="W280" s="80"/>
      <c r="X280" s="80"/>
      <c r="Y280" s="66"/>
      <c r="Z280" s="66"/>
      <c r="AA280" s="66"/>
      <c r="AB280" s="66"/>
      <c r="AC280" s="66"/>
    </row>
    <row r="281" spans="1:29" x14ac:dyDescent="0.25">
      <c r="A281" s="78" t="s">
        <v>17</v>
      </c>
      <c r="B281" s="79">
        <v>14120</v>
      </c>
      <c r="C281" s="79">
        <v>800</v>
      </c>
      <c r="D281" s="79">
        <v>11296</v>
      </c>
      <c r="E281" s="79">
        <v>1300</v>
      </c>
      <c r="F281" s="79">
        <v>150</v>
      </c>
      <c r="G281" s="79">
        <v>195</v>
      </c>
      <c r="H281" s="80" t="s">
        <v>18</v>
      </c>
      <c r="I281" s="80" t="s">
        <v>18</v>
      </c>
      <c r="J281" s="80" t="s">
        <v>18</v>
      </c>
      <c r="K281" s="79">
        <v>1500</v>
      </c>
      <c r="L281" s="79">
        <v>150</v>
      </c>
      <c r="M281" s="79">
        <v>225</v>
      </c>
      <c r="N281" s="80" t="s">
        <v>18</v>
      </c>
      <c r="O281" s="80" t="s">
        <v>18</v>
      </c>
      <c r="P281" s="80" t="s">
        <v>18</v>
      </c>
      <c r="Q281" s="80" t="s">
        <v>18</v>
      </c>
      <c r="R281" s="80" t="s">
        <v>18</v>
      </c>
      <c r="S281" s="80" t="s">
        <v>18</v>
      </c>
      <c r="T281" s="80" t="s">
        <v>18</v>
      </c>
      <c r="U281" s="80" t="s">
        <v>18</v>
      </c>
      <c r="V281" s="80" t="s">
        <v>18</v>
      </c>
      <c r="W281" s="79">
        <f t="shared" ref="W281:W287" si="1">SUM(B281,E281,H281,K281,N281)</f>
        <v>16920</v>
      </c>
      <c r="X281" s="79">
        <f t="shared" ref="X281:X295" si="2">SUM(D281,G281,J281,M281,P281)</f>
        <v>11716</v>
      </c>
      <c r="Y281" s="66"/>
      <c r="Z281" s="66"/>
      <c r="AA281" s="66"/>
      <c r="AB281" s="66"/>
      <c r="AC281" s="66"/>
    </row>
    <row r="282" spans="1:29" x14ac:dyDescent="0.25">
      <c r="A282" s="78" t="s">
        <v>46</v>
      </c>
      <c r="B282" s="79">
        <v>68860</v>
      </c>
      <c r="C282" s="79">
        <v>647</v>
      </c>
      <c r="D282" s="79">
        <v>44552</v>
      </c>
      <c r="E282" s="80" t="s">
        <v>18</v>
      </c>
      <c r="F282" s="80" t="s">
        <v>18</v>
      </c>
      <c r="G282" s="80" t="s">
        <v>18</v>
      </c>
      <c r="H282" s="79">
        <v>18000</v>
      </c>
      <c r="I282" s="79">
        <v>620</v>
      </c>
      <c r="J282" s="79">
        <v>11160</v>
      </c>
      <c r="K282" s="79">
        <v>70000</v>
      </c>
      <c r="L282" s="79">
        <v>440</v>
      </c>
      <c r="M282" s="79">
        <v>30800</v>
      </c>
      <c r="N282" s="79">
        <v>1665</v>
      </c>
      <c r="O282" s="79">
        <v>12000</v>
      </c>
      <c r="P282" s="79">
        <v>19980</v>
      </c>
      <c r="Q282" s="80" t="s">
        <v>18</v>
      </c>
      <c r="R282" s="80" t="s">
        <v>18</v>
      </c>
      <c r="S282" s="80" t="s">
        <v>18</v>
      </c>
      <c r="T282" s="80" t="s">
        <v>18</v>
      </c>
      <c r="U282" s="80" t="s">
        <v>18</v>
      </c>
      <c r="V282" s="80" t="s">
        <v>18</v>
      </c>
      <c r="W282" s="79">
        <f t="shared" si="1"/>
        <v>158525</v>
      </c>
      <c r="X282" s="79">
        <f t="shared" si="2"/>
        <v>106492</v>
      </c>
      <c r="Y282" s="66"/>
      <c r="Z282" s="66"/>
      <c r="AA282" s="66"/>
      <c r="AB282" s="66"/>
      <c r="AC282" s="66"/>
    </row>
    <row r="283" spans="1:29" x14ac:dyDescent="0.25">
      <c r="A283" s="78" t="s">
        <v>20</v>
      </c>
      <c r="B283" s="79">
        <v>21270</v>
      </c>
      <c r="C283" s="79">
        <v>800</v>
      </c>
      <c r="D283" s="79">
        <v>17016</v>
      </c>
      <c r="E283" s="79">
        <v>4564</v>
      </c>
      <c r="F283" s="79">
        <v>729</v>
      </c>
      <c r="G283" s="79">
        <v>3331</v>
      </c>
      <c r="H283" s="79"/>
      <c r="I283" s="80" t="s">
        <v>18</v>
      </c>
      <c r="J283" s="80" t="s">
        <v>18</v>
      </c>
      <c r="K283" s="79">
        <v>2050</v>
      </c>
      <c r="L283" s="79">
        <v>410</v>
      </c>
      <c r="M283" s="79">
        <v>822</v>
      </c>
      <c r="N283" s="80" t="s">
        <v>18</v>
      </c>
      <c r="O283" s="80" t="s">
        <v>18</v>
      </c>
      <c r="P283" s="80" t="s">
        <v>18</v>
      </c>
      <c r="Q283" s="80" t="s">
        <v>18</v>
      </c>
      <c r="R283" s="80" t="s">
        <v>18</v>
      </c>
      <c r="S283" s="80" t="s">
        <v>18</v>
      </c>
      <c r="T283" s="80" t="s">
        <v>18</v>
      </c>
      <c r="U283" s="80" t="s">
        <v>18</v>
      </c>
      <c r="V283" s="80" t="s">
        <v>18</v>
      </c>
      <c r="W283" s="79">
        <f t="shared" si="1"/>
        <v>27884</v>
      </c>
      <c r="X283" s="79">
        <f t="shared" si="2"/>
        <v>21169</v>
      </c>
      <c r="Y283" s="66"/>
      <c r="Z283" s="66"/>
      <c r="AA283" s="66"/>
      <c r="AB283" s="66"/>
      <c r="AC283" s="66"/>
    </row>
    <row r="284" spans="1:29" x14ac:dyDescent="0.25">
      <c r="A284" s="78" t="s">
        <v>21</v>
      </c>
      <c r="B284" s="80" t="s">
        <v>18</v>
      </c>
      <c r="C284" s="80" t="s">
        <v>18</v>
      </c>
      <c r="D284" s="80" t="s">
        <v>18</v>
      </c>
      <c r="E284" s="80" t="s">
        <v>18</v>
      </c>
      <c r="F284" s="80" t="s">
        <v>18</v>
      </c>
      <c r="G284" s="80" t="s">
        <v>18</v>
      </c>
      <c r="H284" s="80" t="s">
        <v>18</v>
      </c>
      <c r="I284" s="80" t="s">
        <v>18</v>
      </c>
      <c r="J284" s="80" t="s">
        <v>18</v>
      </c>
      <c r="K284" s="79">
        <v>1600</v>
      </c>
      <c r="L284" s="79">
        <v>150</v>
      </c>
      <c r="M284" s="79">
        <v>240</v>
      </c>
      <c r="N284" s="80" t="s">
        <v>18</v>
      </c>
      <c r="O284" s="79"/>
      <c r="P284" s="79"/>
      <c r="Q284" s="80" t="s">
        <v>18</v>
      </c>
      <c r="R284" s="80" t="s">
        <v>18</v>
      </c>
      <c r="S284" s="80" t="s">
        <v>18</v>
      </c>
      <c r="T284" s="80" t="s">
        <v>18</v>
      </c>
      <c r="U284" s="80" t="s">
        <v>18</v>
      </c>
      <c r="V284" s="80" t="s">
        <v>18</v>
      </c>
      <c r="W284" s="79">
        <f t="shared" si="1"/>
        <v>1600</v>
      </c>
      <c r="X284" s="79">
        <f t="shared" si="2"/>
        <v>240</v>
      </c>
      <c r="Y284" s="66"/>
      <c r="Z284" s="66"/>
      <c r="AA284" s="66"/>
      <c r="AB284" s="66"/>
      <c r="AC284" s="66"/>
    </row>
    <row r="285" spans="1:29" x14ac:dyDescent="0.25">
      <c r="A285" s="78" t="s">
        <v>22</v>
      </c>
      <c r="B285" s="80" t="s">
        <v>18</v>
      </c>
      <c r="C285" s="80" t="s">
        <v>18</v>
      </c>
      <c r="D285" s="80" t="s">
        <v>18</v>
      </c>
      <c r="E285" s="80" t="s">
        <v>18</v>
      </c>
      <c r="F285" s="80" t="s">
        <v>18</v>
      </c>
      <c r="G285" s="80" t="s">
        <v>18</v>
      </c>
      <c r="H285" s="80" t="s">
        <v>18</v>
      </c>
      <c r="I285" s="80" t="s">
        <v>18</v>
      </c>
      <c r="J285" s="80" t="s">
        <v>18</v>
      </c>
      <c r="K285" s="79">
        <v>2000</v>
      </c>
      <c r="L285" s="79">
        <v>800</v>
      </c>
      <c r="M285" s="79">
        <v>1600</v>
      </c>
      <c r="N285" s="79">
        <v>80</v>
      </c>
      <c r="O285" s="79">
        <v>25000</v>
      </c>
      <c r="P285" s="79">
        <v>2000</v>
      </c>
      <c r="Q285" s="80" t="s">
        <v>18</v>
      </c>
      <c r="R285" s="80" t="s">
        <v>18</v>
      </c>
      <c r="S285" s="80" t="s">
        <v>18</v>
      </c>
      <c r="T285" s="80" t="s">
        <v>18</v>
      </c>
      <c r="U285" s="80" t="s">
        <v>18</v>
      </c>
      <c r="V285" s="80" t="s">
        <v>18</v>
      </c>
      <c r="W285" s="79">
        <f t="shared" si="1"/>
        <v>2080</v>
      </c>
      <c r="X285" s="79">
        <f t="shared" si="2"/>
        <v>3600</v>
      </c>
      <c r="Y285" s="66"/>
      <c r="Z285" s="66"/>
      <c r="AA285" s="66"/>
      <c r="AB285" s="66"/>
      <c r="AC285" s="66"/>
    </row>
    <row r="286" spans="1:29" x14ac:dyDescent="0.25">
      <c r="A286" s="78" t="s">
        <v>23</v>
      </c>
      <c r="B286" s="79">
        <v>110000</v>
      </c>
      <c r="C286" s="79">
        <v>1128</v>
      </c>
      <c r="D286" s="79">
        <v>124080</v>
      </c>
      <c r="E286" s="79">
        <v>7285</v>
      </c>
      <c r="F286" s="79">
        <v>575</v>
      </c>
      <c r="G286" s="79">
        <v>4188</v>
      </c>
      <c r="H286" s="79">
        <v>450</v>
      </c>
      <c r="I286" s="79">
        <v>300</v>
      </c>
      <c r="J286" s="79">
        <v>135</v>
      </c>
      <c r="K286" s="79">
        <v>13015</v>
      </c>
      <c r="L286" s="79">
        <v>1033</v>
      </c>
      <c r="M286" s="79">
        <v>13449</v>
      </c>
      <c r="N286" s="80" t="s">
        <v>18</v>
      </c>
      <c r="O286" s="80" t="s">
        <v>18</v>
      </c>
      <c r="P286" s="80" t="s">
        <v>18</v>
      </c>
      <c r="Q286" s="80" t="s">
        <v>18</v>
      </c>
      <c r="R286" s="80" t="s">
        <v>18</v>
      </c>
      <c r="S286" s="80" t="s">
        <v>18</v>
      </c>
      <c r="T286" s="80" t="s">
        <v>18</v>
      </c>
      <c r="U286" s="80" t="s">
        <v>18</v>
      </c>
      <c r="V286" s="80" t="s">
        <v>18</v>
      </c>
      <c r="W286" s="79">
        <f t="shared" si="1"/>
        <v>130750</v>
      </c>
      <c r="X286" s="79">
        <f t="shared" si="2"/>
        <v>141852</v>
      </c>
      <c r="Y286" s="66"/>
      <c r="Z286" s="66"/>
      <c r="AA286" s="66"/>
      <c r="AB286" s="66"/>
      <c r="AC286" s="66"/>
    </row>
    <row r="287" spans="1:29" x14ac:dyDescent="0.25">
      <c r="A287" s="78" t="s">
        <v>24</v>
      </c>
      <c r="B287" s="79">
        <v>16500</v>
      </c>
      <c r="C287" s="79">
        <v>899</v>
      </c>
      <c r="D287" s="79">
        <v>16500</v>
      </c>
      <c r="E287" s="79">
        <v>1550</v>
      </c>
      <c r="F287" s="79">
        <v>600</v>
      </c>
      <c r="G287" s="79">
        <v>930</v>
      </c>
      <c r="H287" s="79">
        <v>85</v>
      </c>
      <c r="I287" s="79">
        <v>650</v>
      </c>
      <c r="J287" s="79">
        <v>55</v>
      </c>
      <c r="K287" s="79">
        <v>1850</v>
      </c>
      <c r="L287" s="79">
        <v>1000</v>
      </c>
      <c r="M287" s="79">
        <v>1850</v>
      </c>
      <c r="N287" s="79">
        <v>450</v>
      </c>
      <c r="O287" s="79">
        <v>12500</v>
      </c>
      <c r="P287" s="79">
        <v>5625</v>
      </c>
      <c r="Q287" s="80" t="s">
        <v>18</v>
      </c>
      <c r="R287" s="80" t="s">
        <v>18</v>
      </c>
      <c r="S287" s="80" t="s">
        <v>18</v>
      </c>
      <c r="T287" s="80" t="s">
        <v>18</v>
      </c>
      <c r="U287" s="80" t="s">
        <v>18</v>
      </c>
      <c r="V287" s="80" t="s">
        <v>18</v>
      </c>
      <c r="W287" s="79">
        <f t="shared" si="1"/>
        <v>20435</v>
      </c>
      <c r="X287" s="79">
        <f t="shared" si="2"/>
        <v>24960</v>
      </c>
      <c r="Y287" s="66"/>
      <c r="Z287" s="66"/>
      <c r="AA287" s="66"/>
      <c r="AB287" s="66"/>
      <c r="AC287" s="66"/>
    </row>
    <row r="288" spans="1:29" x14ac:dyDescent="0.25">
      <c r="A288" s="82" t="s">
        <v>25</v>
      </c>
      <c r="B288" s="171">
        <v>231950</v>
      </c>
      <c r="C288" s="112">
        <v>945</v>
      </c>
      <c r="D288" s="112">
        <v>219204</v>
      </c>
      <c r="E288" s="112">
        <v>15499</v>
      </c>
      <c r="F288" s="112">
        <v>564</v>
      </c>
      <c r="G288" s="112">
        <v>8740</v>
      </c>
      <c r="H288" s="112">
        <v>18535</v>
      </c>
      <c r="I288" s="113">
        <v>612</v>
      </c>
      <c r="J288" s="112">
        <v>11350</v>
      </c>
      <c r="K288" s="112">
        <f>SUM(K279:K287)</f>
        <v>100715</v>
      </c>
      <c r="L288" s="112">
        <v>512</v>
      </c>
      <c r="M288" s="112">
        <f>SUM(M279:M287)</f>
        <v>51596</v>
      </c>
      <c r="N288" s="112">
        <v>2195</v>
      </c>
      <c r="O288" s="112">
        <v>12576</v>
      </c>
      <c r="P288" s="112">
        <f>SUM(P282+P285+P287)</f>
        <v>27605</v>
      </c>
      <c r="Q288" s="113" t="s">
        <v>18</v>
      </c>
      <c r="R288" s="113" t="s">
        <v>18</v>
      </c>
      <c r="S288" s="113" t="s">
        <v>18</v>
      </c>
      <c r="T288" s="113" t="s">
        <v>18</v>
      </c>
      <c r="U288" s="113" t="s">
        <v>18</v>
      </c>
      <c r="V288" s="113" t="s">
        <v>18</v>
      </c>
      <c r="W288" s="112">
        <v>371320</v>
      </c>
      <c r="X288" s="112">
        <f t="shared" si="2"/>
        <v>318495</v>
      </c>
      <c r="Y288" s="66"/>
      <c r="Z288" s="66"/>
      <c r="AA288" s="66"/>
      <c r="AB288" s="66"/>
      <c r="AC288" s="66"/>
    </row>
    <row r="289" spans="1:29" x14ac:dyDescent="0.25">
      <c r="A289" s="78" t="s">
        <v>47</v>
      </c>
      <c r="B289" s="79">
        <v>51617</v>
      </c>
      <c r="C289" s="79">
        <v>994</v>
      </c>
      <c r="D289" s="79">
        <v>51307</v>
      </c>
      <c r="E289" s="79">
        <v>5435</v>
      </c>
      <c r="F289" s="79">
        <v>465</v>
      </c>
      <c r="G289" s="79">
        <v>2527</v>
      </c>
      <c r="H289" s="79">
        <v>3591</v>
      </c>
      <c r="I289" s="79">
        <v>800</v>
      </c>
      <c r="J289" s="79">
        <v>2872</v>
      </c>
      <c r="K289" s="79">
        <v>15268</v>
      </c>
      <c r="L289" s="79">
        <v>622</v>
      </c>
      <c r="M289" s="79">
        <v>9496</v>
      </c>
      <c r="N289" s="79">
        <v>2675</v>
      </c>
      <c r="O289" s="79">
        <v>11500</v>
      </c>
      <c r="P289" s="79">
        <v>30762</v>
      </c>
      <c r="Q289" s="80" t="s">
        <v>18</v>
      </c>
      <c r="R289" s="80" t="s">
        <v>18</v>
      </c>
      <c r="S289" s="80" t="s">
        <v>18</v>
      </c>
      <c r="T289" s="80" t="s">
        <v>18</v>
      </c>
      <c r="U289" s="80" t="s">
        <v>18</v>
      </c>
      <c r="V289" s="80" t="s">
        <v>18</v>
      </c>
      <c r="W289" s="79">
        <f t="shared" ref="W289:W295" si="3">SUM(B289,E289,H289,K289,N289)</f>
        <v>78586</v>
      </c>
      <c r="X289" s="79">
        <f t="shared" si="2"/>
        <v>96964</v>
      </c>
      <c r="Y289" s="66"/>
      <c r="Z289" s="66"/>
      <c r="AA289" s="66"/>
      <c r="AB289" s="66"/>
      <c r="AC289" s="66"/>
    </row>
    <row r="290" spans="1:29" x14ac:dyDescent="0.25">
      <c r="A290" s="78" t="s">
        <v>27</v>
      </c>
      <c r="B290" s="79">
        <v>25671</v>
      </c>
      <c r="C290" s="79">
        <v>788</v>
      </c>
      <c r="D290" s="79">
        <v>20228</v>
      </c>
      <c r="E290" s="79">
        <v>31754</v>
      </c>
      <c r="F290" s="79">
        <v>440</v>
      </c>
      <c r="G290" s="79">
        <v>13971</v>
      </c>
      <c r="H290" s="79">
        <v>8524</v>
      </c>
      <c r="I290" s="79">
        <v>750</v>
      </c>
      <c r="J290" s="79">
        <v>6393</v>
      </c>
      <c r="K290" s="79">
        <v>13024</v>
      </c>
      <c r="L290" s="79">
        <v>520</v>
      </c>
      <c r="M290" s="79">
        <v>6774</v>
      </c>
      <c r="N290" s="79">
        <v>1190</v>
      </c>
      <c r="O290" s="79">
        <v>10000</v>
      </c>
      <c r="P290" s="79">
        <v>11900</v>
      </c>
      <c r="Q290" s="80" t="s">
        <v>18</v>
      </c>
      <c r="R290" s="80" t="s">
        <v>18</v>
      </c>
      <c r="S290" s="80" t="s">
        <v>18</v>
      </c>
      <c r="T290" s="80" t="s">
        <v>18</v>
      </c>
      <c r="U290" s="80" t="s">
        <v>18</v>
      </c>
      <c r="V290" s="80" t="s">
        <v>18</v>
      </c>
      <c r="W290" s="79">
        <f t="shared" si="3"/>
        <v>80163</v>
      </c>
      <c r="X290" s="79">
        <f t="shared" si="2"/>
        <v>59266</v>
      </c>
      <c r="Y290" s="66"/>
      <c r="Z290" s="66"/>
      <c r="AA290" s="66"/>
      <c r="AB290" s="66"/>
      <c r="AC290" s="66"/>
    </row>
    <row r="291" spans="1:29" x14ac:dyDescent="0.25">
      <c r="A291" s="78" t="s">
        <v>71</v>
      </c>
      <c r="B291" s="79">
        <v>58356</v>
      </c>
      <c r="C291" s="79">
        <v>988</v>
      </c>
      <c r="D291" s="79">
        <v>57655</v>
      </c>
      <c r="E291" s="79">
        <v>17193</v>
      </c>
      <c r="F291" s="79">
        <v>391</v>
      </c>
      <c r="G291" s="79">
        <v>6722</v>
      </c>
      <c r="H291" s="79">
        <v>5825</v>
      </c>
      <c r="I291" s="79">
        <v>750</v>
      </c>
      <c r="J291" s="79">
        <v>4368</v>
      </c>
      <c r="K291" s="79">
        <v>5962</v>
      </c>
      <c r="L291" s="79">
        <v>380</v>
      </c>
      <c r="M291" s="79">
        <v>2265</v>
      </c>
      <c r="N291" s="79">
        <v>4759</v>
      </c>
      <c r="O291" s="79">
        <v>11000</v>
      </c>
      <c r="P291" s="79">
        <v>52349</v>
      </c>
      <c r="Q291" s="80" t="s">
        <v>18</v>
      </c>
      <c r="R291" s="80" t="s">
        <v>18</v>
      </c>
      <c r="S291" s="80" t="s">
        <v>18</v>
      </c>
      <c r="T291" s="80" t="s">
        <v>18</v>
      </c>
      <c r="U291" s="80" t="s">
        <v>18</v>
      </c>
      <c r="V291" s="80" t="s">
        <v>18</v>
      </c>
      <c r="W291" s="79">
        <f t="shared" si="3"/>
        <v>92095</v>
      </c>
      <c r="X291" s="79">
        <f t="shared" si="2"/>
        <v>123359</v>
      </c>
      <c r="Y291" s="66"/>
      <c r="Z291" s="66"/>
      <c r="AA291" s="66"/>
      <c r="AB291" s="66"/>
      <c r="AC291" s="66"/>
    </row>
    <row r="292" spans="1:29" x14ac:dyDescent="0.25">
      <c r="A292" s="78" t="s">
        <v>72</v>
      </c>
      <c r="B292" s="79">
        <v>43961</v>
      </c>
      <c r="C292" s="79">
        <v>916</v>
      </c>
      <c r="D292" s="79">
        <v>40268</v>
      </c>
      <c r="E292" s="79">
        <v>18290</v>
      </c>
      <c r="F292" s="79">
        <v>422</v>
      </c>
      <c r="G292" s="79">
        <v>7718</v>
      </c>
      <c r="H292" s="79">
        <v>5375</v>
      </c>
      <c r="I292" s="79">
        <v>800</v>
      </c>
      <c r="J292" s="79">
        <v>4300</v>
      </c>
      <c r="K292" s="79">
        <v>4978</v>
      </c>
      <c r="L292" s="79">
        <v>507</v>
      </c>
      <c r="M292" s="79">
        <v>2523</v>
      </c>
      <c r="N292" s="79">
        <v>6704</v>
      </c>
      <c r="O292" s="79">
        <v>11000</v>
      </c>
      <c r="P292" s="79">
        <v>73744</v>
      </c>
      <c r="Q292" s="80" t="s">
        <v>18</v>
      </c>
      <c r="R292" s="80" t="s">
        <v>18</v>
      </c>
      <c r="S292" s="80" t="s">
        <v>18</v>
      </c>
      <c r="T292" s="80" t="s">
        <v>18</v>
      </c>
      <c r="U292" s="80" t="s">
        <v>18</v>
      </c>
      <c r="V292" s="80" t="s">
        <v>18</v>
      </c>
      <c r="W292" s="79">
        <f t="shared" si="3"/>
        <v>79308</v>
      </c>
      <c r="X292" s="79">
        <f t="shared" si="2"/>
        <v>128553</v>
      </c>
      <c r="Y292" s="66"/>
      <c r="Z292" s="66"/>
      <c r="AA292" s="66"/>
      <c r="AB292" s="66"/>
      <c r="AC292" s="66"/>
    </row>
    <row r="293" spans="1:29" x14ac:dyDescent="0.25">
      <c r="A293" s="78" t="s">
        <v>73</v>
      </c>
      <c r="B293" s="79">
        <v>54771</v>
      </c>
      <c r="C293" s="79">
        <v>1085</v>
      </c>
      <c r="D293" s="79">
        <v>59427</v>
      </c>
      <c r="E293" s="79">
        <v>9644</v>
      </c>
      <c r="F293" s="79">
        <v>385</v>
      </c>
      <c r="G293" s="79">
        <v>3712</v>
      </c>
      <c r="H293" s="79">
        <v>13940</v>
      </c>
      <c r="I293" s="79">
        <v>950</v>
      </c>
      <c r="J293" s="79">
        <v>13243</v>
      </c>
      <c r="K293" s="79">
        <v>18556</v>
      </c>
      <c r="L293" s="79">
        <v>576</v>
      </c>
      <c r="M293" s="79">
        <v>10695</v>
      </c>
      <c r="N293" s="79">
        <v>9133</v>
      </c>
      <c r="O293" s="79">
        <v>12000</v>
      </c>
      <c r="P293" s="79">
        <v>109596</v>
      </c>
      <c r="Q293" s="80" t="s">
        <v>18</v>
      </c>
      <c r="R293" s="80" t="s">
        <v>18</v>
      </c>
      <c r="S293" s="80" t="s">
        <v>18</v>
      </c>
      <c r="T293" s="80" t="s">
        <v>18</v>
      </c>
      <c r="U293" s="80" t="s">
        <v>18</v>
      </c>
      <c r="V293" s="80" t="s">
        <v>18</v>
      </c>
      <c r="W293" s="79">
        <f t="shared" si="3"/>
        <v>106044</v>
      </c>
      <c r="X293" s="79">
        <f t="shared" si="2"/>
        <v>196673</v>
      </c>
      <c r="Y293" s="66"/>
      <c r="Z293" s="66"/>
      <c r="AA293" s="66"/>
      <c r="AB293" s="66"/>
      <c r="AC293" s="66"/>
    </row>
    <row r="294" spans="1:29" x14ac:dyDescent="0.25">
      <c r="A294" s="85" t="s">
        <v>31</v>
      </c>
      <c r="B294" s="112">
        <v>234376</v>
      </c>
      <c r="C294" s="112">
        <v>977</v>
      </c>
      <c r="D294" s="112">
        <v>228885</v>
      </c>
      <c r="E294" s="112">
        <f>SUM(E289:E293)</f>
        <v>82316</v>
      </c>
      <c r="F294" s="112">
        <v>421</v>
      </c>
      <c r="G294" s="112">
        <f>SUM(G289:G293)</f>
        <v>34650</v>
      </c>
      <c r="H294" s="112">
        <v>37255</v>
      </c>
      <c r="I294" s="112">
        <v>837</v>
      </c>
      <c r="J294" s="112">
        <v>31176</v>
      </c>
      <c r="K294" s="112">
        <v>57788</v>
      </c>
      <c r="L294" s="112">
        <v>549</v>
      </c>
      <c r="M294" s="112">
        <v>31753</v>
      </c>
      <c r="N294" s="112">
        <f>SUM(N289:N293)</f>
        <v>24461</v>
      </c>
      <c r="O294" s="112">
        <v>11379</v>
      </c>
      <c r="P294" s="112">
        <f>SUM(P289:P293)</f>
        <v>278351</v>
      </c>
      <c r="Q294" s="113" t="s">
        <v>18</v>
      </c>
      <c r="R294" s="113" t="s">
        <v>18</v>
      </c>
      <c r="S294" s="113" t="s">
        <v>18</v>
      </c>
      <c r="T294" s="113" t="s">
        <v>18</v>
      </c>
      <c r="U294" s="113" t="s">
        <v>18</v>
      </c>
      <c r="V294" s="113" t="s">
        <v>18</v>
      </c>
      <c r="W294" s="112">
        <f t="shared" si="3"/>
        <v>436196</v>
      </c>
      <c r="X294" s="112">
        <f t="shared" si="2"/>
        <v>604815</v>
      </c>
      <c r="Y294" s="66"/>
      <c r="Z294" s="66"/>
      <c r="AA294" s="66"/>
      <c r="AB294" s="66"/>
      <c r="AC294" s="66"/>
    </row>
    <row r="295" spans="1:29" x14ac:dyDescent="0.25">
      <c r="A295" s="78" t="s">
        <v>32</v>
      </c>
      <c r="B295" s="79">
        <v>477126</v>
      </c>
      <c r="C295" s="79">
        <v>939</v>
      </c>
      <c r="D295" s="79">
        <v>448089</v>
      </c>
      <c r="E295" s="79">
        <f>E288+E294</f>
        <v>97815</v>
      </c>
      <c r="F295" s="79">
        <v>444</v>
      </c>
      <c r="G295" s="79">
        <f>G288+G294</f>
        <v>43390</v>
      </c>
      <c r="H295" s="79">
        <v>55790</v>
      </c>
      <c r="I295" s="79">
        <v>762</v>
      </c>
      <c r="J295" s="79">
        <v>42526</v>
      </c>
      <c r="K295" s="79">
        <v>158503</v>
      </c>
      <c r="L295" s="79">
        <v>526</v>
      </c>
      <c r="M295" s="79">
        <v>83349</v>
      </c>
      <c r="N295" s="79">
        <f>SUM(N288+N294)</f>
        <v>26656</v>
      </c>
      <c r="O295" s="79">
        <v>11479</v>
      </c>
      <c r="P295" s="79">
        <f>SUM(P288+P294)</f>
        <v>305956</v>
      </c>
      <c r="Q295" s="80" t="s">
        <v>18</v>
      </c>
      <c r="R295" s="80" t="s">
        <v>18</v>
      </c>
      <c r="S295" s="80" t="s">
        <v>18</v>
      </c>
      <c r="T295" s="80" t="s">
        <v>18</v>
      </c>
      <c r="U295" s="80" t="s">
        <v>18</v>
      </c>
      <c r="V295" s="80" t="s">
        <v>18</v>
      </c>
      <c r="W295" s="79">
        <f t="shared" si="3"/>
        <v>815890</v>
      </c>
      <c r="X295" s="79">
        <f t="shared" si="2"/>
        <v>923310</v>
      </c>
      <c r="Y295" s="66"/>
      <c r="Z295" s="66"/>
      <c r="AA295" s="66"/>
      <c r="AB295" s="66"/>
      <c r="AC295" s="66"/>
    </row>
    <row r="296" spans="1:29" x14ac:dyDescent="0.25">
      <c r="A296" s="95" t="s">
        <v>58</v>
      </c>
      <c r="B296" s="96"/>
      <c r="C296" s="96"/>
      <c r="D296" s="95" t="s">
        <v>59</v>
      </c>
      <c r="E296" s="96"/>
      <c r="F296" s="96"/>
      <c r="G296" s="96"/>
      <c r="H296" s="96"/>
      <c r="I296" s="95" t="s">
        <v>60</v>
      </c>
      <c r="J296" s="96"/>
      <c r="K296" s="96"/>
      <c r="L296" s="114"/>
      <c r="M296" s="114"/>
      <c r="N296" s="114"/>
      <c r="O296" s="114"/>
      <c r="P296" s="114"/>
      <c r="Q296" s="114"/>
      <c r="R296" s="114"/>
      <c r="S296" s="114"/>
      <c r="T296" s="114"/>
      <c r="U296" s="114"/>
      <c r="V296" s="114"/>
      <c r="W296" s="114"/>
      <c r="X296" s="114"/>
      <c r="Y296" s="114"/>
      <c r="Z296" s="114"/>
      <c r="AA296" s="114"/>
      <c r="AB296" s="114"/>
      <c r="AC296" s="114"/>
    </row>
    <row r="297" spans="1:29" x14ac:dyDescent="0.25">
      <c r="A297" s="95"/>
      <c r="B297" s="96"/>
      <c r="C297" s="96"/>
      <c r="D297" s="95"/>
      <c r="E297" s="96"/>
      <c r="F297" s="96"/>
      <c r="G297" s="96"/>
      <c r="H297" s="96"/>
      <c r="I297" s="95"/>
      <c r="J297" s="96"/>
      <c r="K297" s="96"/>
      <c r="L297" s="114"/>
      <c r="M297" s="114"/>
      <c r="N297" s="114"/>
      <c r="O297" s="114"/>
      <c r="P297" s="114"/>
      <c r="Q297" s="114"/>
      <c r="R297" s="114"/>
      <c r="S297" s="114"/>
      <c r="T297" s="114"/>
      <c r="U297" s="114"/>
      <c r="V297" s="114"/>
      <c r="W297" s="114"/>
      <c r="X297" s="114"/>
      <c r="Y297" s="114"/>
      <c r="Z297" s="114"/>
      <c r="AA297" s="114"/>
      <c r="AB297" s="114"/>
      <c r="AC297" s="114"/>
    </row>
    <row r="298" spans="1:29" x14ac:dyDescent="0.25">
      <c r="A298" s="64"/>
      <c r="B298" s="65" t="s">
        <v>0</v>
      </c>
      <c r="C298" s="64"/>
      <c r="D298" s="64"/>
      <c r="E298" s="64"/>
      <c r="F298" s="64" t="s">
        <v>76</v>
      </c>
      <c r="G298" s="64" t="s">
        <v>77</v>
      </c>
      <c r="H298" s="64"/>
      <c r="I298" s="65" t="s">
        <v>78</v>
      </c>
      <c r="J298" s="64"/>
      <c r="K298" s="64"/>
      <c r="L298" s="64"/>
      <c r="M298" s="64"/>
      <c r="N298" s="64"/>
      <c r="O298" s="64"/>
      <c r="P298" s="64"/>
      <c r="Q298" s="64"/>
      <c r="R298" s="66"/>
      <c r="S298" s="66"/>
      <c r="T298" s="66"/>
      <c r="U298" s="66"/>
      <c r="V298" s="66"/>
      <c r="W298" s="66"/>
      <c r="X298" s="66"/>
      <c r="Y298" s="66"/>
      <c r="Z298" s="66"/>
      <c r="AA298" s="66"/>
      <c r="AB298" s="66"/>
      <c r="AC298" s="66"/>
    </row>
    <row r="299" spans="1:29" x14ac:dyDescent="0.25">
      <c r="A299" s="98" t="s">
        <v>2</v>
      </c>
      <c r="B299" s="146"/>
      <c r="C299" s="89" t="s">
        <v>66</v>
      </c>
      <c r="D299" s="90"/>
      <c r="E299" s="88"/>
      <c r="F299" s="91" t="s">
        <v>4</v>
      </c>
      <c r="G299" s="90"/>
      <c r="H299" s="88"/>
      <c r="I299" s="89" t="s">
        <v>5</v>
      </c>
      <c r="J299" s="90"/>
      <c r="K299" s="88"/>
      <c r="L299" s="89" t="s">
        <v>6</v>
      </c>
      <c r="M299" s="90"/>
      <c r="N299" s="88"/>
      <c r="O299" s="89" t="s">
        <v>7</v>
      </c>
      <c r="P299" s="90"/>
      <c r="Q299" s="88"/>
      <c r="R299" s="91" t="s">
        <v>8</v>
      </c>
      <c r="S299" s="90"/>
      <c r="T299" s="88"/>
      <c r="U299" s="91" t="s">
        <v>9</v>
      </c>
      <c r="V299" s="90"/>
      <c r="W299" s="72" t="s">
        <v>10</v>
      </c>
      <c r="X299" s="73"/>
      <c r="Y299" s="66"/>
      <c r="Z299" s="66"/>
      <c r="AA299" s="66"/>
      <c r="AB299" s="66"/>
      <c r="AC299" s="66"/>
    </row>
    <row r="300" spans="1:29" ht="15.75" thickBot="1" x14ac:dyDescent="0.3">
      <c r="A300" s="104" t="s">
        <v>11</v>
      </c>
      <c r="B300" s="172" t="s">
        <v>12</v>
      </c>
      <c r="C300" s="106" t="s">
        <v>13</v>
      </c>
      <c r="D300" s="106" t="s">
        <v>14</v>
      </c>
      <c r="E300" s="106" t="s">
        <v>12</v>
      </c>
      <c r="F300" s="106" t="s">
        <v>13</v>
      </c>
      <c r="G300" s="106" t="s">
        <v>14</v>
      </c>
      <c r="H300" s="106" t="s">
        <v>12</v>
      </c>
      <c r="I300" s="106" t="s">
        <v>13</v>
      </c>
      <c r="J300" s="106" t="s">
        <v>14</v>
      </c>
      <c r="K300" s="106" t="s">
        <v>12</v>
      </c>
      <c r="L300" s="106" t="s">
        <v>13</v>
      </c>
      <c r="M300" s="106" t="s">
        <v>14</v>
      </c>
      <c r="N300" s="106" t="s">
        <v>12</v>
      </c>
      <c r="O300" s="106" t="s">
        <v>13</v>
      </c>
      <c r="P300" s="106" t="s">
        <v>14</v>
      </c>
      <c r="Q300" s="106" t="s">
        <v>12</v>
      </c>
      <c r="R300" s="106" t="s">
        <v>13</v>
      </c>
      <c r="S300" s="106" t="s">
        <v>14</v>
      </c>
      <c r="T300" s="106" t="s">
        <v>12</v>
      </c>
      <c r="U300" s="106" t="s">
        <v>13</v>
      </c>
      <c r="V300" s="106" t="s">
        <v>14</v>
      </c>
      <c r="W300" s="145" t="s">
        <v>12</v>
      </c>
      <c r="X300" s="145" t="s">
        <v>14</v>
      </c>
      <c r="Y300" s="66"/>
      <c r="Z300" s="66"/>
      <c r="AA300" s="66"/>
      <c r="AB300" s="66"/>
      <c r="AC300" s="66"/>
    </row>
    <row r="301" spans="1:29" ht="15.75" thickTop="1" x14ac:dyDescent="0.25">
      <c r="A301" s="107" t="s">
        <v>15</v>
      </c>
      <c r="B301" s="108">
        <v>12500</v>
      </c>
      <c r="C301" s="108">
        <v>410</v>
      </c>
      <c r="D301" s="108">
        <v>51250</v>
      </c>
      <c r="E301" s="108">
        <v>52800</v>
      </c>
      <c r="F301" s="108">
        <v>580</v>
      </c>
      <c r="G301" s="108">
        <v>30624</v>
      </c>
      <c r="H301" s="108"/>
      <c r="I301" s="108"/>
      <c r="J301" s="108"/>
      <c r="K301" s="173" t="s">
        <v>18</v>
      </c>
      <c r="L301" s="173" t="s">
        <v>18</v>
      </c>
      <c r="M301" s="173" t="s">
        <v>18</v>
      </c>
      <c r="N301" s="108">
        <v>10000</v>
      </c>
      <c r="O301" s="108">
        <v>500</v>
      </c>
      <c r="P301" s="108">
        <v>5000</v>
      </c>
      <c r="Q301" s="77" t="s">
        <v>18</v>
      </c>
      <c r="R301" s="77" t="s">
        <v>18</v>
      </c>
      <c r="S301" s="77" t="s">
        <v>18</v>
      </c>
      <c r="T301" s="77" t="s">
        <v>18</v>
      </c>
      <c r="U301" s="77" t="s">
        <v>18</v>
      </c>
      <c r="V301" s="77" t="s">
        <v>18</v>
      </c>
      <c r="W301" s="108">
        <v>187800</v>
      </c>
      <c r="X301" s="108">
        <v>86874</v>
      </c>
      <c r="Y301" s="66"/>
      <c r="Z301" s="66"/>
      <c r="AA301" s="66"/>
      <c r="AB301" s="66"/>
      <c r="AC301" s="66"/>
    </row>
    <row r="302" spans="1:29" x14ac:dyDescent="0.25">
      <c r="A302" s="78" t="s">
        <v>49</v>
      </c>
      <c r="B302" s="80"/>
      <c r="C302" s="80"/>
      <c r="D302" s="80"/>
      <c r="E302" s="80"/>
      <c r="F302" s="80"/>
      <c r="G302" s="80"/>
      <c r="H302" s="80"/>
      <c r="I302" s="80"/>
      <c r="J302" s="80"/>
      <c r="K302" s="80"/>
      <c r="L302" s="80"/>
      <c r="M302" s="80"/>
      <c r="N302" s="80"/>
      <c r="O302" s="80"/>
      <c r="P302" s="80"/>
      <c r="Q302" s="80"/>
      <c r="R302" s="80"/>
      <c r="S302" s="80"/>
      <c r="T302" s="80"/>
      <c r="U302" s="80"/>
      <c r="V302" s="80"/>
      <c r="W302" s="80"/>
      <c r="X302" s="80"/>
      <c r="Y302" s="66"/>
      <c r="Z302" s="66"/>
      <c r="AA302" s="66"/>
      <c r="AB302" s="66"/>
      <c r="AC302" s="66"/>
    </row>
    <row r="303" spans="1:29" x14ac:dyDescent="0.25">
      <c r="A303" s="78" t="s">
        <v>17</v>
      </c>
      <c r="B303" s="79">
        <v>68075</v>
      </c>
      <c r="C303" s="79">
        <v>466</v>
      </c>
      <c r="D303" s="79">
        <v>31723</v>
      </c>
      <c r="E303" s="79">
        <v>1200</v>
      </c>
      <c r="F303" s="79">
        <v>452</v>
      </c>
      <c r="G303" s="79">
        <v>5424</v>
      </c>
      <c r="H303" s="80" t="s">
        <v>18</v>
      </c>
      <c r="I303" s="80" t="s">
        <v>18</v>
      </c>
      <c r="J303" s="80" t="s">
        <v>18</v>
      </c>
      <c r="K303" s="80" t="s">
        <v>18</v>
      </c>
      <c r="L303" s="80" t="s">
        <v>18</v>
      </c>
      <c r="M303" s="80" t="s">
        <v>18</v>
      </c>
      <c r="N303" s="80" t="s">
        <v>18</v>
      </c>
      <c r="O303" s="80" t="s">
        <v>18</v>
      </c>
      <c r="P303" s="80" t="s">
        <v>18</v>
      </c>
      <c r="Q303" s="80" t="s">
        <v>18</v>
      </c>
      <c r="R303" s="80" t="s">
        <v>18</v>
      </c>
      <c r="S303" s="80" t="s">
        <v>18</v>
      </c>
      <c r="T303" s="80" t="s">
        <v>18</v>
      </c>
      <c r="U303" s="80" t="s">
        <v>18</v>
      </c>
      <c r="V303" s="80" t="s">
        <v>18</v>
      </c>
      <c r="W303" s="79">
        <v>80075</v>
      </c>
      <c r="X303" s="79">
        <v>37147</v>
      </c>
      <c r="Y303" s="66"/>
      <c r="Z303" s="66"/>
      <c r="AA303" s="66"/>
      <c r="AB303" s="66"/>
      <c r="AC303" s="66"/>
    </row>
    <row r="304" spans="1:29" x14ac:dyDescent="0.25">
      <c r="A304" s="78" t="s">
        <v>19</v>
      </c>
      <c r="B304" s="79">
        <v>132400</v>
      </c>
      <c r="C304" s="79">
        <v>511</v>
      </c>
      <c r="D304" s="79">
        <v>67656</v>
      </c>
      <c r="E304" s="79">
        <v>148255</v>
      </c>
      <c r="F304" s="79">
        <v>600</v>
      </c>
      <c r="G304" s="79">
        <v>99054</v>
      </c>
      <c r="H304" s="79">
        <v>21000</v>
      </c>
      <c r="I304" s="79">
        <v>400</v>
      </c>
      <c r="J304" s="79">
        <v>8400</v>
      </c>
      <c r="K304" s="79">
        <v>423</v>
      </c>
      <c r="L304" s="79">
        <v>2000</v>
      </c>
      <c r="M304" s="79">
        <v>846</v>
      </c>
      <c r="N304" s="79">
        <v>20000</v>
      </c>
      <c r="O304" s="79">
        <v>600</v>
      </c>
      <c r="P304" s="79">
        <v>16750</v>
      </c>
      <c r="Q304" s="80" t="s">
        <v>18</v>
      </c>
      <c r="R304" s="80" t="s">
        <v>18</v>
      </c>
      <c r="S304" s="80" t="s">
        <v>18</v>
      </c>
      <c r="T304" s="80" t="s">
        <v>18</v>
      </c>
      <c r="U304" s="80" t="s">
        <v>18</v>
      </c>
      <c r="V304" s="80" t="s">
        <v>18</v>
      </c>
      <c r="W304" s="79">
        <v>322078</v>
      </c>
      <c r="X304" s="79">
        <v>192706</v>
      </c>
      <c r="Y304" s="66"/>
      <c r="Z304" s="66"/>
      <c r="AA304" s="66"/>
      <c r="AB304" s="66"/>
      <c r="AC304" s="66"/>
    </row>
    <row r="305" spans="1:29" x14ac:dyDescent="0.25">
      <c r="A305" s="78" t="s">
        <v>20</v>
      </c>
      <c r="B305" s="79">
        <v>26500</v>
      </c>
      <c r="C305" s="79">
        <v>538</v>
      </c>
      <c r="D305" s="79">
        <v>14257</v>
      </c>
      <c r="E305" s="79">
        <v>6200</v>
      </c>
      <c r="F305" s="79">
        <v>550</v>
      </c>
      <c r="G305" s="79">
        <v>34100</v>
      </c>
      <c r="H305" s="79">
        <v>2328</v>
      </c>
      <c r="I305" s="79">
        <v>600</v>
      </c>
      <c r="J305" s="79">
        <v>1397</v>
      </c>
      <c r="K305" s="79">
        <v>450</v>
      </c>
      <c r="L305" s="79">
        <v>1200</v>
      </c>
      <c r="M305" s="79">
        <v>540</v>
      </c>
      <c r="N305" s="79">
        <v>25000</v>
      </c>
      <c r="O305" s="79">
        <v>670</v>
      </c>
      <c r="P305" s="80" t="s">
        <v>18</v>
      </c>
      <c r="Q305" s="80" t="s">
        <v>18</v>
      </c>
      <c r="R305" s="80" t="s">
        <v>18</v>
      </c>
      <c r="S305" s="80" t="s">
        <v>18</v>
      </c>
      <c r="T305" s="80" t="s">
        <v>18</v>
      </c>
      <c r="U305" s="80" t="s">
        <v>18</v>
      </c>
      <c r="V305" s="80" t="s">
        <v>18</v>
      </c>
      <c r="W305" s="79">
        <v>116278</v>
      </c>
      <c r="X305" s="79">
        <v>79630</v>
      </c>
      <c r="Y305" s="66"/>
      <c r="Z305" s="66"/>
      <c r="AA305" s="66"/>
      <c r="AB305" s="66"/>
      <c r="AC305" s="66"/>
    </row>
    <row r="306" spans="1:29" x14ac:dyDescent="0.25">
      <c r="A306" s="78" t="s">
        <v>21</v>
      </c>
      <c r="B306" s="79">
        <v>24900</v>
      </c>
      <c r="C306" s="79">
        <v>100</v>
      </c>
      <c r="D306" s="79">
        <v>2490</v>
      </c>
      <c r="E306" s="80" t="s">
        <v>18</v>
      </c>
      <c r="F306" s="80" t="s">
        <v>18</v>
      </c>
      <c r="G306" s="80" t="s">
        <v>18</v>
      </c>
      <c r="H306" s="80" t="s">
        <v>18</v>
      </c>
      <c r="I306" s="80" t="s">
        <v>18</v>
      </c>
      <c r="J306" s="80" t="s">
        <v>18</v>
      </c>
      <c r="K306" s="80" t="s">
        <v>18</v>
      </c>
      <c r="L306" s="80" t="s">
        <v>18</v>
      </c>
      <c r="M306" s="80" t="s">
        <v>18</v>
      </c>
      <c r="N306" s="80" t="s">
        <v>18</v>
      </c>
      <c r="O306" s="80" t="s">
        <v>18</v>
      </c>
      <c r="P306" s="80" t="s">
        <v>18</v>
      </c>
      <c r="Q306" s="80" t="s">
        <v>18</v>
      </c>
      <c r="R306" s="80" t="s">
        <v>18</v>
      </c>
      <c r="S306" s="80" t="s">
        <v>18</v>
      </c>
      <c r="T306" s="80" t="s">
        <v>18</v>
      </c>
      <c r="U306" s="80" t="s">
        <v>18</v>
      </c>
      <c r="V306" s="80" t="s">
        <v>18</v>
      </c>
      <c r="W306" s="79">
        <v>24900</v>
      </c>
      <c r="X306" s="79">
        <v>2490</v>
      </c>
      <c r="Y306" s="66"/>
      <c r="Z306" s="66"/>
      <c r="AA306" s="66"/>
      <c r="AB306" s="66"/>
      <c r="AC306" s="66"/>
    </row>
    <row r="307" spans="1:29" x14ac:dyDescent="0.25">
      <c r="A307" s="78" t="s">
        <v>22</v>
      </c>
      <c r="B307" s="79">
        <v>16900</v>
      </c>
      <c r="C307" s="79">
        <v>333</v>
      </c>
      <c r="D307" s="79">
        <v>5627</v>
      </c>
      <c r="E307" s="80" t="s">
        <v>18</v>
      </c>
      <c r="F307" s="80" t="s">
        <v>18</v>
      </c>
      <c r="G307" s="80" t="s">
        <v>18</v>
      </c>
      <c r="H307" s="79">
        <v>29150</v>
      </c>
      <c r="I307" s="79">
        <v>691</v>
      </c>
      <c r="J307" s="79">
        <v>25972</v>
      </c>
      <c r="K307" s="80" t="s">
        <v>18</v>
      </c>
      <c r="L307" s="80" t="s">
        <v>18</v>
      </c>
      <c r="M307" s="80" t="s">
        <v>18</v>
      </c>
      <c r="N307" s="80" t="s">
        <v>18</v>
      </c>
      <c r="O307" s="79"/>
      <c r="P307" s="80" t="s">
        <v>18</v>
      </c>
      <c r="Q307" s="79">
        <v>2000</v>
      </c>
      <c r="R307" s="79">
        <v>2000</v>
      </c>
      <c r="S307" s="79">
        <v>4000</v>
      </c>
      <c r="T307" s="80" t="s">
        <v>18</v>
      </c>
      <c r="U307" s="80" t="s">
        <v>18</v>
      </c>
      <c r="V307" s="80" t="s">
        <v>18</v>
      </c>
      <c r="W307" s="79">
        <v>48050</v>
      </c>
      <c r="X307" s="79">
        <v>35599</v>
      </c>
      <c r="Y307" s="66"/>
      <c r="Z307" s="66"/>
      <c r="AA307" s="66"/>
      <c r="AB307" s="66"/>
      <c r="AC307" s="66"/>
    </row>
    <row r="308" spans="1:29" x14ac:dyDescent="0.25">
      <c r="A308" s="78" t="s">
        <v>23</v>
      </c>
      <c r="B308" s="79">
        <v>124700</v>
      </c>
      <c r="C308" s="79">
        <v>564</v>
      </c>
      <c r="D308" s="79">
        <v>70330</v>
      </c>
      <c r="E308" s="79">
        <v>75700</v>
      </c>
      <c r="F308" s="79">
        <v>765</v>
      </c>
      <c r="G308" s="79">
        <v>49659</v>
      </c>
      <c r="H308" s="80" t="s">
        <v>18</v>
      </c>
      <c r="I308" s="80" t="s">
        <v>18</v>
      </c>
      <c r="J308" s="80" t="s">
        <v>18</v>
      </c>
      <c r="K308" s="79">
        <v>7700</v>
      </c>
      <c r="L308" s="79">
        <v>470</v>
      </c>
      <c r="M308" s="79">
        <v>3618</v>
      </c>
      <c r="N308" s="80" t="s">
        <v>18</v>
      </c>
      <c r="O308" s="80" t="s">
        <v>18</v>
      </c>
      <c r="P308" s="80" t="s">
        <v>18</v>
      </c>
      <c r="Q308" s="80" t="s">
        <v>18</v>
      </c>
      <c r="R308" s="80" t="s">
        <v>18</v>
      </c>
      <c r="S308" s="80" t="s">
        <v>18</v>
      </c>
      <c r="T308" s="80" t="s">
        <v>18</v>
      </c>
      <c r="U308" s="80" t="s">
        <v>18</v>
      </c>
      <c r="V308" s="80" t="s">
        <v>18</v>
      </c>
      <c r="W308" s="79">
        <v>208100</v>
      </c>
      <c r="X308" s="79">
        <v>123608</v>
      </c>
      <c r="Y308" s="66"/>
      <c r="Z308" s="66"/>
      <c r="AA308" s="66"/>
      <c r="AB308" s="66"/>
      <c r="AC308" s="66"/>
    </row>
    <row r="309" spans="1:29" x14ac:dyDescent="0.25">
      <c r="A309" s="78" t="s">
        <v>24</v>
      </c>
      <c r="B309" s="79">
        <v>7800</v>
      </c>
      <c r="C309" s="79">
        <v>700</v>
      </c>
      <c r="D309" s="79">
        <v>5460</v>
      </c>
      <c r="E309" s="79">
        <v>30000</v>
      </c>
      <c r="F309" s="79">
        <v>900</v>
      </c>
      <c r="G309" s="79">
        <v>27000</v>
      </c>
      <c r="H309" s="79">
        <v>8800</v>
      </c>
      <c r="I309" s="79">
        <v>1000</v>
      </c>
      <c r="J309" s="79">
        <v>8800</v>
      </c>
      <c r="K309" s="79">
        <v>1800</v>
      </c>
      <c r="L309" s="79">
        <v>2000</v>
      </c>
      <c r="M309" s="79">
        <v>3000</v>
      </c>
      <c r="N309" s="79">
        <v>10000</v>
      </c>
      <c r="O309" s="79">
        <v>1000</v>
      </c>
      <c r="P309" s="79">
        <v>10000</v>
      </c>
      <c r="Q309" s="80" t="s">
        <v>18</v>
      </c>
      <c r="R309" s="80" t="s">
        <v>18</v>
      </c>
      <c r="S309" s="80" t="s">
        <v>18</v>
      </c>
      <c r="T309" s="80" t="s">
        <v>18</v>
      </c>
      <c r="U309" s="80" t="s">
        <v>18</v>
      </c>
      <c r="V309" s="80" t="s">
        <v>18</v>
      </c>
      <c r="W309" s="79">
        <v>148400</v>
      </c>
      <c r="X309" s="79">
        <v>144860</v>
      </c>
      <c r="Y309" s="66"/>
      <c r="Z309" s="66"/>
      <c r="AA309" s="66"/>
      <c r="AB309" s="66"/>
      <c r="AC309" s="66"/>
    </row>
    <row r="310" spans="1:29" x14ac:dyDescent="0.25">
      <c r="A310" s="82" t="s">
        <v>25</v>
      </c>
      <c r="B310" s="83">
        <f>SUM(B301:B309)</f>
        <v>413775</v>
      </c>
      <c r="C310" s="83">
        <v>473</v>
      </c>
      <c r="D310" s="83">
        <v>248793</v>
      </c>
      <c r="E310" s="83">
        <f>SUM(E301:E309)</f>
        <v>314155</v>
      </c>
      <c r="F310" s="83">
        <v>679</v>
      </c>
      <c r="G310" s="83">
        <v>258447</v>
      </c>
      <c r="H310" s="83">
        <v>61278</v>
      </c>
      <c r="I310" s="83">
        <v>727</v>
      </c>
      <c r="J310" s="83">
        <v>44569</v>
      </c>
      <c r="K310" s="83">
        <v>10373</v>
      </c>
      <c r="L310" s="83">
        <v>800</v>
      </c>
      <c r="M310" s="83">
        <f>SUM(M304:M309)</f>
        <v>8004</v>
      </c>
      <c r="N310" s="83">
        <f>SUM(N301:N309)</f>
        <v>65000</v>
      </c>
      <c r="O310" s="174">
        <v>863</v>
      </c>
      <c r="P310" s="83">
        <f>SUM(P301:P309)</f>
        <v>31750</v>
      </c>
      <c r="Q310" s="83">
        <v>2000</v>
      </c>
      <c r="R310" s="83">
        <v>2000</v>
      </c>
      <c r="S310" s="83">
        <v>4000</v>
      </c>
      <c r="T310" s="83"/>
      <c r="U310" s="83"/>
      <c r="V310" s="83"/>
      <c r="W310" s="83">
        <v>1135681</v>
      </c>
      <c r="X310" s="83">
        <f>SUM(X301:X309)</f>
        <v>702914</v>
      </c>
      <c r="Y310" s="66"/>
      <c r="Z310" s="66"/>
      <c r="AA310" s="66"/>
      <c r="AB310" s="66"/>
      <c r="AC310" s="66"/>
    </row>
    <row r="311" spans="1:29" x14ac:dyDescent="0.25">
      <c r="A311" s="78" t="s">
        <v>26</v>
      </c>
      <c r="B311" s="79">
        <v>17300</v>
      </c>
      <c r="C311" s="79">
        <v>405</v>
      </c>
      <c r="D311" s="79">
        <v>7006</v>
      </c>
      <c r="E311" s="79">
        <v>115600</v>
      </c>
      <c r="F311" s="79">
        <v>850</v>
      </c>
      <c r="G311" s="79">
        <v>98260</v>
      </c>
      <c r="H311" s="79">
        <v>20000</v>
      </c>
      <c r="I311" s="79">
        <v>600</v>
      </c>
      <c r="J311" s="79">
        <v>12000</v>
      </c>
      <c r="K311" s="79">
        <v>28000</v>
      </c>
      <c r="L311" s="79">
        <v>1503</v>
      </c>
      <c r="M311" s="79">
        <v>42084</v>
      </c>
      <c r="N311" s="79">
        <v>10000</v>
      </c>
      <c r="O311" s="79">
        <v>800</v>
      </c>
      <c r="P311" s="79">
        <v>8000</v>
      </c>
      <c r="Q311" s="80" t="s">
        <v>18</v>
      </c>
      <c r="R311" s="80" t="s">
        <v>18</v>
      </c>
      <c r="S311" s="80" t="s">
        <v>18</v>
      </c>
      <c r="T311" s="80" t="s">
        <v>18</v>
      </c>
      <c r="U311" s="80" t="s">
        <v>18</v>
      </c>
      <c r="V311" s="80" t="s">
        <v>18</v>
      </c>
      <c r="W311" s="79">
        <v>190900</v>
      </c>
      <c r="X311" s="79">
        <v>167350</v>
      </c>
      <c r="Y311" s="66"/>
      <c r="Z311" s="66"/>
      <c r="AA311" s="66"/>
      <c r="AB311" s="66"/>
      <c r="AC311" s="66"/>
    </row>
    <row r="312" spans="1:29" x14ac:dyDescent="0.25">
      <c r="A312" s="78" t="s">
        <v>27</v>
      </c>
      <c r="B312" s="79">
        <v>41500</v>
      </c>
      <c r="C312" s="79">
        <v>660</v>
      </c>
      <c r="D312" s="79">
        <v>27390</v>
      </c>
      <c r="E312" s="79">
        <v>70000</v>
      </c>
      <c r="F312" s="79">
        <v>500</v>
      </c>
      <c r="G312" s="79">
        <v>31500</v>
      </c>
      <c r="H312" s="79">
        <v>13800</v>
      </c>
      <c r="I312" s="79">
        <v>550</v>
      </c>
      <c r="J312" s="79">
        <v>7590</v>
      </c>
      <c r="K312" s="79">
        <v>30400</v>
      </c>
      <c r="L312" s="79">
        <v>1302</v>
      </c>
      <c r="M312" s="79">
        <v>39580</v>
      </c>
      <c r="N312" s="79">
        <v>1500</v>
      </c>
      <c r="O312" s="79">
        <v>600</v>
      </c>
      <c r="P312" s="79">
        <v>900</v>
      </c>
      <c r="Q312" s="80" t="s">
        <v>18</v>
      </c>
      <c r="R312" s="80" t="s">
        <v>18</v>
      </c>
      <c r="S312" s="80" t="s">
        <v>18</v>
      </c>
      <c r="T312" s="80" t="s">
        <v>18</v>
      </c>
      <c r="U312" s="80" t="s">
        <v>18</v>
      </c>
      <c r="V312" s="80" t="s">
        <v>18</v>
      </c>
      <c r="W312" s="79">
        <v>157200</v>
      </c>
      <c r="X312" s="79">
        <v>106960</v>
      </c>
      <c r="Y312" s="66"/>
      <c r="Z312" s="66"/>
      <c r="AA312" s="66"/>
      <c r="AB312" s="66"/>
      <c r="AC312" s="66"/>
    </row>
    <row r="313" spans="1:29" x14ac:dyDescent="0.25">
      <c r="A313" s="78" t="s">
        <v>71</v>
      </c>
      <c r="B313" s="79">
        <v>15600</v>
      </c>
      <c r="C313" s="79">
        <v>381</v>
      </c>
      <c r="D313" s="79">
        <v>5943</v>
      </c>
      <c r="E313" s="79">
        <v>27200</v>
      </c>
      <c r="F313" s="79">
        <v>600</v>
      </c>
      <c r="G313" s="79">
        <v>18876</v>
      </c>
      <c r="H313" s="79">
        <v>2800</v>
      </c>
      <c r="I313" s="79">
        <v>997</v>
      </c>
      <c r="J313" s="79">
        <v>2791</v>
      </c>
      <c r="K313" s="79">
        <v>4060</v>
      </c>
      <c r="L313" s="79">
        <v>1300</v>
      </c>
      <c r="M313" s="79">
        <v>5278</v>
      </c>
      <c r="N313" s="153" t="s">
        <v>18</v>
      </c>
      <c r="O313" s="80" t="s">
        <v>18</v>
      </c>
      <c r="P313" s="80" t="s">
        <v>18</v>
      </c>
      <c r="Q313" s="80" t="s">
        <v>18</v>
      </c>
      <c r="R313" s="80" t="s">
        <v>18</v>
      </c>
      <c r="S313" s="80" t="s">
        <v>18</v>
      </c>
      <c r="T313" s="79">
        <v>1000</v>
      </c>
      <c r="U313" s="79">
        <v>350</v>
      </c>
      <c r="V313" s="79">
        <v>350</v>
      </c>
      <c r="W313" s="79">
        <v>50660</v>
      </c>
      <c r="X313" s="79">
        <v>33238</v>
      </c>
      <c r="Y313" s="66"/>
      <c r="Z313" s="66"/>
      <c r="AA313" s="66"/>
      <c r="AB313" s="66"/>
      <c r="AC313" s="66"/>
    </row>
    <row r="314" spans="1:29" x14ac:dyDescent="0.25">
      <c r="A314" s="78" t="s">
        <v>72</v>
      </c>
      <c r="B314" s="79">
        <v>30500</v>
      </c>
      <c r="C314" s="79">
        <v>637</v>
      </c>
      <c r="D314" s="79">
        <v>19428</v>
      </c>
      <c r="E314" s="79">
        <v>33300</v>
      </c>
      <c r="F314" s="79">
        <v>750</v>
      </c>
      <c r="G314" s="79">
        <v>21445</v>
      </c>
      <c r="H314" s="79">
        <v>8360</v>
      </c>
      <c r="I314" s="79">
        <v>673</v>
      </c>
      <c r="J314" s="79">
        <v>5626</v>
      </c>
      <c r="K314" s="79">
        <v>24630</v>
      </c>
      <c r="L314" s="79">
        <v>1250</v>
      </c>
      <c r="M314" s="79">
        <v>30787</v>
      </c>
      <c r="N314" s="153" t="s">
        <v>18</v>
      </c>
      <c r="O314" s="80" t="s">
        <v>18</v>
      </c>
      <c r="P314" s="80" t="s">
        <v>18</v>
      </c>
      <c r="Q314" s="80" t="s">
        <v>18</v>
      </c>
      <c r="R314" s="80" t="s">
        <v>18</v>
      </c>
      <c r="S314" s="80" t="s">
        <v>18</v>
      </c>
      <c r="T314" s="80" t="s">
        <v>18</v>
      </c>
      <c r="U314" s="80" t="s">
        <v>18</v>
      </c>
      <c r="V314" s="80" t="s">
        <v>18</v>
      </c>
      <c r="W314" s="79">
        <v>96790</v>
      </c>
      <c r="X314" s="79">
        <v>77286</v>
      </c>
      <c r="Y314" s="66"/>
      <c r="Z314" s="66"/>
      <c r="AA314" s="66"/>
      <c r="AB314" s="66"/>
      <c r="AC314" s="66"/>
    </row>
    <row r="315" spans="1:29" x14ac:dyDescent="0.25">
      <c r="A315" s="78" t="s">
        <v>73</v>
      </c>
      <c r="B315" s="79">
        <v>75760</v>
      </c>
      <c r="C315" s="79">
        <v>645</v>
      </c>
      <c r="D315" s="79">
        <v>48865</v>
      </c>
      <c r="E315" s="79">
        <v>70200</v>
      </c>
      <c r="F315" s="79">
        <v>640</v>
      </c>
      <c r="G315" s="79">
        <v>52158</v>
      </c>
      <c r="H315" s="79">
        <v>12100</v>
      </c>
      <c r="I315" s="79">
        <v>973</v>
      </c>
      <c r="J315" s="79">
        <v>11773</v>
      </c>
      <c r="K315" s="79">
        <v>6340</v>
      </c>
      <c r="L315" s="79">
        <v>1348</v>
      </c>
      <c r="M315" s="79">
        <v>8546</v>
      </c>
      <c r="N315" s="79">
        <v>11500</v>
      </c>
      <c r="O315" s="79">
        <v>700</v>
      </c>
      <c r="P315" s="79">
        <v>8050</v>
      </c>
      <c r="Q315" s="80" t="s">
        <v>18</v>
      </c>
      <c r="R315" s="80" t="s">
        <v>18</v>
      </c>
      <c r="S315" s="80" t="s">
        <v>18</v>
      </c>
      <c r="T315" s="80" t="s">
        <v>18</v>
      </c>
      <c r="U315" s="80" t="s">
        <v>18</v>
      </c>
      <c r="V315" s="80" t="s">
        <v>18</v>
      </c>
      <c r="W315" s="79">
        <v>175900</v>
      </c>
      <c r="X315" s="79">
        <v>129392</v>
      </c>
      <c r="Y315" s="66"/>
      <c r="Z315" s="66"/>
      <c r="AA315" s="66"/>
      <c r="AB315" s="66"/>
      <c r="AC315" s="66"/>
    </row>
    <row r="316" spans="1:29" x14ac:dyDescent="0.25">
      <c r="A316" s="85" t="s">
        <v>31</v>
      </c>
      <c r="B316" s="83">
        <v>180660</v>
      </c>
      <c r="C316" s="83">
        <v>601</v>
      </c>
      <c r="D316" s="83">
        <v>108632</v>
      </c>
      <c r="E316" s="83">
        <v>316300</v>
      </c>
      <c r="F316" s="83">
        <v>703</v>
      </c>
      <c r="G316" s="83">
        <v>222239</v>
      </c>
      <c r="H316" s="83">
        <v>57060</v>
      </c>
      <c r="I316" s="83">
        <v>697</v>
      </c>
      <c r="J316" s="83">
        <v>39780</v>
      </c>
      <c r="K316" s="83">
        <v>93430</v>
      </c>
      <c r="L316" s="83">
        <v>1351</v>
      </c>
      <c r="M316" s="83">
        <v>126275</v>
      </c>
      <c r="N316" s="83">
        <v>23000</v>
      </c>
      <c r="O316" s="83">
        <v>737</v>
      </c>
      <c r="P316" s="83">
        <v>16950</v>
      </c>
      <c r="Q316" s="83"/>
      <c r="R316" s="83"/>
      <c r="S316" s="83"/>
      <c r="T316" s="83">
        <v>1000</v>
      </c>
      <c r="U316" s="83"/>
      <c r="V316" s="83">
        <v>350</v>
      </c>
      <c r="W316" s="83">
        <v>671450</v>
      </c>
      <c r="X316" s="83">
        <v>514226</v>
      </c>
      <c r="Y316" s="66"/>
      <c r="Z316" s="66"/>
      <c r="AA316" s="66"/>
      <c r="AB316" s="66"/>
      <c r="AC316" s="66"/>
    </row>
    <row r="317" spans="1:29" x14ac:dyDescent="0.25">
      <c r="A317" s="78" t="s">
        <v>32</v>
      </c>
      <c r="B317" s="79">
        <v>706935</v>
      </c>
      <c r="C317" s="79">
        <v>506</v>
      </c>
      <c r="D317" s="79">
        <v>357425</v>
      </c>
      <c r="E317" s="79">
        <v>697055</v>
      </c>
      <c r="F317" s="79">
        <v>690</v>
      </c>
      <c r="G317" s="79">
        <v>480686</v>
      </c>
      <c r="H317" s="79">
        <v>11773</v>
      </c>
      <c r="I317" s="79">
        <v>713</v>
      </c>
      <c r="J317" s="79">
        <v>84349</v>
      </c>
      <c r="K317" s="79">
        <v>103803</v>
      </c>
      <c r="L317" s="79">
        <v>1299</v>
      </c>
      <c r="M317" s="79">
        <v>134880</v>
      </c>
      <c r="N317" s="79">
        <v>178000</v>
      </c>
      <c r="O317" s="79">
        <v>847</v>
      </c>
      <c r="P317" s="79">
        <v>150700</v>
      </c>
      <c r="Q317" s="79">
        <v>2000</v>
      </c>
      <c r="R317" s="79">
        <v>2000</v>
      </c>
      <c r="S317" s="79">
        <v>4000</v>
      </c>
      <c r="T317" s="79">
        <v>1000</v>
      </c>
      <c r="U317" s="79">
        <v>350</v>
      </c>
      <c r="V317" s="79">
        <v>350</v>
      </c>
      <c r="W317" s="79">
        <v>1700866</v>
      </c>
      <c r="X317" s="175">
        <f>X310+X316</f>
        <v>1217140</v>
      </c>
      <c r="Y317" s="66"/>
      <c r="Z317" s="66"/>
      <c r="AA317" s="66"/>
      <c r="AB317" s="66"/>
      <c r="AC317" s="66"/>
    </row>
    <row r="318" spans="1:29" x14ac:dyDescent="0.25">
      <c r="A318" s="86"/>
      <c r="B318" s="86"/>
      <c r="C318" s="86"/>
      <c r="D318" s="86"/>
      <c r="E318" s="86"/>
      <c r="F318" s="86"/>
      <c r="G318" s="86"/>
      <c r="H318" s="86"/>
      <c r="I318" s="86"/>
      <c r="J318" s="86"/>
      <c r="K318" s="86"/>
      <c r="L318" s="86"/>
      <c r="M318" s="86"/>
      <c r="N318" s="86"/>
      <c r="O318" s="86"/>
      <c r="P318" s="86"/>
      <c r="Q318" s="86"/>
      <c r="R318" s="86"/>
      <c r="S318" s="86"/>
      <c r="T318" s="86"/>
      <c r="U318" s="86"/>
      <c r="V318" s="86"/>
      <c r="W318" s="86"/>
      <c r="X318" s="138"/>
      <c r="Y318" s="66"/>
      <c r="Z318" s="66"/>
      <c r="AA318" s="66"/>
      <c r="AB318" s="66"/>
      <c r="AC318" s="66"/>
    </row>
    <row r="319" spans="1:29" x14ac:dyDescent="0.25">
      <c r="A319" s="86"/>
      <c r="B319" s="65" t="s">
        <v>79</v>
      </c>
      <c r="C319" s="86"/>
      <c r="D319" s="86"/>
      <c r="E319" s="86"/>
      <c r="F319" s="86"/>
      <c r="G319" s="86"/>
      <c r="H319" s="86"/>
      <c r="I319" s="86"/>
      <c r="J319" s="86"/>
      <c r="K319" s="86"/>
      <c r="L319" s="87" t="s">
        <v>34</v>
      </c>
      <c r="M319" s="86"/>
      <c r="N319" s="66"/>
      <c r="O319" s="87" t="s">
        <v>35</v>
      </c>
      <c r="P319" s="66"/>
      <c r="Q319" s="86"/>
      <c r="R319" s="86"/>
      <c r="S319" s="86"/>
      <c r="T319" s="86"/>
      <c r="U319" s="86"/>
      <c r="V319" s="86"/>
      <c r="W319" s="86"/>
      <c r="X319" s="86"/>
      <c r="Y319" s="66"/>
      <c r="Z319" s="66"/>
      <c r="AA319" s="66"/>
      <c r="AB319" s="66"/>
      <c r="AC319" s="66"/>
    </row>
    <row r="320" spans="1:29" x14ac:dyDescent="0.25">
      <c r="A320" s="169" t="s">
        <v>2</v>
      </c>
      <c r="B320" s="88"/>
      <c r="C320" s="89" t="s">
        <v>37</v>
      </c>
      <c r="D320" s="90"/>
      <c r="E320" s="88"/>
      <c r="F320" s="89" t="s">
        <v>38</v>
      </c>
      <c r="G320" s="90"/>
      <c r="H320" s="88"/>
      <c r="I320" s="89" t="s">
        <v>69</v>
      </c>
      <c r="J320" s="90"/>
      <c r="K320" s="88"/>
      <c r="L320" s="91" t="s">
        <v>70</v>
      </c>
      <c r="M320" s="90"/>
      <c r="N320" s="88"/>
      <c r="O320" s="91" t="s">
        <v>41</v>
      </c>
      <c r="P320" s="90"/>
      <c r="Q320" s="146"/>
      <c r="R320" s="91" t="s">
        <v>54</v>
      </c>
      <c r="S320" s="146"/>
      <c r="T320" s="146"/>
      <c r="U320" s="91" t="s">
        <v>43</v>
      </c>
      <c r="V320" s="146"/>
      <c r="W320" s="176"/>
      <c r="X320" s="93" t="s">
        <v>57</v>
      </c>
      <c r="Y320" s="66"/>
      <c r="Z320" s="66"/>
      <c r="AA320" s="66"/>
      <c r="AB320" s="66"/>
      <c r="AC320" s="66"/>
    </row>
    <row r="321" spans="1:29" ht="15.75" thickBot="1" x14ac:dyDescent="0.3">
      <c r="A321" s="170" t="s">
        <v>11</v>
      </c>
      <c r="B321" s="106" t="s">
        <v>12</v>
      </c>
      <c r="C321" s="106" t="s">
        <v>13</v>
      </c>
      <c r="D321" s="106" t="s">
        <v>14</v>
      </c>
      <c r="E321" s="106" t="s">
        <v>12</v>
      </c>
      <c r="F321" s="106" t="s">
        <v>13</v>
      </c>
      <c r="G321" s="106" t="s">
        <v>14</v>
      </c>
      <c r="H321" s="106" t="s">
        <v>12</v>
      </c>
      <c r="I321" s="106" t="s">
        <v>13</v>
      </c>
      <c r="J321" s="106" t="s">
        <v>14</v>
      </c>
      <c r="K321" s="106" t="s">
        <v>12</v>
      </c>
      <c r="L321" s="106" t="s">
        <v>13</v>
      </c>
      <c r="M321" s="106" t="s">
        <v>14</v>
      </c>
      <c r="N321" s="106" t="s">
        <v>12</v>
      </c>
      <c r="O321" s="106" t="s">
        <v>13</v>
      </c>
      <c r="P321" s="106" t="s">
        <v>14</v>
      </c>
      <c r="Q321" s="106" t="s">
        <v>12</v>
      </c>
      <c r="R321" s="106" t="s">
        <v>13</v>
      </c>
      <c r="S321" s="106" t="s">
        <v>14</v>
      </c>
      <c r="T321" s="106" t="s">
        <v>12</v>
      </c>
      <c r="U321" s="106" t="s">
        <v>13</v>
      </c>
      <c r="V321" s="177" t="s">
        <v>14</v>
      </c>
      <c r="W321" s="145" t="s">
        <v>12</v>
      </c>
      <c r="X321" s="178" t="s">
        <v>14</v>
      </c>
      <c r="Y321" s="66"/>
      <c r="Z321" s="66"/>
      <c r="AA321" s="66"/>
      <c r="AB321" s="66"/>
      <c r="AC321" s="66"/>
    </row>
    <row r="322" spans="1:29" ht="15.75" thickTop="1" x14ac:dyDescent="0.25">
      <c r="A322" s="107" t="s">
        <v>15</v>
      </c>
      <c r="B322" s="108">
        <v>13126</v>
      </c>
      <c r="C322" s="108">
        <v>520</v>
      </c>
      <c r="D322" s="108">
        <v>6825</v>
      </c>
      <c r="E322" s="108">
        <v>1870</v>
      </c>
      <c r="F322" s="108">
        <v>170</v>
      </c>
      <c r="G322" s="108">
        <v>318</v>
      </c>
      <c r="H322" s="108">
        <v>5362</v>
      </c>
      <c r="I322" s="108">
        <v>490</v>
      </c>
      <c r="J322" s="108">
        <v>2627</v>
      </c>
      <c r="K322" s="77" t="s">
        <v>80</v>
      </c>
      <c r="L322" s="77" t="s">
        <v>80</v>
      </c>
      <c r="M322" s="77" t="s">
        <v>80</v>
      </c>
      <c r="N322" s="77" t="s">
        <v>18</v>
      </c>
      <c r="O322" s="77" t="s">
        <v>18</v>
      </c>
      <c r="P322" s="77" t="s">
        <v>18</v>
      </c>
      <c r="Q322" s="77" t="s">
        <v>18</v>
      </c>
      <c r="R322" s="77" t="s">
        <v>18</v>
      </c>
      <c r="S322" s="77" t="s">
        <v>18</v>
      </c>
      <c r="T322" s="77" t="s">
        <v>18</v>
      </c>
      <c r="U322" s="77" t="s">
        <v>18</v>
      </c>
      <c r="V322" s="179" t="s">
        <v>18</v>
      </c>
      <c r="W322" s="108">
        <v>20358</v>
      </c>
      <c r="X322" s="151">
        <v>9770</v>
      </c>
      <c r="Y322" s="66"/>
      <c r="Z322" s="66"/>
      <c r="AA322" s="66"/>
      <c r="AB322" s="66"/>
      <c r="AC322" s="66"/>
    </row>
    <row r="323" spans="1:29" x14ac:dyDescent="0.25">
      <c r="A323" s="78" t="s">
        <v>49</v>
      </c>
      <c r="B323" s="80"/>
      <c r="C323" s="80"/>
      <c r="D323" s="80"/>
      <c r="E323" s="80"/>
      <c r="F323" s="80"/>
      <c r="G323" s="80"/>
      <c r="H323" s="80"/>
      <c r="I323" s="80"/>
      <c r="J323" s="80"/>
      <c r="K323" s="80"/>
      <c r="L323" s="80"/>
      <c r="M323" s="80" t="s">
        <v>80</v>
      </c>
      <c r="N323" s="80"/>
      <c r="O323" s="80"/>
      <c r="P323" s="80"/>
      <c r="Q323" s="80"/>
      <c r="R323" s="80"/>
      <c r="S323" s="80"/>
      <c r="T323" s="80"/>
      <c r="U323" s="80"/>
      <c r="V323" s="132"/>
      <c r="W323" s="80"/>
      <c r="X323" s="80"/>
      <c r="Y323" s="66"/>
      <c r="Z323" s="66"/>
      <c r="AA323" s="66"/>
      <c r="AB323" s="66"/>
      <c r="AC323" s="66"/>
    </row>
    <row r="324" spans="1:29" x14ac:dyDescent="0.25">
      <c r="A324" s="78" t="s">
        <v>17</v>
      </c>
      <c r="B324" s="79">
        <v>11602</v>
      </c>
      <c r="C324" s="79">
        <v>487</v>
      </c>
      <c r="D324" s="79">
        <v>5650</v>
      </c>
      <c r="E324" s="79">
        <v>1415</v>
      </c>
      <c r="F324" s="79">
        <v>200</v>
      </c>
      <c r="G324" s="79">
        <v>283</v>
      </c>
      <c r="H324" s="79">
        <v>91</v>
      </c>
      <c r="I324" s="79">
        <v>300</v>
      </c>
      <c r="J324" s="79">
        <v>27</v>
      </c>
      <c r="K324" s="80" t="s">
        <v>80</v>
      </c>
      <c r="L324" s="80" t="s">
        <v>80</v>
      </c>
      <c r="M324" s="80" t="s">
        <v>80</v>
      </c>
      <c r="N324" s="80" t="s">
        <v>18</v>
      </c>
      <c r="O324" s="80" t="s">
        <v>18</v>
      </c>
      <c r="P324" s="80" t="s">
        <v>18</v>
      </c>
      <c r="Q324" s="80" t="s">
        <v>18</v>
      </c>
      <c r="R324" s="80" t="s">
        <v>18</v>
      </c>
      <c r="S324" s="80" t="s">
        <v>18</v>
      </c>
      <c r="T324" s="80" t="s">
        <v>18</v>
      </c>
      <c r="U324" s="80" t="s">
        <v>18</v>
      </c>
      <c r="V324" s="132" t="s">
        <v>18</v>
      </c>
      <c r="W324" s="79">
        <v>13108</v>
      </c>
      <c r="X324" s="73">
        <v>5960</v>
      </c>
      <c r="Y324" s="66"/>
      <c r="Z324" s="66"/>
      <c r="AA324" s="66"/>
      <c r="AB324" s="66"/>
      <c r="AC324" s="66"/>
    </row>
    <row r="325" spans="1:29" x14ac:dyDescent="0.25">
      <c r="A325" s="78" t="s">
        <v>46</v>
      </c>
      <c r="B325" s="79">
        <v>17455</v>
      </c>
      <c r="C325" s="79">
        <v>950</v>
      </c>
      <c r="D325" s="79">
        <v>16756</v>
      </c>
      <c r="E325" s="78" t="s">
        <v>18</v>
      </c>
      <c r="F325" s="78" t="s">
        <v>18</v>
      </c>
      <c r="G325" s="78" t="s">
        <v>18</v>
      </c>
      <c r="H325" s="78" t="s">
        <v>18</v>
      </c>
      <c r="I325" s="78" t="s">
        <v>18</v>
      </c>
      <c r="J325" s="78" t="s">
        <v>18</v>
      </c>
      <c r="K325" s="80" t="s">
        <v>80</v>
      </c>
      <c r="L325" s="80" t="s">
        <v>80</v>
      </c>
      <c r="M325" s="80" t="s">
        <v>80</v>
      </c>
      <c r="N325" s="79">
        <v>1700</v>
      </c>
      <c r="O325" s="79">
        <v>12000</v>
      </c>
      <c r="P325" s="79">
        <v>20400</v>
      </c>
      <c r="Q325" s="80" t="s">
        <v>18</v>
      </c>
      <c r="R325" s="80" t="s">
        <v>18</v>
      </c>
      <c r="S325" s="80" t="s">
        <v>18</v>
      </c>
      <c r="T325" s="80" t="s">
        <v>18</v>
      </c>
      <c r="U325" s="80" t="s">
        <v>18</v>
      </c>
      <c r="V325" s="132" t="s">
        <v>18</v>
      </c>
      <c r="W325" s="79">
        <v>19155</v>
      </c>
      <c r="X325" s="73">
        <v>37156</v>
      </c>
      <c r="Y325" s="66"/>
      <c r="Z325" s="66"/>
      <c r="AA325" s="66"/>
      <c r="AB325" s="66"/>
      <c r="AC325" s="66"/>
    </row>
    <row r="326" spans="1:29" x14ac:dyDescent="0.25">
      <c r="A326" s="78" t="s">
        <v>20</v>
      </c>
      <c r="B326" s="79">
        <v>11790</v>
      </c>
      <c r="C326" s="79">
        <v>942</v>
      </c>
      <c r="D326" s="79">
        <v>9342</v>
      </c>
      <c r="E326" s="79">
        <v>4792</v>
      </c>
      <c r="F326" s="79">
        <v>413</v>
      </c>
      <c r="G326" s="79">
        <v>1981</v>
      </c>
      <c r="H326" s="79">
        <v>1134</v>
      </c>
      <c r="I326" s="79">
        <v>400</v>
      </c>
      <c r="J326" s="79">
        <v>434</v>
      </c>
      <c r="K326" s="80" t="s">
        <v>80</v>
      </c>
      <c r="L326" s="80" t="s">
        <v>80</v>
      </c>
      <c r="M326" s="80" t="s">
        <v>80</v>
      </c>
      <c r="N326" s="80" t="s">
        <v>18</v>
      </c>
      <c r="O326" s="80" t="s">
        <v>18</v>
      </c>
      <c r="P326" s="80" t="s">
        <v>18</v>
      </c>
      <c r="Q326" s="80" t="s">
        <v>18</v>
      </c>
      <c r="R326" s="80" t="s">
        <v>18</v>
      </c>
      <c r="S326" s="80" t="s">
        <v>18</v>
      </c>
      <c r="T326" s="80" t="s">
        <v>18</v>
      </c>
      <c r="U326" s="80" t="s">
        <v>18</v>
      </c>
      <c r="V326" s="132" t="s">
        <v>18</v>
      </c>
      <c r="W326" s="79">
        <v>17716</v>
      </c>
      <c r="X326" s="73">
        <v>11777</v>
      </c>
      <c r="Y326" s="66"/>
      <c r="Z326" s="66"/>
      <c r="AA326" s="66"/>
      <c r="AB326" s="66"/>
      <c r="AC326" s="66"/>
    </row>
    <row r="327" spans="1:29" x14ac:dyDescent="0.25">
      <c r="A327" s="78" t="s">
        <v>21</v>
      </c>
      <c r="B327" s="78" t="s">
        <v>18</v>
      </c>
      <c r="C327" s="78" t="s">
        <v>18</v>
      </c>
      <c r="D327" s="78" t="s">
        <v>18</v>
      </c>
      <c r="E327" s="80" t="s">
        <v>18</v>
      </c>
      <c r="F327" s="80" t="s">
        <v>18</v>
      </c>
      <c r="G327" s="80" t="s">
        <v>80</v>
      </c>
      <c r="H327" s="78" t="s">
        <v>18</v>
      </c>
      <c r="I327" s="78" t="s">
        <v>18</v>
      </c>
      <c r="J327" s="79"/>
      <c r="K327" s="80" t="s">
        <v>80</v>
      </c>
      <c r="L327" s="80" t="s">
        <v>80</v>
      </c>
      <c r="M327" s="80" t="s">
        <v>80</v>
      </c>
      <c r="N327" s="80" t="s">
        <v>18</v>
      </c>
      <c r="O327" s="80" t="s">
        <v>18</v>
      </c>
      <c r="P327" s="80" t="s">
        <v>18</v>
      </c>
      <c r="Q327" s="80" t="s">
        <v>18</v>
      </c>
      <c r="R327" s="80" t="s">
        <v>18</v>
      </c>
      <c r="S327" s="80" t="s">
        <v>18</v>
      </c>
      <c r="T327" s="80" t="s">
        <v>18</v>
      </c>
      <c r="U327" s="80" t="s">
        <v>18</v>
      </c>
      <c r="V327" s="132" t="s">
        <v>18</v>
      </c>
      <c r="W327" s="80" t="s">
        <v>18</v>
      </c>
      <c r="X327" s="80" t="s">
        <v>18</v>
      </c>
      <c r="Y327" s="66"/>
      <c r="Z327" s="66"/>
      <c r="AA327" s="66"/>
      <c r="AB327" s="66"/>
      <c r="AC327" s="66"/>
    </row>
    <row r="328" spans="1:29" x14ac:dyDescent="0.25">
      <c r="A328" s="78" t="s">
        <v>22</v>
      </c>
      <c r="B328" s="78" t="s">
        <v>18</v>
      </c>
      <c r="C328" s="78" t="s">
        <v>18</v>
      </c>
      <c r="D328" s="78" t="s">
        <v>18</v>
      </c>
      <c r="E328" s="80" t="s">
        <v>18</v>
      </c>
      <c r="F328" s="80" t="s">
        <v>18</v>
      </c>
      <c r="G328" s="80" t="s">
        <v>80</v>
      </c>
      <c r="H328" s="80" t="s">
        <v>18</v>
      </c>
      <c r="I328" s="78" t="s">
        <v>18</v>
      </c>
      <c r="J328" s="79"/>
      <c r="K328" s="80" t="s">
        <v>80</v>
      </c>
      <c r="L328" s="80" t="s">
        <v>80</v>
      </c>
      <c r="M328" s="80" t="s">
        <v>80</v>
      </c>
      <c r="N328" s="79">
        <v>82</v>
      </c>
      <c r="O328" s="79">
        <v>25000</v>
      </c>
      <c r="P328" s="79">
        <v>2125</v>
      </c>
      <c r="Q328" s="80" t="s">
        <v>18</v>
      </c>
      <c r="R328" s="80" t="s">
        <v>18</v>
      </c>
      <c r="S328" s="80" t="s">
        <v>18</v>
      </c>
      <c r="T328" s="80" t="s">
        <v>18</v>
      </c>
      <c r="U328" s="80" t="s">
        <v>18</v>
      </c>
      <c r="V328" s="132" t="s">
        <v>18</v>
      </c>
      <c r="W328" s="79">
        <v>82</v>
      </c>
      <c r="X328" s="73">
        <v>2125</v>
      </c>
      <c r="Y328" s="66"/>
      <c r="Z328" s="66"/>
      <c r="AA328" s="66"/>
      <c r="AB328" s="66"/>
      <c r="AC328" s="66"/>
    </row>
    <row r="329" spans="1:29" x14ac:dyDescent="0.25">
      <c r="A329" s="78" t="s">
        <v>23</v>
      </c>
      <c r="B329" s="79">
        <v>112700</v>
      </c>
      <c r="C329" s="79">
        <v>1165</v>
      </c>
      <c r="D329" s="79">
        <v>131295</v>
      </c>
      <c r="E329" s="79">
        <v>6090</v>
      </c>
      <c r="F329" s="79">
        <v>400</v>
      </c>
      <c r="G329" s="79">
        <v>2436</v>
      </c>
      <c r="H329" s="79">
        <v>1735</v>
      </c>
      <c r="I329" s="79">
        <v>400</v>
      </c>
      <c r="J329" s="79">
        <v>694</v>
      </c>
      <c r="K329" s="80" t="s">
        <v>80</v>
      </c>
      <c r="L329" s="80" t="s">
        <v>80</v>
      </c>
      <c r="M329" s="80" t="s">
        <v>80</v>
      </c>
      <c r="N329" s="80" t="s">
        <v>18</v>
      </c>
      <c r="O329" s="80" t="s">
        <v>18</v>
      </c>
      <c r="P329" s="80" t="s">
        <v>18</v>
      </c>
      <c r="Q329" s="80" t="s">
        <v>18</v>
      </c>
      <c r="R329" s="80" t="s">
        <v>18</v>
      </c>
      <c r="S329" s="80" t="s">
        <v>18</v>
      </c>
      <c r="T329" s="80" t="s">
        <v>18</v>
      </c>
      <c r="U329" s="80" t="s">
        <v>18</v>
      </c>
      <c r="V329" s="132" t="s">
        <v>18</v>
      </c>
      <c r="W329" s="79">
        <v>120525</v>
      </c>
      <c r="X329" s="73">
        <v>134425</v>
      </c>
      <c r="Y329" s="66"/>
      <c r="Z329" s="66"/>
      <c r="AA329" s="66"/>
      <c r="AB329" s="66"/>
      <c r="AC329" s="66"/>
    </row>
    <row r="330" spans="1:29" x14ac:dyDescent="0.25">
      <c r="A330" s="78" t="s">
        <v>24</v>
      </c>
      <c r="B330" s="79">
        <v>8000</v>
      </c>
      <c r="C330" s="79">
        <v>900</v>
      </c>
      <c r="D330" s="79">
        <v>7200</v>
      </c>
      <c r="E330" s="79">
        <v>3400</v>
      </c>
      <c r="F330" s="79">
        <v>600</v>
      </c>
      <c r="G330" s="79">
        <v>2040</v>
      </c>
      <c r="H330" s="79">
        <v>3300</v>
      </c>
      <c r="I330" s="79">
        <v>600</v>
      </c>
      <c r="J330" s="79">
        <v>1980</v>
      </c>
      <c r="K330" s="80" t="s">
        <v>80</v>
      </c>
      <c r="L330" s="80" t="s">
        <v>80</v>
      </c>
      <c r="M330" s="80" t="s">
        <v>80</v>
      </c>
      <c r="N330" s="79">
        <v>340</v>
      </c>
      <c r="O330" s="79">
        <v>12000</v>
      </c>
      <c r="P330" s="79">
        <v>4080</v>
      </c>
      <c r="Q330" s="80" t="s">
        <v>18</v>
      </c>
      <c r="R330" s="80" t="s">
        <v>18</v>
      </c>
      <c r="S330" s="80" t="s">
        <v>18</v>
      </c>
      <c r="T330" s="80" t="s">
        <v>18</v>
      </c>
      <c r="U330" s="80" t="s">
        <v>18</v>
      </c>
      <c r="V330" s="132" t="s">
        <v>18</v>
      </c>
      <c r="W330" s="79">
        <v>15040</v>
      </c>
      <c r="X330" s="73">
        <v>15300</v>
      </c>
      <c r="Y330" s="66"/>
      <c r="Z330" s="66"/>
      <c r="AA330" s="66"/>
      <c r="AB330" s="66"/>
      <c r="AC330" s="66"/>
    </row>
    <row r="331" spans="1:29" x14ac:dyDescent="0.25">
      <c r="A331" s="82" t="s">
        <v>25</v>
      </c>
      <c r="B331" s="83">
        <v>174472</v>
      </c>
      <c r="C331" s="83">
        <v>1014</v>
      </c>
      <c r="D331" s="83">
        <v>177068</v>
      </c>
      <c r="E331" s="83">
        <v>17567</v>
      </c>
      <c r="F331" s="83">
        <v>402</v>
      </c>
      <c r="G331" s="83">
        <v>7056</v>
      </c>
      <c r="H331" s="180">
        <v>11622</v>
      </c>
      <c r="I331" s="83">
        <v>600</v>
      </c>
      <c r="J331" s="83">
        <v>5782</v>
      </c>
      <c r="K331" s="83"/>
      <c r="L331" s="83"/>
      <c r="M331" s="83"/>
      <c r="N331" s="83">
        <v>2122</v>
      </c>
      <c r="O331" s="83">
        <v>12538</v>
      </c>
      <c r="P331" s="83">
        <v>26605</v>
      </c>
      <c r="Q331" s="94" t="s">
        <v>18</v>
      </c>
      <c r="R331" s="94" t="s">
        <v>18</v>
      </c>
      <c r="S331" s="94" t="s">
        <v>18</v>
      </c>
      <c r="T331" s="94" t="s">
        <v>18</v>
      </c>
      <c r="U331" s="94" t="s">
        <v>18</v>
      </c>
      <c r="V331" s="181" t="s">
        <v>18</v>
      </c>
      <c r="W331" s="83">
        <v>206983</v>
      </c>
      <c r="X331" s="84">
        <v>129511</v>
      </c>
      <c r="Y331" s="66"/>
      <c r="Z331" s="66"/>
      <c r="AA331" s="66"/>
      <c r="AB331" s="66"/>
      <c r="AC331" s="66"/>
    </row>
    <row r="332" spans="1:29" x14ac:dyDescent="0.25">
      <c r="A332" s="78" t="s">
        <v>47</v>
      </c>
      <c r="B332" s="79">
        <v>74163</v>
      </c>
      <c r="C332" s="79">
        <v>1080</v>
      </c>
      <c r="D332" s="79">
        <v>80096</v>
      </c>
      <c r="E332" s="79">
        <v>5605</v>
      </c>
      <c r="F332" s="79">
        <v>410</v>
      </c>
      <c r="G332" s="79">
        <v>2298</v>
      </c>
      <c r="H332" s="79">
        <v>13000</v>
      </c>
      <c r="I332" s="79">
        <v>450</v>
      </c>
      <c r="J332" s="79">
        <v>7800</v>
      </c>
      <c r="K332" s="80" t="s">
        <v>80</v>
      </c>
      <c r="L332" s="80" t="s">
        <v>80</v>
      </c>
      <c r="M332" s="80" t="s">
        <v>80</v>
      </c>
      <c r="N332" s="79">
        <v>3172</v>
      </c>
      <c r="O332" s="79">
        <v>11500</v>
      </c>
      <c r="P332" s="79">
        <v>36478</v>
      </c>
      <c r="Q332" s="80" t="s">
        <v>18</v>
      </c>
      <c r="R332" s="80" t="s">
        <v>18</v>
      </c>
      <c r="S332" s="80" t="s">
        <v>18</v>
      </c>
      <c r="T332" s="80" t="s">
        <v>18</v>
      </c>
      <c r="U332" s="80" t="s">
        <v>18</v>
      </c>
      <c r="V332" s="132" t="s">
        <v>18</v>
      </c>
      <c r="W332" s="79">
        <v>762940</v>
      </c>
      <c r="X332" s="73">
        <v>126672</v>
      </c>
      <c r="Y332" s="66"/>
      <c r="Z332" s="66"/>
      <c r="AA332" s="66"/>
      <c r="AB332" s="66"/>
      <c r="AC332" s="66"/>
    </row>
    <row r="333" spans="1:29" x14ac:dyDescent="0.25">
      <c r="A333" s="78" t="s">
        <v>27</v>
      </c>
      <c r="B333" s="79">
        <v>25324</v>
      </c>
      <c r="C333" s="79">
        <v>880</v>
      </c>
      <c r="D333" s="79">
        <v>20260</v>
      </c>
      <c r="E333" s="79">
        <v>8382</v>
      </c>
      <c r="F333" s="79">
        <v>520</v>
      </c>
      <c r="G333" s="79">
        <v>4358</v>
      </c>
      <c r="H333" s="79">
        <v>10000</v>
      </c>
      <c r="I333" s="79">
        <v>300</v>
      </c>
      <c r="J333" s="79">
        <v>4500</v>
      </c>
      <c r="K333" s="80" t="s">
        <v>80</v>
      </c>
      <c r="L333" s="80" t="s">
        <v>80</v>
      </c>
      <c r="M333" s="80" t="s">
        <v>80</v>
      </c>
      <c r="N333" s="79">
        <v>1788</v>
      </c>
      <c r="O333" s="79">
        <v>10000</v>
      </c>
      <c r="P333" s="79">
        <v>17880</v>
      </c>
      <c r="Q333" s="80" t="s">
        <v>18</v>
      </c>
      <c r="R333" s="80" t="s">
        <v>18</v>
      </c>
      <c r="S333" s="80" t="s">
        <v>18</v>
      </c>
      <c r="T333" s="80" t="s">
        <v>18</v>
      </c>
      <c r="U333" s="80" t="s">
        <v>18</v>
      </c>
      <c r="V333" s="132" t="s">
        <v>18</v>
      </c>
      <c r="W333" s="79">
        <v>45494</v>
      </c>
      <c r="X333" s="73">
        <v>46998</v>
      </c>
      <c r="Y333" s="66"/>
      <c r="Z333" s="66"/>
      <c r="AA333" s="66"/>
      <c r="AB333" s="66"/>
      <c r="AC333" s="66"/>
    </row>
    <row r="334" spans="1:29" x14ac:dyDescent="0.25">
      <c r="A334" s="78" t="s">
        <v>71</v>
      </c>
      <c r="B334" s="79">
        <v>26215</v>
      </c>
      <c r="C334" s="79">
        <v>980</v>
      </c>
      <c r="D334" s="79">
        <v>25690</v>
      </c>
      <c r="E334" s="79">
        <v>8870</v>
      </c>
      <c r="F334" s="79">
        <v>350</v>
      </c>
      <c r="G334" s="79">
        <v>3104</v>
      </c>
      <c r="H334" s="79">
        <v>4000</v>
      </c>
      <c r="I334" s="79">
        <v>500</v>
      </c>
      <c r="J334" s="79">
        <v>1200</v>
      </c>
      <c r="K334" s="80" t="s">
        <v>80</v>
      </c>
      <c r="L334" s="80" t="s">
        <v>80</v>
      </c>
      <c r="M334" s="80" t="s">
        <v>80</v>
      </c>
      <c r="N334" s="79">
        <v>6723</v>
      </c>
      <c r="O334" s="79">
        <v>10000</v>
      </c>
      <c r="P334" s="79">
        <v>67230</v>
      </c>
      <c r="Q334" s="80" t="s">
        <v>18</v>
      </c>
      <c r="R334" s="80" t="s">
        <v>18</v>
      </c>
      <c r="S334" s="80" t="s">
        <v>18</v>
      </c>
      <c r="T334" s="80" t="s">
        <v>18</v>
      </c>
      <c r="U334" s="80" t="s">
        <v>18</v>
      </c>
      <c r="V334" s="132" t="s">
        <v>18</v>
      </c>
      <c r="W334" s="79">
        <v>45808</v>
      </c>
      <c r="X334" s="73">
        <v>97224</v>
      </c>
      <c r="Y334" s="66"/>
      <c r="Z334" s="66"/>
      <c r="AA334" s="66"/>
      <c r="AB334" s="66"/>
      <c r="AC334" s="66"/>
    </row>
    <row r="335" spans="1:29" x14ac:dyDescent="0.25">
      <c r="A335" s="78" t="s">
        <v>72</v>
      </c>
      <c r="B335" s="79">
        <v>43721</v>
      </c>
      <c r="C335" s="79">
        <v>940</v>
      </c>
      <c r="D335" s="79">
        <v>41097</v>
      </c>
      <c r="E335" s="79">
        <v>17390</v>
      </c>
      <c r="F335" s="79">
        <v>420</v>
      </c>
      <c r="G335" s="79">
        <v>7303</v>
      </c>
      <c r="H335" s="79">
        <v>4500</v>
      </c>
      <c r="I335" s="79">
        <v>520</v>
      </c>
      <c r="J335" s="79">
        <v>2250</v>
      </c>
      <c r="K335" s="80" t="s">
        <v>80</v>
      </c>
      <c r="L335" s="80" t="s">
        <v>80</v>
      </c>
      <c r="M335" s="80" t="s">
        <v>80</v>
      </c>
      <c r="N335" s="79">
        <v>5072</v>
      </c>
      <c r="O335" s="79">
        <v>11000</v>
      </c>
      <c r="P335" s="79">
        <v>55792</v>
      </c>
      <c r="Q335" s="80" t="s">
        <v>18</v>
      </c>
      <c r="R335" s="80" t="s">
        <v>18</v>
      </c>
      <c r="S335" s="80" t="s">
        <v>18</v>
      </c>
      <c r="T335" s="80" t="s">
        <v>18</v>
      </c>
      <c r="U335" s="80" t="s">
        <v>18</v>
      </c>
      <c r="V335" s="132" t="s">
        <v>18</v>
      </c>
      <c r="W335" s="79">
        <v>70683</v>
      </c>
      <c r="X335" s="73">
        <v>106442</v>
      </c>
      <c r="Y335" s="66"/>
      <c r="Z335" s="66"/>
      <c r="AA335" s="66"/>
      <c r="AB335" s="66"/>
      <c r="AC335" s="66"/>
    </row>
    <row r="336" spans="1:29" x14ac:dyDescent="0.25">
      <c r="A336" s="78" t="s">
        <v>73</v>
      </c>
      <c r="B336" s="79">
        <v>35403</v>
      </c>
      <c r="C336" s="79">
        <v>1010</v>
      </c>
      <c r="D336" s="79">
        <v>35757</v>
      </c>
      <c r="E336" s="79">
        <v>1510</v>
      </c>
      <c r="F336" s="79">
        <v>380</v>
      </c>
      <c r="G336" s="79">
        <v>573</v>
      </c>
      <c r="H336" s="79">
        <v>15500</v>
      </c>
      <c r="I336" s="79">
        <v>500</v>
      </c>
      <c r="J336" s="79">
        <v>7750</v>
      </c>
      <c r="K336" s="80" t="s">
        <v>80</v>
      </c>
      <c r="L336" s="80" t="s">
        <v>80</v>
      </c>
      <c r="M336" s="80" t="s">
        <v>80</v>
      </c>
      <c r="N336" s="79">
        <v>7131</v>
      </c>
      <c r="O336" s="79">
        <v>12000</v>
      </c>
      <c r="P336" s="79">
        <v>85572</v>
      </c>
      <c r="Q336" s="80" t="s">
        <v>18</v>
      </c>
      <c r="R336" s="80" t="s">
        <v>18</v>
      </c>
      <c r="S336" s="80" t="s">
        <v>18</v>
      </c>
      <c r="T336" s="80" t="s">
        <v>18</v>
      </c>
      <c r="U336" s="80" t="s">
        <v>18</v>
      </c>
      <c r="V336" s="132" t="s">
        <v>18</v>
      </c>
      <c r="W336" s="79">
        <v>59544</v>
      </c>
      <c r="X336" s="73">
        <v>129652</v>
      </c>
      <c r="Y336" s="66"/>
      <c r="Z336" s="66"/>
      <c r="AA336" s="66"/>
      <c r="AB336" s="66"/>
      <c r="AC336" s="66"/>
    </row>
    <row r="337" spans="1:29" x14ac:dyDescent="0.25">
      <c r="A337" s="85" t="s">
        <v>31</v>
      </c>
      <c r="B337" s="83">
        <v>204826</v>
      </c>
      <c r="C337" s="83">
        <v>990</v>
      </c>
      <c r="D337" s="83">
        <v>202900</v>
      </c>
      <c r="E337" s="83">
        <v>41757</v>
      </c>
      <c r="F337" s="83">
        <v>422</v>
      </c>
      <c r="G337" s="83">
        <v>17636</v>
      </c>
      <c r="H337" s="83">
        <v>47000</v>
      </c>
      <c r="I337" s="83">
        <v>500</v>
      </c>
      <c r="J337" s="83">
        <v>23500</v>
      </c>
      <c r="K337" s="83"/>
      <c r="L337" s="83"/>
      <c r="M337" s="83"/>
      <c r="N337" s="83">
        <v>23886</v>
      </c>
      <c r="O337" s="83">
        <v>11009</v>
      </c>
      <c r="P337" s="83">
        <v>262952</v>
      </c>
      <c r="Q337" s="94" t="s">
        <v>18</v>
      </c>
      <c r="R337" s="83"/>
      <c r="S337" s="94" t="s">
        <v>18</v>
      </c>
      <c r="T337" s="94" t="s">
        <v>18</v>
      </c>
      <c r="U337" s="83"/>
      <c r="V337" s="181" t="s">
        <v>18</v>
      </c>
      <c r="W337" s="83">
        <v>317469</v>
      </c>
      <c r="X337" s="84">
        <v>506988</v>
      </c>
      <c r="Y337" s="66"/>
      <c r="Z337" s="66"/>
      <c r="AA337" s="66"/>
      <c r="AB337" s="66"/>
      <c r="AC337" s="66"/>
    </row>
    <row r="338" spans="1:29" x14ac:dyDescent="0.25">
      <c r="A338" s="78" t="s">
        <v>32</v>
      </c>
      <c r="B338" s="79">
        <v>379498</v>
      </c>
      <c r="C338" s="79">
        <v>1001</v>
      </c>
      <c r="D338" s="79">
        <v>379968</v>
      </c>
      <c r="E338" s="79">
        <v>59324</v>
      </c>
      <c r="F338" s="79">
        <v>416</v>
      </c>
      <c r="G338" s="79">
        <v>24493</v>
      </c>
      <c r="H338" s="79">
        <v>56622</v>
      </c>
      <c r="I338" s="79">
        <v>517</v>
      </c>
      <c r="J338" s="79">
        <v>29282</v>
      </c>
      <c r="K338" s="80" t="s">
        <v>80</v>
      </c>
      <c r="L338" s="80" t="s">
        <v>80</v>
      </c>
      <c r="M338" s="80" t="s">
        <v>80</v>
      </c>
      <c r="N338" s="79">
        <v>26008</v>
      </c>
      <c r="O338" s="79">
        <v>11249</v>
      </c>
      <c r="P338" s="79">
        <v>292557</v>
      </c>
      <c r="Q338" s="80" t="s">
        <v>18</v>
      </c>
      <c r="R338" s="79"/>
      <c r="S338" s="80" t="s">
        <v>18</v>
      </c>
      <c r="T338" s="80" t="s">
        <v>18</v>
      </c>
      <c r="U338" s="79"/>
      <c r="V338" s="132" t="s">
        <v>18</v>
      </c>
      <c r="W338" s="79">
        <v>523452</v>
      </c>
      <c r="X338" s="73">
        <v>726499</v>
      </c>
      <c r="Y338" s="66"/>
      <c r="Z338" s="66"/>
      <c r="AA338" s="66"/>
      <c r="AB338" s="66"/>
      <c r="AC338" s="66"/>
    </row>
    <row r="339" spans="1:29" x14ac:dyDescent="0.25">
      <c r="A339" s="95" t="s">
        <v>58</v>
      </c>
      <c r="B339" s="96"/>
      <c r="C339" s="96"/>
      <c r="D339" s="95" t="s">
        <v>59</v>
      </c>
      <c r="E339" s="96"/>
      <c r="F339" s="96"/>
      <c r="G339" s="96"/>
      <c r="H339" s="96"/>
      <c r="I339" s="95" t="s">
        <v>60</v>
      </c>
      <c r="J339" s="96"/>
      <c r="K339" s="96"/>
      <c r="L339" s="114"/>
      <c r="M339" s="114"/>
      <c r="N339" s="114"/>
      <c r="O339" s="114"/>
      <c r="P339" s="114"/>
      <c r="Q339" s="114"/>
      <c r="R339" s="114"/>
      <c r="S339" s="114"/>
      <c r="T339" s="114"/>
      <c r="U339" s="114"/>
      <c r="V339" s="114"/>
      <c r="W339" s="114"/>
      <c r="X339" s="114"/>
      <c r="Y339" s="114"/>
      <c r="Z339" s="114"/>
      <c r="AA339" s="114"/>
      <c r="AB339" s="114"/>
      <c r="AC339" s="114"/>
    </row>
    <row r="340" spans="1:29" x14ac:dyDescent="0.25">
      <c r="A340" s="95"/>
      <c r="B340" s="96"/>
      <c r="C340" s="96"/>
      <c r="D340" s="95"/>
      <c r="E340" s="96"/>
      <c r="F340" s="96"/>
      <c r="G340" s="96"/>
      <c r="H340" s="96"/>
      <c r="I340" s="95"/>
      <c r="J340" s="96"/>
      <c r="K340" s="96"/>
      <c r="L340" s="114"/>
      <c r="M340" s="114"/>
      <c r="N340" s="114"/>
      <c r="O340" s="114"/>
      <c r="P340" s="114"/>
      <c r="Q340" s="114"/>
      <c r="R340" s="114"/>
      <c r="S340" s="114"/>
      <c r="T340" s="114"/>
      <c r="U340" s="114"/>
      <c r="V340" s="114"/>
      <c r="W340" s="114"/>
      <c r="X340" s="114"/>
      <c r="Y340" s="114"/>
      <c r="Z340" s="114"/>
      <c r="AA340" s="114"/>
      <c r="AB340" s="114"/>
      <c r="AC340" s="114"/>
    </row>
    <row r="341" spans="1:29" x14ac:dyDescent="0.25">
      <c r="A341" s="64"/>
      <c r="B341" s="65" t="s">
        <v>0</v>
      </c>
      <c r="C341" s="64"/>
      <c r="D341" s="64"/>
      <c r="E341" s="64"/>
      <c r="F341" s="64"/>
      <c r="G341" s="64"/>
      <c r="H341" s="64"/>
      <c r="I341" s="65" t="s">
        <v>81</v>
      </c>
      <c r="J341" s="64"/>
      <c r="K341" s="64"/>
      <c r="L341" s="64"/>
      <c r="M341" s="64"/>
      <c r="N341" s="64"/>
      <c r="O341" s="64"/>
      <c r="P341" s="64"/>
      <c r="Q341" s="64"/>
      <c r="R341" s="66"/>
      <c r="S341" s="66"/>
      <c r="T341" s="66"/>
      <c r="U341" s="66"/>
      <c r="V341" s="66"/>
      <c r="W341" s="66"/>
      <c r="X341" s="66"/>
      <c r="Y341" s="66"/>
      <c r="Z341" s="66"/>
      <c r="AA341" s="66"/>
      <c r="AB341" s="66"/>
      <c r="AC341" s="66"/>
    </row>
    <row r="342" spans="1:29" x14ac:dyDescent="0.25">
      <c r="A342" s="98" t="s">
        <v>2</v>
      </c>
      <c r="B342" s="146"/>
      <c r="C342" s="89" t="s">
        <v>66</v>
      </c>
      <c r="D342" s="90"/>
      <c r="E342" s="88"/>
      <c r="F342" s="91" t="s">
        <v>4</v>
      </c>
      <c r="G342" s="90"/>
      <c r="H342" s="88"/>
      <c r="I342" s="89" t="s">
        <v>5</v>
      </c>
      <c r="J342" s="90"/>
      <c r="K342" s="88"/>
      <c r="L342" s="89" t="s">
        <v>6</v>
      </c>
      <c r="M342" s="90"/>
      <c r="N342" s="88"/>
      <c r="O342" s="89" t="s">
        <v>7</v>
      </c>
      <c r="P342" s="146"/>
      <c r="Q342" s="117"/>
      <c r="R342" s="121" t="s">
        <v>8</v>
      </c>
      <c r="S342" s="182"/>
      <c r="T342" s="183"/>
      <c r="U342" s="184" t="s">
        <v>9</v>
      </c>
      <c r="V342" s="184"/>
      <c r="W342" s="185"/>
      <c r="X342" s="186" t="s">
        <v>44</v>
      </c>
      <c r="Y342" s="66"/>
      <c r="Z342" s="66"/>
      <c r="AA342" s="66"/>
      <c r="AB342" s="66"/>
      <c r="AC342" s="66"/>
    </row>
    <row r="343" spans="1:29" ht="15.75" thickBot="1" x14ac:dyDescent="0.3">
      <c r="A343" s="104" t="s">
        <v>11</v>
      </c>
      <c r="B343" s="172" t="s">
        <v>12</v>
      </c>
      <c r="C343" s="106" t="s">
        <v>13</v>
      </c>
      <c r="D343" s="106" t="s">
        <v>14</v>
      </c>
      <c r="E343" s="106" t="s">
        <v>12</v>
      </c>
      <c r="F343" s="106" t="s">
        <v>13</v>
      </c>
      <c r="G343" s="106" t="s">
        <v>14</v>
      </c>
      <c r="H343" s="106" t="s">
        <v>12</v>
      </c>
      <c r="I343" s="106" t="s">
        <v>13</v>
      </c>
      <c r="J343" s="106" t="s">
        <v>14</v>
      </c>
      <c r="K343" s="106" t="s">
        <v>12</v>
      </c>
      <c r="L343" s="106" t="s">
        <v>13</v>
      </c>
      <c r="M343" s="106" t="s">
        <v>14</v>
      </c>
      <c r="N343" s="106" t="s">
        <v>12</v>
      </c>
      <c r="O343" s="106" t="s">
        <v>13</v>
      </c>
      <c r="P343" s="106" t="s">
        <v>14</v>
      </c>
      <c r="Q343" s="187" t="s">
        <v>12</v>
      </c>
      <c r="R343" s="187" t="s">
        <v>13</v>
      </c>
      <c r="S343" s="187" t="s">
        <v>14</v>
      </c>
      <c r="T343" s="187" t="s">
        <v>12</v>
      </c>
      <c r="U343" s="187" t="s">
        <v>13</v>
      </c>
      <c r="V343" s="187" t="s">
        <v>14</v>
      </c>
      <c r="W343" s="188" t="s">
        <v>12</v>
      </c>
      <c r="X343" s="189" t="s">
        <v>14</v>
      </c>
      <c r="Y343" s="66"/>
      <c r="Z343" s="66"/>
      <c r="AA343" s="66"/>
      <c r="AB343" s="66"/>
      <c r="AC343" s="66"/>
    </row>
    <row r="344" spans="1:29" ht="15.75" thickTop="1" x14ac:dyDescent="0.25">
      <c r="A344" s="107" t="s">
        <v>15</v>
      </c>
      <c r="B344" s="108">
        <v>144200</v>
      </c>
      <c r="C344" s="108">
        <v>484</v>
      </c>
      <c r="D344" s="108">
        <v>69740</v>
      </c>
      <c r="E344" s="108">
        <v>62000</v>
      </c>
      <c r="F344" s="108">
        <v>460</v>
      </c>
      <c r="G344" s="108">
        <v>28545</v>
      </c>
      <c r="H344" s="77" t="s">
        <v>18</v>
      </c>
      <c r="I344" s="77" t="s">
        <v>18</v>
      </c>
      <c r="J344" s="77" t="s">
        <v>18</v>
      </c>
      <c r="K344" s="77" t="s">
        <v>18</v>
      </c>
      <c r="L344" s="77" t="s">
        <v>18</v>
      </c>
      <c r="M344" s="77" t="s">
        <v>18</v>
      </c>
      <c r="N344" s="108">
        <v>26700</v>
      </c>
      <c r="O344" s="108">
        <v>600</v>
      </c>
      <c r="P344" s="108">
        <v>16020</v>
      </c>
      <c r="Q344" s="77" t="s">
        <v>18</v>
      </c>
      <c r="R344" s="77" t="s">
        <v>18</v>
      </c>
      <c r="S344" s="77" t="s">
        <v>18</v>
      </c>
      <c r="T344" s="77" t="s">
        <v>18</v>
      </c>
      <c r="U344" s="77" t="s">
        <v>18</v>
      </c>
      <c r="V344" s="77" t="s">
        <v>18</v>
      </c>
      <c r="W344" s="108">
        <v>232900</v>
      </c>
      <c r="X344" s="190">
        <v>114305</v>
      </c>
      <c r="Y344" s="66"/>
      <c r="Z344" s="66"/>
      <c r="AA344" s="66"/>
      <c r="AB344" s="66"/>
      <c r="AC344" s="66"/>
    </row>
    <row r="345" spans="1:29" x14ac:dyDescent="0.25">
      <c r="A345" s="78" t="s">
        <v>49</v>
      </c>
      <c r="B345" s="80"/>
      <c r="C345" s="80"/>
      <c r="D345" s="80"/>
      <c r="E345" s="80"/>
      <c r="F345" s="80"/>
      <c r="G345" s="80"/>
      <c r="H345" s="80"/>
      <c r="I345" s="80"/>
      <c r="J345" s="80"/>
      <c r="K345" s="80"/>
      <c r="L345" s="80"/>
      <c r="M345" s="80"/>
      <c r="N345" s="80"/>
      <c r="O345" s="80"/>
      <c r="P345" s="80"/>
      <c r="Q345" s="80"/>
      <c r="R345" s="80"/>
      <c r="S345" s="80"/>
      <c r="T345" s="80"/>
      <c r="U345" s="80"/>
      <c r="V345" s="80"/>
      <c r="W345" s="80"/>
      <c r="X345" s="191"/>
      <c r="Y345" s="66"/>
      <c r="Z345" s="66"/>
      <c r="AA345" s="66"/>
      <c r="AB345" s="66"/>
      <c r="AC345" s="66"/>
    </row>
    <row r="346" spans="1:29" x14ac:dyDescent="0.25">
      <c r="A346" s="78" t="s">
        <v>17</v>
      </c>
      <c r="B346" s="79">
        <v>86250</v>
      </c>
      <c r="C346" s="79">
        <v>452</v>
      </c>
      <c r="D346" s="79">
        <v>39060</v>
      </c>
      <c r="E346" s="79">
        <v>13000</v>
      </c>
      <c r="F346" s="79">
        <v>461</v>
      </c>
      <c r="G346" s="79">
        <v>6000</v>
      </c>
      <c r="H346" s="80" t="s">
        <v>18</v>
      </c>
      <c r="I346" s="80" t="s">
        <v>18</v>
      </c>
      <c r="J346" s="80" t="s">
        <v>18</v>
      </c>
      <c r="K346" s="80" t="s">
        <v>18</v>
      </c>
      <c r="L346" s="80" t="s">
        <v>18</v>
      </c>
      <c r="M346" s="80" t="s">
        <v>18</v>
      </c>
      <c r="N346" s="80" t="s">
        <v>18</v>
      </c>
      <c r="O346" s="80" t="s">
        <v>18</v>
      </c>
      <c r="P346" s="80" t="s">
        <v>18</v>
      </c>
      <c r="Q346" s="80" t="s">
        <v>18</v>
      </c>
      <c r="R346" s="80" t="s">
        <v>18</v>
      </c>
      <c r="S346" s="80" t="s">
        <v>18</v>
      </c>
      <c r="T346" s="80" t="s">
        <v>18</v>
      </c>
      <c r="U346" s="80" t="s">
        <v>18</v>
      </c>
      <c r="V346" s="80" t="s">
        <v>18</v>
      </c>
      <c r="W346" s="79">
        <v>99250</v>
      </c>
      <c r="X346" s="192">
        <v>45060</v>
      </c>
      <c r="Y346" s="66"/>
      <c r="Z346" s="66"/>
      <c r="AA346" s="66"/>
      <c r="AB346" s="66"/>
      <c r="AC346" s="66"/>
    </row>
    <row r="347" spans="1:29" x14ac:dyDescent="0.25">
      <c r="A347" s="78" t="s">
        <v>19</v>
      </c>
      <c r="B347" s="79">
        <v>145000</v>
      </c>
      <c r="C347" s="79">
        <v>550</v>
      </c>
      <c r="D347" s="79">
        <f>(B347*C347)/1000</f>
        <v>79750</v>
      </c>
      <c r="E347" s="79">
        <v>129500</v>
      </c>
      <c r="F347" s="79">
        <v>995</v>
      </c>
      <c r="G347" s="79">
        <v>128954</v>
      </c>
      <c r="H347" s="79">
        <v>10000</v>
      </c>
      <c r="I347" s="79">
        <v>2700</v>
      </c>
      <c r="J347" s="79">
        <f>H347*I347/1000</f>
        <v>27000</v>
      </c>
      <c r="K347" s="79">
        <v>4300</v>
      </c>
      <c r="L347" s="79">
        <v>3400</v>
      </c>
      <c r="M347" s="79">
        <v>14520</v>
      </c>
      <c r="N347" s="79">
        <v>23000</v>
      </c>
      <c r="O347" s="79">
        <v>800</v>
      </c>
      <c r="P347" s="79">
        <v>18400</v>
      </c>
      <c r="Q347" s="80" t="s">
        <v>18</v>
      </c>
      <c r="R347" s="80" t="s">
        <v>18</v>
      </c>
      <c r="S347" s="80" t="s">
        <v>18</v>
      </c>
      <c r="T347" s="80" t="s">
        <v>18</v>
      </c>
      <c r="U347" s="80" t="s">
        <v>18</v>
      </c>
      <c r="V347" s="80" t="s">
        <v>18</v>
      </c>
      <c r="W347" s="79">
        <v>311800</v>
      </c>
      <c r="X347" s="192">
        <v>268624</v>
      </c>
      <c r="Y347" s="66"/>
      <c r="Z347" s="66"/>
      <c r="AA347" s="66"/>
      <c r="AB347" s="66"/>
      <c r="AC347" s="66"/>
    </row>
    <row r="348" spans="1:29" x14ac:dyDescent="0.25">
      <c r="A348" s="78" t="s">
        <v>20</v>
      </c>
      <c r="B348" s="79">
        <v>43356</v>
      </c>
      <c r="C348" s="79">
        <v>700</v>
      </c>
      <c r="D348" s="79">
        <v>30349</v>
      </c>
      <c r="E348" s="79">
        <v>71520</v>
      </c>
      <c r="F348" s="79">
        <v>909</v>
      </c>
      <c r="G348" s="79">
        <v>65016</v>
      </c>
      <c r="H348" s="79">
        <v>3012</v>
      </c>
      <c r="I348" s="79">
        <v>500</v>
      </c>
      <c r="J348" s="79">
        <f>H348*I348/1000</f>
        <v>1506</v>
      </c>
      <c r="K348" s="79">
        <v>189</v>
      </c>
      <c r="L348" s="79">
        <v>1200</v>
      </c>
      <c r="M348" s="79">
        <v>227</v>
      </c>
      <c r="N348" s="79">
        <v>37116</v>
      </c>
      <c r="O348" s="79">
        <v>900</v>
      </c>
      <c r="P348" s="79">
        <v>33404</v>
      </c>
      <c r="Q348" s="80" t="s">
        <v>18</v>
      </c>
      <c r="R348" s="80" t="s">
        <v>18</v>
      </c>
      <c r="S348" s="80" t="s">
        <v>18</v>
      </c>
      <c r="T348" s="80" t="s">
        <v>18</v>
      </c>
      <c r="U348" s="80" t="s">
        <v>18</v>
      </c>
      <c r="V348" s="80" t="s">
        <v>18</v>
      </c>
      <c r="W348" s="79">
        <v>155193</v>
      </c>
      <c r="X348" s="192">
        <v>130502</v>
      </c>
      <c r="Y348" s="66"/>
      <c r="Z348" s="66"/>
      <c r="AA348" s="66"/>
      <c r="AB348" s="66"/>
      <c r="AC348" s="66"/>
    </row>
    <row r="349" spans="1:29" x14ac:dyDescent="0.25">
      <c r="A349" s="78" t="s">
        <v>21</v>
      </c>
      <c r="B349" s="79">
        <v>40000</v>
      </c>
      <c r="C349" s="79">
        <v>400</v>
      </c>
      <c r="D349" s="79">
        <f>(B349*C349)/1000</f>
        <v>16000</v>
      </c>
      <c r="E349" s="157"/>
      <c r="F349" s="157"/>
      <c r="G349" s="157"/>
      <c r="H349" s="157"/>
      <c r="I349" s="157"/>
      <c r="J349" s="157"/>
      <c r="K349" s="80" t="s">
        <v>18</v>
      </c>
      <c r="L349" s="80" t="s">
        <v>18</v>
      </c>
      <c r="M349" s="80" t="s">
        <v>18</v>
      </c>
      <c r="N349" s="80" t="s">
        <v>18</v>
      </c>
      <c r="O349" s="80" t="s">
        <v>18</v>
      </c>
      <c r="P349" s="80" t="s">
        <v>18</v>
      </c>
      <c r="Q349" s="80" t="s">
        <v>18</v>
      </c>
      <c r="R349" s="80" t="s">
        <v>18</v>
      </c>
      <c r="S349" s="80" t="s">
        <v>18</v>
      </c>
      <c r="T349" s="80" t="s">
        <v>18</v>
      </c>
      <c r="U349" s="80" t="s">
        <v>18</v>
      </c>
      <c r="V349" s="80" t="s">
        <v>18</v>
      </c>
      <c r="W349" s="79">
        <v>40000</v>
      </c>
      <c r="X349" s="192">
        <v>16000</v>
      </c>
      <c r="Y349" s="66"/>
      <c r="Z349" s="66"/>
      <c r="AA349" s="66"/>
      <c r="AB349" s="66"/>
      <c r="AC349" s="66"/>
    </row>
    <row r="350" spans="1:29" x14ac:dyDescent="0.25">
      <c r="A350" s="78" t="s">
        <v>22</v>
      </c>
      <c r="B350" s="79">
        <v>67328</v>
      </c>
      <c r="C350" s="79">
        <v>734</v>
      </c>
      <c r="D350" s="79">
        <v>40025</v>
      </c>
      <c r="E350" s="79">
        <v>560</v>
      </c>
      <c r="F350" s="79">
        <v>903</v>
      </c>
      <c r="G350" s="79">
        <v>505</v>
      </c>
      <c r="H350" s="79">
        <v>30484</v>
      </c>
      <c r="I350" s="79">
        <v>1313</v>
      </c>
      <c r="J350" s="79">
        <v>34747</v>
      </c>
      <c r="K350" s="80" t="s">
        <v>18</v>
      </c>
      <c r="L350" s="80" t="s">
        <v>18</v>
      </c>
      <c r="M350" s="80" t="s">
        <v>18</v>
      </c>
      <c r="N350" s="80" t="s">
        <v>18</v>
      </c>
      <c r="O350" s="80" t="s">
        <v>18</v>
      </c>
      <c r="P350" s="80" t="s">
        <v>18</v>
      </c>
      <c r="Q350" s="79">
        <v>1700</v>
      </c>
      <c r="R350" s="79">
        <v>1700</v>
      </c>
      <c r="S350" s="79">
        <v>2890</v>
      </c>
      <c r="T350" s="80" t="s">
        <v>18</v>
      </c>
      <c r="U350" s="80" t="s">
        <v>18</v>
      </c>
      <c r="V350" s="80" t="s">
        <v>18</v>
      </c>
      <c r="W350" s="79">
        <v>100072</v>
      </c>
      <c r="X350" s="192">
        <v>78167</v>
      </c>
      <c r="Y350" s="66"/>
      <c r="Z350" s="66"/>
      <c r="AA350" s="66"/>
      <c r="AB350" s="66"/>
      <c r="AC350" s="66"/>
    </row>
    <row r="351" spans="1:29" x14ac:dyDescent="0.25">
      <c r="A351" s="78" t="s">
        <v>23</v>
      </c>
      <c r="B351" s="79">
        <v>123000</v>
      </c>
      <c r="C351" s="79">
        <v>750</v>
      </c>
      <c r="D351" s="79">
        <v>92300</v>
      </c>
      <c r="E351" s="79">
        <v>50000</v>
      </c>
      <c r="F351" s="79">
        <v>864</v>
      </c>
      <c r="G351" s="79">
        <v>43200</v>
      </c>
      <c r="H351" s="157"/>
      <c r="I351" s="157"/>
      <c r="J351" s="157"/>
      <c r="K351" s="79">
        <v>700</v>
      </c>
      <c r="L351" s="79">
        <v>3500</v>
      </c>
      <c r="M351" s="79">
        <v>2450</v>
      </c>
      <c r="N351" s="80" t="s">
        <v>18</v>
      </c>
      <c r="O351" s="80" t="s">
        <v>18</v>
      </c>
      <c r="P351" s="80" t="s">
        <v>18</v>
      </c>
      <c r="Q351" s="80" t="s">
        <v>18</v>
      </c>
      <c r="R351" s="80" t="s">
        <v>18</v>
      </c>
      <c r="S351" s="80" t="s">
        <v>18</v>
      </c>
      <c r="T351" s="80" t="s">
        <v>18</v>
      </c>
      <c r="U351" s="80" t="s">
        <v>18</v>
      </c>
      <c r="V351" s="80" t="s">
        <v>18</v>
      </c>
      <c r="W351" s="79">
        <v>173700</v>
      </c>
      <c r="X351" s="192">
        <v>137950</v>
      </c>
      <c r="Y351" s="66"/>
      <c r="Z351" s="66"/>
      <c r="AA351" s="66"/>
      <c r="AB351" s="66"/>
      <c r="AC351" s="66"/>
    </row>
    <row r="352" spans="1:29" x14ac:dyDescent="0.25">
      <c r="A352" s="78" t="s">
        <v>24</v>
      </c>
      <c r="B352" s="79">
        <v>5031</v>
      </c>
      <c r="C352" s="79">
        <v>680</v>
      </c>
      <c r="D352" s="79">
        <v>3425</v>
      </c>
      <c r="E352" s="79">
        <v>26845</v>
      </c>
      <c r="F352" s="79">
        <v>1168</v>
      </c>
      <c r="G352" s="79">
        <v>31380</v>
      </c>
      <c r="H352" s="79">
        <v>3365</v>
      </c>
      <c r="I352" s="79">
        <v>1960</v>
      </c>
      <c r="J352" s="79">
        <v>6596</v>
      </c>
      <c r="K352" s="79">
        <v>1242</v>
      </c>
      <c r="L352" s="79">
        <v>2378</v>
      </c>
      <c r="M352" s="79">
        <v>2954</v>
      </c>
      <c r="N352" s="79">
        <v>196570</v>
      </c>
      <c r="O352" s="79">
        <v>1042</v>
      </c>
      <c r="P352" s="79">
        <v>204870</v>
      </c>
      <c r="Q352" s="80" t="s">
        <v>18</v>
      </c>
      <c r="R352" s="80" t="s">
        <v>18</v>
      </c>
      <c r="S352" s="80" t="s">
        <v>18</v>
      </c>
      <c r="T352" s="80" t="s">
        <v>18</v>
      </c>
      <c r="U352" s="80" t="s">
        <v>18</v>
      </c>
      <c r="V352" s="80" t="s">
        <v>18</v>
      </c>
      <c r="W352" s="79">
        <v>233053</v>
      </c>
      <c r="X352" s="192">
        <v>249225</v>
      </c>
      <c r="Y352" s="66"/>
      <c r="Z352" s="66"/>
      <c r="AA352" s="66"/>
      <c r="AB352" s="66"/>
      <c r="AC352" s="66"/>
    </row>
    <row r="353" spans="1:29" x14ac:dyDescent="0.25">
      <c r="A353" s="82" t="s">
        <v>25</v>
      </c>
      <c r="B353" s="83">
        <v>654165</v>
      </c>
      <c r="C353" s="193"/>
      <c r="D353" s="83">
        <v>654165</v>
      </c>
      <c r="E353" s="83">
        <v>353425</v>
      </c>
      <c r="F353" s="193"/>
      <c r="G353" s="83">
        <v>303600</v>
      </c>
      <c r="H353" s="83">
        <v>46861</v>
      </c>
      <c r="I353" s="193"/>
      <c r="J353" s="83">
        <v>69849</v>
      </c>
      <c r="K353" s="83">
        <v>6431</v>
      </c>
      <c r="L353" s="193"/>
      <c r="M353" s="83">
        <v>20151</v>
      </c>
      <c r="N353" s="83">
        <v>283386</v>
      </c>
      <c r="O353" s="193"/>
      <c r="P353" s="83">
        <v>272694</v>
      </c>
      <c r="Q353" s="83">
        <v>1700</v>
      </c>
      <c r="R353" s="83">
        <f>SUM(R344:R352)</f>
        <v>1700</v>
      </c>
      <c r="S353" s="83">
        <v>2890</v>
      </c>
      <c r="T353" s="193"/>
      <c r="U353" s="193"/>
      <c r="V353" s="193"/>
      <c r="W353" s="83">
        <v>1345968</v>
      </c>
      <c r="X353" s="194">
        <v>1039833</v>
      </c>
      <c r="Y353" s="66"/>
      <c r="Z353" s="66"/>
      <c r="AA353" s="66"/>
      <c r="AB353" s="66"/>
      <c r="AC353" s="66"/>
    </row>
    <row r="354" spans="1:29" x14ac:dyDescent="0.25">
      <c r="A354" s="78" t="s">
        <v>26</v>
      </c>
      <c r="B354" s="79">
        <v>28835</v>
      </c>
      <c r="C354" s="79">
        <v>800</v>
      </c>
      <c r="D354" s="79">
        <v>23087</v>
      </c>
      <c r="E354" s="79">
        <v>102718</v>
      </c>
      <c r="F354" s="79">
        <v>855</v>
      </c>
      <c r="G354" s="79">
        <v>87839</v>
      </c>
      <c r="H354" s="79">
        <v>16914</v>
      </c>
      <c r="I354" s="79">
        <v>835</v>
      </c>
      <c r="J354" s="79">
        <v>14124</v>
      </c>
      <c r="K354" s="79">
        <v>34857</v>
      </c>
      <c r="L354" s="79">
        <v>1200</v>
      </c>
      <c r="M354" s="79">
        <v>40800</v>
      </c>
      <c r="N354" s="79">
        <v>10226</v>
      </c>
      <c r="O354" s="79">
        <v>800</v>
      </c>
      <c r="P354" s="79">
        <v>8180</v>
      </c>
      <c r="Q354" s="80" t="s">
        <v>18</v>
      </c>
      <c r="R354" s="80" t="s">
        <v>18</v>
      </c>
      <c r="S354" s="80" t="s">
        <v>18</v>
      </c>
      <c r="T354" s="79">
        <v>2200</v>
      </c>
      <c r="U354" s="79">
        <v>500</v>
      </c>
      <c r="V354" s="79">
        <v>1100</v>
      </c>
      <c r="W354" s="79">
        <v>195750</v>
      </c>
      <c r="X354" s="192">
        <v>175130</v>
      </c>
      <c r="Y354" s="66"/>
      <c r="Z354" s="66"/>
      <c r="AA354" s="66"/>
      <c r="AB354" s="66"/>
      <c r="AC354" s="66"/>
    </row>
    <row r="355" spans="1:29" x14ac:dyDescent="0.25">
      <c r="A355" s="78" t="s">
        <v>27</v>
      </c>
      <c r="B355" s="195">
        <v>51361</v>
      </c>
      <c r="C355" s="79">
        <v>586</v>
      </c>
      <c r="D355" s="79">
        <v>30100</v>
      </c>
      <c r="E355" s="79">
        <v>55771</v>
      </c>
      <c r="F355" s="79">
        <v>719</v>
      </c>
      <c r="G355" s="79">
        <v>40132</v>
      </c>
      <c r="H355" s="79">
        <v>10700</v>
      </c>
      <c r="I355" s="79">
        <v>930</v>
      </c>
      <c r="J355" s="79">
        <v>9950</v>
      </c>
      <c r="K355" s="79">
        <v>33300</v>
      </c>
      <c r="L355" s="79">
        <v>782</v>
      </c>
      <c r="M355" s="79">
        <v>36630</v>
      </c>
      <c r="N355" s="79">
        <v>7000</v>
      </c>
      <c r="O355" s="79">
        <v>800</v>
      </c>
      <c r="P355" s="79">
        <v>5600</v>
      </c>
      <c r="Q355" s="80" t="s">
        <v>18</v>
      </c>
      <c r="R355" s="80" t="s">
        <v>18</v>
      </c>
      <c r="S355" s="80" t="s">
        <v>18</v>
      </c>
      <c r="T355" s="79">
        <v>2000</v>
      </c>
      <c r="U355" s="79">
        <v>500</v>
      </c>
      <c r="V355" s="79">
        <v>1000</v>
      </c>
      <c r="W355" s="79">
        <v>160132</v>
      </c>
      <c r="X355" s="192">
        <v>123412</v>
      </c>
      <c r="Y355" s="66"/>
      <c r="Z355" s="66"/>
      <c r="AA355" s="66"/>
      <c r="AB355" s="66"/>
      <c r="AC355" s="66"/>
    </row>
    <row r="356" spans="1:29" x14ac:dyDescent="0.25">
      <c r="A356" s="78" t="s">
        <v>71</v>
      </c>
      <c r="B356" s="123">
        <v>28289</v>
      </c>
      <c r="C356" s="73">
        <v>500</v>
      </c>
      <c r="D356" s="79">
        <v>14144</v>
      </c>
      <c r="E356" s="79">
        <v>26000</v>
      </c>
      <c r="F356" s="79">
        <v>745</v>
      </c>
      <c r="G356" s="79">
        <v>19378</v>
      </c>
      <c r="H356" s="79">
        <v>7000</v>
      </c>
      <c r="I356" s="79">
        <v>890</v>
      </c>
      <c r="J356" s="79">
        <v>6230</v>
      </c>
      <c r="K356" s="79">
        <v>13280</v>
      </c>
      <c r="L356" s="79">
        <v>911</v>
      </c>
      <c r="M356" s="79">
        <v>12100</v>
      </c>
      <c r="N356" s="80" t="s">
        <v>18</v>
      </c>
      <c r="O356" s="80" t="s">
        <v>18</v>
      </c>
      <c r="P356" s="80" t="s">
        <v>18</v>
      </c>
      <c r="Q356" s="80" t="s">
        <v>18</v>
      </c>
      <c r="R356" s="80" t="s">
        <v>18</v>
      </c>
      <c r="S356" s="80" t="s">
        <v>18</v>
      </c>
      <c r="T356" s="79">
        <v>1200</v>
      </c>
      <c r="U356" s="79">
        <v>400</v>
      </c>
      <c r="V356" s="79">
        <v>480</v>
      </c>
      <c r="W356" s="79">
        <v>75769</v>
      </c>
      <c r="X356" s="192">
        <v>52332</v>
      </c>
      <c r="Y356" s="66"/>
      <c r="Z356" s="66"/>
      <c r="AA356" s="66"/>
      <c r="AB356" s="66"/>
      <c r="AC356" s="66"/>
    </row>
    <row r="357" spans="1:29" x14ac:dyDescent="0.25">
      <c r="A357" s="78" t="s">
        <v>72</v>
      </c>
      <c r="B357" s="108">
        <v>39228</v>
      </c>
      <c r="C357" s="79">
        <v>821</v>
      </c>
      <c r="D357" s="79">
        <v>32241</v>
      </c>
      <c r="E357" s="79">
        <v>77698</v>
      </c>
      <c r="F357" s="79">
        <v>801</v>
      </c>
      <c r="G357" s="79">
        <v>62269</v>
      </c>
      <c r="H357" s="79">
        <v>9000</v>
      </c>
      <c r="I357" s="79">
        <v>800</v>
      </c>
      <c r="J357" s="79">
        <f>H357*I357/1000</f>
        <v>7200</v>
      </c>
      <c r="K357" s="79">
        <v>8700</v>
      </c>
      <c r="L357" s="79">
        <v>1000</v>
      </c>
      <c r="M357" s="79">
        <f>K357*L357/1000</f>
        <v>8700</v>
      </c>
      <c r="N357" s="79">
        <v>200</v>
      </c>
      <c r="O357" s="79">
        <v>400</v>
      </c>
      <c r="P357" s="79">
        <v>180</v>
      </c>
      <c r="Q357" s="80" t="s">
        <v>18</v>
      </c>
      <c r="R357" s="80" t="s">
        <v>18</v>
      </c>
      <c r="S357" s="80" t="s">
        <v>18</v>
      </c>
      <c r="T357" s="79">
        <v>200</v>
      </c>
      <c r="U357" s="79">
        <v>500</v>
      </c>
      <c r="V357" s="79">
        <v>100</v>
      </c>
      <c r="W357" s="79">
        <v>1350026</v>
      </c>
      <c r="X357" s="192">
        <v>110690</v>
      </c>
      <c r="Y357" s="66"/>
      <c r="Z357" s="66"/>
      <c r="AA357" s="66"/>
      <c r="AB357" s="66"/>
      <c r="AC357" s="66"/>
    </row>
    <row r="358" spans="1:29" x14ac:dyDescent="0.25">
      <c r="A358" s="78" t="s">
        <v>73</v>
      </c>
      <c r="B358" s="79">
        <v>70178</v>
      </c>
      <c r="C358" s="79">
        <v>657</v>
      </c>
      <c r="D358" s="79">
        <v>46120</v>
      </c>
      <c r="E358" s="79">
        <v>82154</v>
      </c>
      <c r="F358" s="79">
        <v>626</v>
      </c>
      <c r="G358" s="79">
        <v>51499</v>
      </c>
      <c r="H358" s="79">
        <v>12500</v>
      </c>
      <c r="I358" s="79">
        <v>850</v>
      </c>
      <c r="J358" s="79">
        <f>H358*I358/1000</f>
        <v>10625</v>
      </c>
      <c r="K358" s="79">
        <v>9700</v>
      </c>
      <c r="L358" s="79">
        <v>896</v>
      </c>
      <c r="M358" s="79">
        <v>7643</v>
      </c>
      <c r="N358" s="79">
        <v>900</v>
      </c>
      <c r="O358" s="79">
        <v>850</v>
      </c>
      <c r="P358" s="79">
        <v>765</v>
      </c>
      <c r="Q358" s="80" t="s">
        <v>18</v>
      </c>
      <c r="R358" s="80" t="s">
        <v>18</v>
      </c>
      <c r="S358" s="80" t="s">
        <v>18</v>
      </c>
      <c r="T358" s="79">
        <v>200</v>
      </c>
      <c r="U358" s="79">
        <v>450</v>
      </c>
      <c r="V358" s="79">
        <v>90</v>
      </c>
      <c r="W358" s="79">
        <v>175632</v>
      </c>
      <c r="X358" s="192">
        <v>116742</v>
      </c>
      <c r="Y358" s="66"/>
      <c r="Z358" s="66"/>
      <c r="AA358" s="66"/>
      <c r="AB358" s="66"/>
      <c r="AC358" s="66"/>
    </row>
    <row r="359" spans="1:29" x14ac:dyDescent="0.25">
      <c r="A359" s="85" t="s">
        <v>31</v>
      </c>
      <c r="B359" s="83">
        <v>217891</v>
      </c>
      <c r="C359" s="193"/>
      <c r="D359" s="83">
        <v>145692</v>
      </c>
      <c r="E359" s="83">
        <v>344341</v>
      </c>
      <c r="F359" s="193"/>
      <c r="G359" s="83">
        <v>261117</v>
      </c>
      <c r="H359" s="83">
        <v>56114</v>
      </c>
      <c r="I359" s="193"/>
      <c r="J359" s="83">
        <v>48129</v>
      </c>
      <c r="K359" s="83">
        <v>99837</v>
      </c>
      <c r="L359" s="193"/>
      <c r="M359" s="83">
        <f>SUM(M354:M358)</f>
        <v>105873</v>
      </c>
      <c r="N359" s="83">
        <v>18326</v>
      </c>
      <c r="O359" s="193"/>
      <c r="P359" s="83">
        <v>14725</v>
      </c>
      <c r="Q359" s="193"/>
      <c r="R359" s="193"/>
      <c r="S359" s="193"/>
      <c r="T359" s="83">
        <v>5800</v>
      </c>
      <c r="U359" s="193"/>
      <c r="V359" s="83">
        <v>2770</v>
      </c>
      <c r="W359" s="83">
        <v>742309</v>
      </c>
      <c r="X359" s="194">
        <v>578306</v>
      </c>
      <c r="Y359" s="66"/>
      <c r="Z359" s="66"/>
      <c r="AA359" s="66"/>
      <c r="AB359" s="66"/>
      <c r="AC359" s="66"/>
    </row>
    <row r="360" spans="1:29" ht="15.75" thickBot="1" x14ac:dyDescent="0.3">
      <c r="A360" s="196" t="s">
        <v>32</v>
      </c>
      <c r="B360" s="197">
        <v>872056</v>
      </c>
      <c r="C360" s="198"/>
      <c r="D360" s="197">
        <v>516341</v>
      </c>
      <c r="E360" s="197">
        <v>697766</v>
      </c>
      <c r="F360" s="198"/>
      <c r="G360" s="197">
        <v>564717</v>
      </c>
      <c r="H360" s="197">
        <v>102975</v>
      </c>
      <c r="I360" s="198"/>
      <c r="J360" s="197">
        <v>117978</v>
      </c>
      <c r="K360" s="197">
        <v>106268</v>
      </c>
      <c r="L360" s="198"/>
      <c r="M360" s="197">
        <v>126024</v>
      </c>
      <c r="N360" s="197">
        <v>301712</v>
      </c>
      <c r="O360" s="198"/>
      <c r="P360" s="197">
        <v>287419</v>
      </c>
      <c r="Q360" s="197">
        <v>1700</v>
      </c>
      <c r="R360" s="198"/>
      <c r="S360" s="197">
        <v>2890</v>
      </c>
      <c r="T360" s="197">
        <v>5800</v>
      </c>
      <c r="U360" s="198"/>
      <c r="V360" s="197">
        <v>2770</v>
      </c>
      <c r="W360" s="197">
        <v>2088277</v>
      </c>
      <c r="X360" s="199">
        <v>1618139</v>
      </c>
      <c r="Y360" s="66"/>
      <c r="Z360" s="66"/>
      <c r="AA360" s="66"/>
      <c r="AB360" s="66"/>
      <c r="AC360" s="66"/>
    </row>
    <row r="361" spans="1:29" x14ac:dyDescent="0.25">
      <c r="A361" s="95" t="s">
        <v>58</v>
      </c>
      <c r="B361" s="96"/>
      <c r="C361" s="96"/>
      <c r="D361" s="95" t="s">
        <v>59</v>
      </c>
      <c r="E361" s="96"/>
      <c r="F361" s="96"/>
      <c r="G361" s="96"/>
      <c r="H361" s="96"/>
      <c r="I361" s="95" t="s">
        <v>60</v>
      </c>
      <c r="J361" s="96"/>
      <c r="K361" s="96"/>
      <c r="L361" s="96"/>
      <c r="M361" s="96"/>
      <c r="N361" s="96"/>
      <c r="O361" s="96"/>
      <c r="P361" s="96"/>
      <c r="Q361" s="96"/>
      <c r="R361" s="95" t="s">
        <v>82</v>
      </c>
      <c r="S361" s="96"/>
      <c r="T361" s="96"/>
      <c r="U361" s="96"/>
      <c r="V361" s="96"/>
      <c r="W361" s="96"/>
      <c r="X361" s="96"/>
      <c r="Y361" s="114"/>
      <c r="Z361" s="114"/>
      <c r="AA361" s="114"/>
      <c r="AB361" s="114"/>
      <c r="AC361" s="114"/>
    </row>
    <row r="362" spans="1:29" x14ac:dyDescent="0.25">
      <c r="A362" s="95"/>
      <c r="B362" s="96"/>
      <c r="C362" s="96"/>
      <c r="D362" s="95"/>
      <c r="E362" s="96"/>
      <c r="F362" s="96"/>
      <c r="G362" s="96"/>
      <c r="H362" s="96"/>
      <c r="I362" s="95"/>
      <c r="J362" s="96"/>
      <c r="K362" s="96"/>
      <c r="L362" s="96"/>
      <c r="M362" s="96"/>
      <c r="N362" s="96"/>
      <c r="O362" s="96"/>
      <c r="P362" s="96"/>
      <c r="Q362" s="96"/>
      <c r="R362" s="95"/>
      <c r="S362" s="96"/>
      <c r="T362" s="96"/>
      <c r="U362" s="96"/>
      <c r="V362" s="96"/>
      <c r="W362" s="96"/>
      <c r="X362" s="96"/>
      <c r="Y362" s="114"/>
      <c r="Z362" s="114"/>
      <c r="AA362" s="114"/>
      <c r="AB362" s="114"/>
      <c r="AC362" s="114"/>
    </row>
    <row r="363" spans="1:29" x14ac:dyDescent="0.25">
      <c r="A363" s="86"/>
      <c r="B363" s="65" t="s">
        <v>83</v>
      </c>
      <c r="C363" s="86"/>
      <c r="D363" s="86"/>
      <c r="E363" s="86"/>
      <c r="F363" s="86"/>
      <c r="G363" s="86"/>
      <c r="H363" s="86"/>
      <c r="I363" s="86"/>
      <c r="J363" s="86"/>
      <c r="K363" s="86"/>
      <c r="L363" s="87" t="s">
        <v>34</v>
      </c>
      <c r="M363" s="86"/>
      <c r="N363" s="66"/>
      <c r="O363" s="87" t="s">
        <v>35</v>
      </c>
      <c r="P363" s="66"/>
      <c r="Q363" s="86"/>
      <c r="R363" s="86"/>
      <c r="S363" s="86"/>
      <c r="T363" s="86"/>
      <c r="U363" s="86"/>
      <c r="V363" s="86"/>
      <c r="W363" s="86"/>
      <c r="X363" s="86"/>
      <c r="Y363" s="66"/>
      <c r="Z363" s="66"/>
      <c r="AA363" s="66"/>
      <c r="AB363" s="66"/>
      <c r="AC363" s="66"/>
    </row>
    <row r="364" spans="1:29" x14ac:dyDescent="0.25">
      <c r="A364" s="200" t="s">
        <v>2</v>
      </c>
      <c r="B364" s="88"/>
      <c r="C364" s="89" t="s">
        <v>37</v>
      </c>
      <c r="D364" s="90"/>
      <c r="E364" s="88"/>
      <c r="F364" s="89" t="s">
        <v>38</v>
      </c>
      <c r="G364" s="90"/>
      <c r="H364" s="88"/>
      <c r="I364" s="89" t="s">
        <v>69</v>
      </c>
      <c r="J364" s="90"/>
      <c r="K364" s="88"/>
      <c r="L364" s="91" t="s">
        <v>70</v>
      </c>
      <c r="M364" s="90"/>
      <c r="N364" s="88"/>
      <c r="O364" s="91" t="s">
        <v>41</v>
      </c>
      <c r="P364" s="90"/>
      <c r="Q364" s="146"/>
      <c r="R364" s="91" t="s">
        <v>54</v>
      </c>
      <c r="S364" s="146"/>
      <c r="T364" s="146"/>
      <c r="U364" s="91" t="s">
        <v>43</v>
      </c>
      <c r="V364" s="146"/>
      <c r="W364" s="176"/>
      <c r="X364" s="201" t="s">
        <v>57</v>
      </c>
      <c r="Y364" s="66"/>
      <c r="Z364" s="66"/>
      <c r="AA364" s="66"/>
      <c r="AB364" s="66"/>
      <c r="AC364" s="66"/>
    </row>
    <row r="365" spans="1:29" ht="15.75" thickBot="1" x14ac:dyDescent="0.3">
      <c r="A365" s="202" t="s">
        <v>11</v>
      </c>
      <c r="B365" s="106" t="s">
        <v>12</v>
      </c>
      <c r="C365" s="106" t="s">
        <v>13</v>
      </c>
      <c r="D365" s="106" t="s">
        <v>14</v>
      </c>
      <c r="E365" s="106" t="s">
        <v>12</v>
      </c>
      <c r="F365" s="106" t="s">
        <v>13</v>
      </c>
      <c r="G365" s="106" t="s">
        <v>14</v>
      </c>
      <c r="H365" s="106" t="s">
        <v>12</v>
      </c>
      <c r="I365" s="106" t="s">
        <v>13</v>
      </c>
      <c r="J365" s="106" t="s">
        <v>14</v>
      </c>
      <c r="K365" s="106" t="s">
        <v>12</v>
      </c>
      <c r="L365" s="106" t="s">
        <v>13</v>
      </c>
      <c r="M365" s="106" t="s">
        <v>14</v>
      </c>
      <c r="N365" s="106" t="s">
        <v>12</v>
      </c>
      <c r="O365" s="106" t="s">
        <v>13</v>
      </c>
      <c r="P365" s="106" t="s">
        <v>14</v>
      </c>
      <c r="Q365" s="106" t="s">
        <v>12</v>
      </c>
      <c r="R365" s="106" t="s">
        <v>13</v>
      </c>
      <c r="S365" s="106" t="s">
        <v>14</v>
      </c>
      <c r="T365" s="106" t="s">
        <v>12</v>
      </c>
      <c r="U365" s="106" t="s">
        <v>13</v>
      </c>
      <c r="V365" s="177" t="s">
        <v>14</v>
      </c>
      <c r="W365" s="145" t="s">
        <v>12</v>
      </c>
      <c r="X365" s="203" t="s">
        <v>14</v>
      </c>
      <c r="Y365" s="66"/>
      <c r="Z365" s="66"/>
      <c r="AA365" s="66"/>
      <c r="AB365" s="66"/>
      <c r="AC365" s="66"/>
    </row>
    <row r="366" spans="1:29" ht="15.75" thickTop="1" x14ac:dyDescent="0.25">
      <c r="A366" s="107" t="s">
        <v>15</v>
      </c>
      <c r="B366" s="108">
        <v>10412</v>
      </c>
      <c r="C366" s="108">
        <v>578</v>
      </c>
      <c r="D366" s="108">
        <v>6111</v>
      </c>
      <c r="E366" s="108">
        <v>2696</v>
      </c>
      <c r="F366" s="108">
        <v>210</v>
      </c>
      <c r="G366" s="108">
        <v>545</v>
      </c>
      <c r="H366" s="108">
        <v>3297</v>
      </c>
      <c r="I366" s="108">
        <v>500</v>
      </c>
      <c r="J366" s="108">
        <v>1648</v>
      </c>
      <c r="K366" s="77" t="s">
        <v>18</v>
      </c>
      <c r="L366" s="77" t="s">
        <v>18</v>
      </c>
      <c r="M366" s="77" t="s">
        <v>18</v>
      </c>
      <c r="N366" s="77" t="s">
        <v>18</v>
      </c>
      <c r="O366" s="77" t="s">
        <v>18</v>
      </c>
      <c r="P366" s="77" t="s">
        <v>18</v>
      </c>
      <c r="Q366" s="77" t="s">
        <v>18</v>
      </c>
      <c r="R366" s="77" t="s">
        <v>18</v>
      </c>
      <c r="S366" s="77" t="s">
        <v>18</v>
      </c>
      <c r="T366" s="77" t="s">
        <v>18</v>
      </c>
      <c r="U366" s="77" t="s">
        <v>18</v>
      </c>
      <c r="V366" s="179" t="s">
        <v>18</v>
      </c>
      <c r="W366" s="204">
        <v>16405</v>
      </c>
      <c r="X366" s="205">
        <v>8304</v>
      </c>
      <c r="Y366" s="66"/>
      <c r="Z366" s="66"/>
      <c r="AA366" s="66"/>
      <c r="AB366" s="66"/>
      <c r="AC366" s="66"/>
    </row>
    <row r="367" spans="1:29" x14ac:dyDescent="0.25">
      <c r="A367" s="78" t="s">
        <v>49</v>
      </c>
      <c r="B367" s="80"/>
      <c r="C367" s="80"/>
      <c r="D367" s="80"/>
      <c r="E367" s="80"/>
      <c r="F367" s="80"/>
      <c r="G367" s="80"/>
      <c r="H367" s="80"/>
      <c r="I367" s="80"/>
      <c r="J367" s="80"/>
      <c r="K367" s="80"/>
      <c r="L367" s="80"/>
      <c r="M367" s="80"/>
      <c r="N367" s="80"/>
      <c r="O367" s="80"/>
      <c r="P367" s="80"/>
      <c r="Q367" s="80"/>
      <c r="R367" s="80"/>
      <c r="S367" s="80"/>
      <c r="T367" s="80"/>
      <c r="U367" s="80"/>
      <c r="V367" s="132"/>
      <c r="W367" s="132"/>
      <c r="X367" s="80"/>
      <c r="Y367" s="66"/>
      <c r="Z367" s="66"/>
      <c r="AA367" s="66"/>
      <c r="AB367" s="66"/>
      <c r="AC367" s="66"/>
    </row>
    <row r="368" spans="1:29" x14ac:dyDescent="0.25">
      <c r="A368" s="78" t="s">
        <v>17</v>
      </c>
      <c r="B368" s="79">
        <v>15530</v>
      </c>
      <c r="C368" s="79">
        <v>600</v>
      </c>
      <c r="D368" s="79">
        <v>9318</v>
      </c>
      <c r="E368" s="79">
        <v>1430</v>
      </c>
      <c r="F368" s="79">
        <v>200</v>
      </c>
      <c r="G368" s="79">
        <v>286</v>
      </c>
      <c r="H368" s="79">
        <v>1650</v>
      </c>
      <c r="I368" s="79">
        <v>500</v>
      </c>
      <c r="J368" s="79">
        <v>825</v>
      </c>
      <c r="K368" s="80" t="s">
        <v>18</v>
      </c>
      <c r="L368" s="80" t="s">
        <v>18</v>
      </c>
      <c r="M368" s="80" t="s">
        <v>18</v>
      </c>
      <c r="N368" s="80" t="s">
        <v>18</v>
      </c>
      <c r="O368" s="80" t="s">
        <v>18</v>
      </c>
      <c r="P368" s="80" t="s">
        <v>18</v>
      </c>
      <c r="Q368" s="80" t="s">
        <v>18</v>
      </c>
      <c r="R368" s="80" t="s">
        <v>18</v>
      </c>
      <c r="S368" s="80" t="s">
        <v>18</v>
      </c>
      <c r="T368" s="80" t="s">
        <v>18</v>
      </c>
      <c r="U368" s="80" t="s">
        <v>18</v>
      </c>
      <c r="V368" s="132" t="s">
        <v>18</v>
      </c>
      <c r="W368" s="130">
        <v>18610</v>
      </c>
      <c r="X368" s="79">
        <v>10429</v>
      </c>
      <c r="Y368" s="66"/>
      <c r="Z368" s="66"/>
      <c r="AA368" s="66"/>
      <c r="AB368" s="66"/>
      <c r="AC368" s="66"/>
    </row>
    <row r="369" spans="1:29" x14ac:dyDescent="0.25">
      <c r="A369" s="78" t="s">
        <v>46</v>
      </c>
      <c r="B369" s="79">
        <v>76160</v>
      </c>
      <c r="C369" s="79">
        <v>790</v>
      </c>
      <c r="D369" s="79">
        <v>60166</v>
      </c>
      <c r="E369" s="79">
        <v>1530</v>
      </c>
      <c r="F369" s="79">
        <v>300</v>
      </c>
      <c r="G369" s="79">
        <v>459</v>
      </c>
      <c r="H369" s="79">
        <v>77000</v>
      </c>
      <c r="I369" s="79">
        <v>500</v>
      </c>
      <c r="J369" s="79">
        <v>38500</v>
      </c>
      <c r="K369" s="79">
        <v>19800</v>
      </c>
      <c r="L369" s="79">
        <v>700</v>
      </c>
      <c r="M369" s="79">
        <v>13860</v>
      </c>
      <c r="N369" s="79">
        <v>2828</v>
      </c>
      <c r="O369" s="79">
        <v>12000</v>
      </c>
      <c r="P369" s="79">
        <v>33936</v>
      </c>
      <c r="Q369" s="80" t="s">
        <v>18</v>
      </c>
      <c r="R369" s="80" t="s">
        <v>18</v>
      </c>
      <c r="S369" s="80" t="s">
        <v>18</v>
      </c>
      <c r="T369" s="80" t="s">
        <v>18</v>
      </c>
      <c r="U369" s="80" t="s">
        <v>18</v>
      </c>
      <c r="V369" s="132" t="s">
        <v>18</v>
      </c>
      <c r="W369" s="92">
        <v>177318</v>
      </c>
      <c r="X369" s="79">
        <v>146921</v>
      </c>
      <c r="Y369" s="66"/>
      <c r="Z369" s="66"/>
      <c r="AA369" s="66"/>
      <c r="AB369" s="66"/>
      <c r="AC369" s="66"/>
    </row>
    <row r="370" spans="1:29" x14ac:dyDescent="0.25">
      <c r="A370" s="78" t="s">
        <v>20</v>
      </c>
      <c r="B370" s="79">
        <v>10530</v>
      </c>
      <c r="C370" s="79">
        <v>797</v>
      </c>
      <c r="D370" s="79">
        <v>8392</v>
      </c>
      <c r="E370" s="79">
        <v>4358</v>
      </c>
      <c r="F370" s="79">
        <v>500</v>
      </c>
      <c r="G370" s="79">
        <v>2179</v>
      </c>
      <c r="H370" s="79">
        <v>2250</v>
      </c>
      <c r="I370" s="79">
        <v>600</v>
      </c>
      <c r="J370" s="79">
        <v>1350</v>
      </c>
      <c r="K370" s="78" t="s">
        <v>18</v>
      </c>
      <c r="L370" s="78" t="s">
        <v>18</v>
      </c>
      <c r="M370" s="78" t="s">
        <v>18</v>
      </c>
      <c r="N370" s="80" t="s">
        <v>18</v>
      </c>
      <c r="O370" s="80" t="s">
        <v>18</v>
      </c>
      <c r="P370" s="80" t="s">
        <v>18</v>
      </c>
      <c r="Q370" s="80" t="s">
        <v>18</v>
      </c>
      <c r="R370" s="80" t="s">
        <v>18</v>
      </c>
      <c r="S370" s="80" t="s">
        <v>18</v>
      </c>
      <c r="T370" s="80" t="s">
        <v>18</v>
      </c>
      <c r="U370" s="80" t="s">
        <v>18</v>
      </c>
      <c r="V370" s="132" t="s">
        <v>18</v>
      </c>
      <c r="W370" s="92">
        <v>17138</v>
      </c>
      <c r="X370" s="79">
        <v>11921</v>
      </c>
      <c r="Y370" s="66"/>
      <c r="Z370" s="66"/>
      <c r="AA370" s="66"/>
      <c r="AB370" s="66"/>
      <c r="AC370" s="66"/>
    </row>
    <row r="371" spans="1:29" x14ac:dyDescent="0.25">
      <c r="A371" s="78" t="s">
        <v>21</v>
      </c>
      <c r="B371" s="80" t="s">
        <v>18</v>
      </c>
      <c r="C371" s="80" t="s">
        <v>18</v>
      </c>
      <c r="D371" s="80" t="s">
        <v>18</v>
      </c>
      <c r="E371" s="80" t="s">
        <v>18</v>
      </c>
      <c r="F371" s="80" t="s">
        <v>18</v>
      </c>
      <c r="G371" s="80" t="s">
        <v>18</v>
      </c>
      <c r="H371" s="79">
        <v>2030</v>
      </c>
      <c r="I371" s="79">
        <v>300</v>
      </c>
      <c r="J371" s="79">
        <v>609</v>
      </c>
      <c r="K371" s="80" t="s">
        <v>18</v>
      </c>
      <c r="L371" s="80" t="s">
        <v>18</v>
      </c>
      <c r="M371" s="80" t="s">
        <v>18</v>
      </c>
      <c r="N371" s="80" t="s">
        <v>18</v>
      </c>
      <c r="O371" s="80" t="s">
        <v>18</v>
      </c>
      <c r="P371" s="80" t="s">
        <v>18</v>
      </c>
      <c r="Q371" s="80" t="s">
        <v>18</v>
      </c>
      <c r="R371" s="80" t="s">
        <v>18</v>
      </c>
      <c r="S371" s="80" t="s">
        <v>18</v>
      </c>
      <c r="T371" s="80" t="s">
        <v>18</v>
      </c>
      <c r="U371" s="80" t="s">
        <v>18</v>
      </c>
      <c r="V371" s="132" t="s">
        <v>18</v>
      </c>
      <c r="W371" s="92">
        <v>2030</v>
      </c>
      <c r="X371" s="79">
        <v>609</v>
      </c>
      <c r="Y371" s="66"/>
      <c r="Z371" s="66"/>
      <c r="AA371" s="66"/>
      <c r="AB371" s="66"/>
      <c r="AC371" s="66"/>
    </row>
    <row r="372" spans="1:29" x14ac:dyDescent="0.25">
      <c r="A372" s="78" t="s">
        <v>22</v>
      </c>
      <c r="B372" s="79">
        <v>40</v>
      </c>
      <c r="C372" s="79">
        <v>1200</v>
      </c>
      <c r="D372" s="79">
        <v>48</v>
      </c>
      <c r="E372" s="80" t="s">
        <v>18</v>
      </c>
      <c r="F372" s="80" t="s">
        <v>18</v>
      </c>
      <c r="G372" s="80" t="s">
        <v>18</v>
      </c>
      <c r="H372" s="79">
        <v>5600</v>
      </c>
      <c r="I372" s="79">
        <v>500</v>
      </c>
      <c r="J372" s="79">
        <v>2800</v>
      </c>
      <c r="K372" s="78" t="s">
        <v>18</v>
      </c>
      <c r="L372" s="78" t="s">
        <v>18</v>
      </c>
      <c r="M372" s="78" t="s">
        <v>18</v>
      </c>
      <c r="N372" s="79">
        <v>290</v>
      </c>
      <c r="O372" s="79">
        <v>20000</v>
      </c>
      <c r="P372" s="79">
        <v>5816</v>
      </c>
      <c r="Q372" s="79">
        <v>84</v>
      </c>
      <c r="R372" s="79">
        <v>15000</v>
      </c>
      <c r="S372" s="79">
        <v>1260</v>
      </c>
      <c r="T372" s="80" t="s">
        <v>18</v>
      </c>
      <c r="U372" s="80" t="s">
        <v>18</v>
      </c>
      <c r="V372" s="132" t="s">
        <v>18</v>
      </c>
      <c r="W372" s="92">
        <v>6014</v>
      </c>
      <c r="X372" s="79">
        <v>9924</v>
      </c>
      <c r="Y372" s="66"/>
      <c r="Z372" s="66"/>
      <c r="AA372" s="66"/>
      <c r="AB372" s="66"/>
      <c r="AC372" s="66"/>
    </row>
    <row r="373" spans="1:29" x14ac:dyDescent="0.25">
      <c r="A373" s="78" t="s">
        <v>23</v>
      </c>
      <c r="B373" s="79">
        <v>93525</v>
      </c>
      <c r="C373" s="79">
        <v>1170</v>
      </c>
      <c r="D373" s="79">
        <v>109424</v>
      </c>
      <c r="E373" s="79">
        <v>11200</v>
      </c>
      <c r="F373" s="79">
        <v>350</v>
      </c>
      <c r="G373" s="79">
        <v>3920</v>
      </c>
      <c r="H373" s="79">
        <v>10700</v>
      </c>
      <c r="I373" s="79">
        <v>450</v>
      </c>
      <c r="J373" s="79">
        <v>4815</v>
      </c>
      <c r="K373" s="79">
        <v>530</v>
      </c>
      <c r="L373" s="79">
        <v>450</v>
      </c>
      <c r="M373" s="79">
        <v>238</v>
      </c>
      <c r="N373" s="80" t="s">
        <v>18</v>
      </c>
      <c r="O373" s="80" t="s">
        <v>18</v>
      </c>
      <c r="P373" s="80" t="s">
        <v>18</v>
      </c>
      <c r="Q373" s="80" t="s">
        <v>18</v>
      </c>
      <c r="R373" s="80" t="s">
        <v>18</v>
      </c>
      <c r="S373" s="80" t="s">
        <v>18</v>
      </c>
      <c r="T373" s="80" t="s">
        <v>18</v>
      </c>
      <c r="U373" s="80" t="s">
        <v>18</v>
      </c>
      <c r="V373" s="132" t="s">
        <v>18</v>
      </c>
      <c r="W373" s="92">
        <v>115955</v>
      </c>
      <c r="X373" s="79">
        <v>118397</v>
      </c>
      <c r="Y373" s="66"/>
      <c r="Z373" s="66"/>
      <c r="AA373" s="66"/>
      <c r="AB373" s="66"/>
      <c r="AC373" s="66"/>
    </row>
    <row r="374" spans="1:29" x14ac:dyDescent="0.25">
      <c r="A374" s="78" t="s">
        <v>24</v>
      </c>
      <c r="B374" s="79">
        <v>5369</v>
      </c>
      <c r="C374" s="79">
        <v>930</v>
      </c>
      <c r="D374" s="79">
        <v>4993</v>
      </c>
      <c r="E374" s="79">
        <v>786</v>
      </c>
      <c r="F374" s="79">
        <v>600</v>
      </c>
      <c r="G374" s="79">
        <v>393</v>
      </c>
      <c r="H374" s="79">
        <v>4000</v>
      </c>
      <c r="I374" s="79">
        <v>600</v>
      </c>
      <c r="J374" s="79">
        <v>2400</v>
      </c>
      <c r="K374" s="79">
        <v>100</v>
      </c>
      <c r="L374" s="79">
        <v>650</v>
      </c>
      <c r="M374" s="79">
        <v>65</v>
      </c>
      <c r="N374" s="79">
        <v>374</v>
      </c>
      <c r="O374" s="79">
        <v>12000</v>
      </c>
      <c r="P374" s="79">
        <v>4488</v>
      </c>
      <c r="Q374" s="79">
        <v>284</v>
      </c>
      <c r="R374" s="79">
        <v>11000</v>
      </c>
      <c r="S374" s="79">
        <v>3214</v>
      </c>
      <c r="T374" s="80" t="s">
        <v>18</v>
      </c>
      <c r="U374" s="80" t="s">
        <v>18</v>
      </c>
      <c r="V374" s="132" t="s">
        <v>18</v>
      </c>
      <c r="W374" s="92">
        <v>10913</v>
      </c>
      <c r="X374" s="79">
        <v>15553</v>
      </c>
      <c r="Y374" s="66"/>
      <c r="Z374" s="66"/>
      <c r="AA374" s="66"/>
      <c r="AB374" s="66"/>
      <c r="AC374" s="66"/>
    </row>
    <row r="375" spans="1:29" x14ac:dyDescent="0.25">
      <c r="A375" s="82" t="s">
        <v>25</v>
      </c>
      <c r="B375" s="83">
        <v>211566</v>
      </c>
      <c r="C375" s="83"/>
      <c r="D375" s="83">
        <v>198452</v>
      </c>
      <c r="E375" s="83">
        <v>22000</v>
      </c>
      <c r="F375" s="83"/>
      <c r="G375" s="83">
        <v>7782</v>
      </c>
      <c r="H375" s="83">
        <v>106527</v>
      </c>
      <c r="I375" s="83"/>
      <c r="J375" s="83">
        <v>52947</v>
      </c>
      <c r="K375" s="83">
        <v>20430</v>
      </c>
      <c r="L375" s="83"/>
      <c r="M375" s="83">
        <v>14163</v>
      </c>
      <c r="N375" s="83">
        <v>3492</v>
      </c>
      <c r="O375" s="83"/>
      <c r="P375" s="83">
        <v>44240</v>
      </c>
      <c r="Q375" s="83">
        <v>368</v>
      </c>
      <c r="R375" s="94" t="s">
        <v>18</v>
      </c>
      <c r="S375" s="83">
        <v>4474</v>
      </c>
      <c r="T375" s="94" t="s">
        <v>18</v>
      </c>
      <c r="U375" s="94" t="s">
        <v>18</v>
      </c>
      <c r="V375" s="181" t="s">
        <v>18</v>
      </c>
      <c r="W375" s="206">
        <v>364383</v>
      </c>
      <c r="X375" s="83">
        <v>322058</v>
      </c>
      <c r="Y375" s="66"/>
      <c r="Z375" s="66"/>
      <c r="AA375" s="66"/>
      <c r="AB375" s="66"/>
      <c r="AC375" s="66"/>
    </row>
    <row r="376" spans="1:29" x14ac:dyDescent="0.25">
      <c r="A376" s="78" t="s">
        <v>47</v>
      </c>
      <c r="B376" s="79">
        <v>59728</v>
      </c>
      <c r="C376" s="79">
        <v>930</v>
      </c>
      <c r="D376" s="79">
        <v>55537</v>
      </c>
      <c r="E376" s="79">
        <v>5314</v>
      </c>
      <c r="F376" s="79">
        <v>530</v>
      </c>
      <c r="G376" s="79">
        <v>1574</v>
      </c>
      <c r="H376" s="79">
        <v>16794</v>
      </c>
      <c r="I376" s="79">
        <v>600</v>
      </c>
      <c r="J376" s="79">
        <v>10076</v>
      </c>
      <c r="K376" s="79">
        <v>3700</v>
      </c>
      <c r="L376" s="79">
        <v>800</v>
      </c>
      <c r="M376" s="79">
        <v>2960</v>
      </c>
      <c r="N376" s="79">
        <v>447</v>
      </c>
      <c r="O376" s="79">
        <v>11500</v>
      </c>
      <c r="P376" s="79">
        <v>51485</v>
      </c>
      <c r="Q376" s="80" t="s">
        <v>18</v>
      </c>
      <c r="R376" s="80" t="s">
        <v>18</v>
      </c>
      <c r="S376" s="80" t="s">
        <v>18</v>
      </c>
      <c r="T376" s="79">
        <v>6800</v>
      </c>
      <c r="U376" s="79">
        <v>12000</v>
      </c>
      <c r="V376" s="92">
        <v>81600</v>
      </c>
      <c r="W376" s="92">
        <v>92783</v>
      </c>
      <c r="X376" s="79">
        <v>203232</v>
      </c>
      <c r="Y376" s="66"/>
      <c r="Z376" s="66"/>
      <c r="AA376" s="66"/>
      <c r="AB376" s="66"/>
      <c r="AC376" s="66"/>
    </row>
    <row r="377" spans="1:29" x14ac:dyDescent="0.25">
      <c r="A377" s="78" t="s">
        <v>27</v>
      </c>
      <c r="B377" s="79">
        <v>31176</v>
      </c>
      <c r="C377" s="79">
        <v>765</v>
      </c>
      <c r="D377" s="79">
        <v>23850</v>
      </c>
      <c r="E377" s="79">
        <v>10928</v>
      </c>
      <c r="F377" s="79">
        <v>272</v>
      </c>
      <c r="G377" s="79">
        <v>2922</v>
      </c>
      <c r="H377" s="79">
        <v>15240</v>
      </c>
      <c r="I377" s="79">
        <v>500</v>
      </c>
      <c r="J377" s="79">
        <v>7620</v>
      </c>
      <c r="K377" s="79">
        <v>8780</v>
      </c>
      <c r="L377" s="79">
        <v>750</v>
      </c>
      <c r="M377" s="79">
        <v>6585</v>
      </c>
      <c r="N377" s="79">
        <v>4373</v>
      </c>
      <c r="O377" s="79">
        <v>10000</v>
      </c>
      <c r="P377" s="79">
        <v>43730</v>
      </c>
      <c r="Q377" s="80" t="s">
        <v>18</v>
      </c>
      <c r="R377" s="80" t="s">
        <v>18</v>
      </c>
      <c r="S377" s="80" t="s">
        <v>18</v>
      </c>
      <c r="T377" s="80" t="s">
        <v>18</v>
      </c>
      <c r="U377" s="80" t="s">
        <v>18</v>
      </c>
      <c r="V377" s="132" t="s">
        <v>18</v>
      </c>
      <c r="W377" s="92">
        <v>70497</v>
      </c>
      <c r="X377" s="79">
        <v>84707</v>
      </c>
      <c r="Y377" s="66"/>
      <c r="Z377" s="66"/>
      <c r="AA377" s="66"/>
      <c r="AB377" s="66"/>
      <c r="AC377" s="66"/>
    </row>
    <row r="378" spans="1:29" x14ac:dyDescent="0.25">
      <c r="A378" s="78" t="s">
        <v>71</v>
      </c>
      <c r="B378" s="79">
        <v>26052</v>
      </c>
      <c r="C378" s="79">
        <v>987</v>
      </c>
      <c r="D378" s="79">
        <v>25714</v>
      </c>
      <c r="E378" s="79">
        <v>9261</v>
      </c>
      <c r="F378" s="79">
        <v>344</v>
      </c>
      <c r="G378" s="79">
        <v>3185</v>
      </c>
      <c r="H378" s="79">
        <v>3730</v>
      </c>
      <c r="I378" s="79">
        <v>550</v>
      </c>
      <c r="J378" s="79">
        <v>1865</v>
      </c>
      <c r="K378" s="79">
        <v>6000</v>
      </c>
      <c r="L378" s="79">
        <v>750</v>
      </c>
      <c r="M378" s="79">
        <v>4500</v>
      </c>
      <c r="N378" s="79">
        <v>3318</v>
      </c>
      <c r="O378" s="79">
        <v>10000</v>
      </c>
      <c r="P378" s="79">
        <v>33180</v>
      </c>
      <c r="Q378" s="80" t="s">
        <v>18</v>
      </c>
      <c r="R378" s="80" t="s">
        <v>18</v>
      </c>
      <c r="S378" s="80" t="s">
        <v>18</v>
      </c>
      <c r="T378" s="80" t="s">
        <v>18</v>
      </c>
      <c r="U378" s="80" t="s">
        <v>18</v>
      </c>
      <c r="V378" s="132" t="s">
        <v>18</v>
      </c>
      <c r="W378" s="92">
        <v>48361</v>
      </c>
      <c r="X378" s="79">
        <v>68444</v>
      </c>
      <c r="Y378" s="66"/>
      <c r="Z378" s="66"/>
      <c r="AA378" s="66"/>
      <c r="AB378" s="66"/>
      <c r="AC378" s="66"/>
    </row>
    <row r="379" spans="1:29" x14ac:dyDescent="0.25">
      <c r="A379" s="78" t="s">
        <v>72</v>
      </c>
      <c r="B379" s="79">
        <v>50773</v>
      </c>
      <c r="C379" s="79">
        <v>953</v>
      </c>
      <c r="D379" s="79">
        <v>48409</v>
      </c>
      <c r="E379" s="79">
        <v>15090</v>
      </c>
      <c r="F379" s="79">
        <v>355</v>
      </c>
      <c r="G379" s="79">
        <v>5356</v>
      </c>
      <c r="H379" s="79">
        <v>5288</v>
      </c>
      <c r="I379" s="79">
        <v>500</v>
      </c>
      <c r="J379" s="79">
        <v>2644</v>
      </c>
      <c r="K379" s="79">
        <v>5540</v>
      </c>
      <c r="L379" s="79">
        <v>800</v>
      </c>
      <c r="M379" s="79">
        <v>4432</v>
      </c>
      <c r="N379" s="79">
        <v>6672</v>
      </c>
      <c r="O379" s="79">
        <v>11000</v>
      </c>
      <c r="P379" s="79">
        <v>73392</v>
      </c>
      <c r="Q379" s="80" t="s">
        <v>18</v>
      </c>
      <c r="R379" s="80" t="s">
        <v>18</v>
      </c>
      <c r="S379" s="80" t="s">
        <v>18</v>
      </c>
      <c r="T379" s="80" t="s">
        <v>18</v>
      </c>
      <c r="U379" s="80" t="s">
        <v>18</v>
      </c>
      <c r="V379" s="132" t="s">
        <v>18</v>
      </c>
      <c r="W379" s="92">
        <v>83363</v>
      </c>
      <c r="X379" s="79">
        <v>134233</v>
      </c>
      <c r="Y379" s="66"/>
      <c r="Z379" s="66"/>
      <c r="AA379" s="66"/>
      <c r="AB379" s="66"/>
      <c r="AC379" s="66"/>
    </row>
    <row r="380" spans="1:29" x14ac:dyDescent="0.25">
      <c r="A380" s="78" t="s">
        <v>73</v>
      </c>
      <c r="B380" s="79">
        <v>64771</v>
      </c>
      <c r="C380" s="79">
        <v>971</v>
      </c>
      <c r="D380" s="79">
        <v>62906</v>
      </c>
      <c r="E380" s="79">
        <v>878</v>
      </c>
      <c r="F380" s="79">
        <v>277</v>
      </c>
      <c r="G380" s="79">
        <v>243</v>
      </c>
      <c r="H380" s="79">
        <v>41710</v>
      </c>
      <c r="I380" s="79">
        <v>580</v>
      </c>
      <c r="J380" s="79">
        <v>22205</v>
      </c>
      <c r="K380" s="79">
        <v>14360</v>
      </c>
      <c r="L380" s="79">
        <v>950</v>
      </c>
      <c r="M380" s="79">
        <v>13642</v>
      </c>
      <c r="N380" s="79">
        <v>8584</v>
      </c>
      <c r="O380" s="79">
        <v>12000</v>
      </c>
      <c r="P380" s="79">
        <v>103008</v>
      </c>
      <c r="Q380" s="80" t="s">
        <v>18</v>
      </c>
      <c r="R380" s="80" t="s">
        <v>18</v>
      </c>
      <c r="S380" s="80" t="s">
        <v>18</v>
      </c>
      <c r="T380" s="80" t="s">
        <v>18</v>
      </c>
      <c r="U380" s="80" t="s">
        <v>18</v>
      </c>
      <c r="V380" s="132" t="s">
        <v>18</v>
      </c>
      <c r="W380" s="92">
        <v>130303</v>
      </c>
      <c r="X380" s="79">
        <v>202004</v>
      </c>
      <c r="Y380" s="66"/>
      <c r="Z380" s="66"/>
      <c r="AA380" s="66"/>
      <c r="AB380" s="66"/>
      <c r="AC380" s="66"/>
    </row>
    <row r="381" spans="1:29" x14ac:dyDescent="0.25">
      <c r="A381" s="85" t="s">
        <v>31</v>
      </c>
      <c r="B381" s="83">
        <v>232500</v>
      </c>
      <c r="C381" s="83"/>
      <c r="D381" s="83">
        <v>216416</v>
      </c>
      <c r="E381" s="83">
        <v>41471</v>
      </c>
      <c r="F381" s="83"/>
      <c r="G381" s="83">
        <v>13061</v>
      </c>
      <c r="H381" s="83">
        <v>82762</v>
      </c>
      <c r="I381" s="83"/>
      <c r="J381" s="83">
        <v>44410</v>
      </c>
      <c r="K381" s="83">
        <v>38380</v>
      </c>
      <c r="L381" s="83"/>
      <c r="M381" s="83">
        <v>32119</v>
      </c>
      <c r="N381" s="83">
        <v>23394</v>
      </c>
      <c r="O381" s="83"/>
      <c r="P381" s="83">
        <v>304795</v>
      </c>
      <c r="Q381" s="83"/>
      <c r="R381" s="83"/>
      <c r="S381" s="83"/>
      <c r="T381" s="83">
        <v>6800</v>
      </c>
      <c r="U381" s="83">
        <v>12000</v>
      </c>
      <c r="V381" s="206">
        <v>81600</v>
      </c>
      <c r="W381" s="206">
        <v>425307</v>
      </c>
      <c r="X381" s="83">
        <v>692620</v>
      </c>
      <c r="Y381" s="66"/>
      <c r="Z381" s="66"/>
      <c r="AA381" s="66"/>
      <c r="AB381" s="66"/>
      <c r="AC381" s="66"/>
    </row>
    <row r="382" spans="1:29" x14ac:dyDescent="0.25">
      <c r="A382" s="78" t="s">
        <v>32</v>
      </c>
      <c r="B382" s="79">
        <v>444066</v>
      </c>
      <c r="C382" s="79"/>
      <c r="D382" s="79">
        <v>414868</v>
      </c>
      <c r="E382" s="79">
        <v>63471</v>
      </c>
      <c r="F382" s="79"/>
      <c r="G382" s="79">
        <v>21062</v>
      </c>
      <c r="H382" s="79">
        <v>189289</v>
      </c>
      <c r="I382" s="79"/>
      <c r="J382" s="79">
        <v>97357</v>
      </c>
      <c r="K382" s="79">
        <v>58810</v>
      </c>
      <c r="L382" s="79"/>
      <c r="M382" s="79">
        <v>46282</v>
      </c>
      <c r="N382" s="79">
        <v>26886</v>
      </c>
      <c r="O382" s="79"/>
      <c r="P382" s="79">
        <v>349035</v>
      </c>
      <c r="Q382" s="79">
        <v>368</v>
      </c>
      <c r="R382" s="79"/>
      <c r="S382" s="79">
        <v>4474</v>
      </c>
      <c r="T382" s="79">
        <v>6800</v>
      </c>
      <c r="U382" s="79"/>
      <c r="V382" s="92">
        <v>81600</v>
      </c>
      <c r="W382" s="92">
        <f>W375+W381</f>
        <v>789690</v>
      </c>
      <c r="X382" s="79">
        <v>1014678</v>
      </c>
      <c r="Y382" s="66"/>
      <c r="Z382" s="66"/>
      <c r="AA382" s="66"/>
      <c r="AB382" s="66"/>
      <c r="AC382" s="66"/>
    </row>
    <row r="383" spans="1:29" x14ac:dyDescent="0.25">
      <c r="A383" s="95" t="s">
        <v>58</v>
      </c>
      <c r="B383" s="96"/>
      <c r="C383" s="96"/>
      <c r="D383" s="95" t="s">
        <v>59</v>
      </c>
      <c r="E383" s="96"/>
      <c r="F383" s="96"/>
      <c r="G383" s="96"/>
      <c r="H383" s="96"/>
      <c r="I383" s="95" t="s">
        <v>60</v>
      </c>
      <c r="J383" s="96"/>
      <c r="K383" s="86"/>
      <c r="L383" s="66"/>
      <c r="M383" s="66"/>
      <c r="N383" s="66"/>
      <c r="O383" s="66"/>
      <c r="P383" s="66"/>
      <c r="Q383" s="66"/>
      <c r="R383" s="66"/>
      <c r="S383" s="66"/>
      <c r="T383" s="66"/>
      <c r="U383" s="66"/>
      <c r="V383" s="66"/>
      <c r="W383" s="66"/>
      <c r="X383" s="66"/>
      <c r="Y383" s="66"/>
      <c r="Z383" s="66"/>
      <c r="AA383" s="66"/>
      <c r="AB383" s="66"/>
      <c r="AC383" s="66"/>
    </row>
    <row r="384" spans="1:29" x14ac:dyDescent="0.25">
      <c r="A384" s="95"/>
      <c r="B384" s="96"/>
      <c r="C384" s="96"/>
      <c r="D384" s="95"/>
      <c r="E384" s="96"/>
      <c r="F384" s="96"/>
      <c r="G384" s="96"/>
      <c r="H384" s="96"/>
      <c r="I384" s="95"/>
      <c r="J384" s="96"/>
      <c r="K384" s="86"/>
      <c r="L384" s="66"/>
      <c r="M384" s="66"/>
      <c r="N384" s="66"/>
      <c r="O384" s="66"/>
      <c r="P384" s="66"/>
      <c r="Q384" s="66"/>
      <c r="R384" s="66"/>
      <c r="S384" s="66"/>
      <c r="T384" s="66"/>
      <c r="U384" s="66"/>
      <c r="V384" s="66"/>
      <c r="W384" s="66"/>
      <c r="X384" s="66"/>
      <c r="Y384" s="66"/>
      <c r="Z384" s="66"/>
      <c r="AA384" s="66"/>
      <c r="AB384" s="66"/>
      <c r="AC384" s="66"/>
    </row>
    <row r="385" spans="1:29" x14ac:dyDescent="0.25">
      <c r="A385" s="86"/>
      <c r="B385" s="65" t="s">
        <v>0</v>
      </c>
      <c r="C385" s="86"/>
      <c r="D385" s="86"/>
      <c r="E385" s="86"/>
      <c r="F385" s="86"/>
      <c r="G385" s="86"/>
      <c r="H385" s="86"/>
      <c r="I385" s="65" t="s">
        <v>84</v>
      </c>
      <c r="J385" s="86"/>
      <c r="K385" s="86"/>
      <c r="L385" s="86"/>
      <c r="M385" s="86"/>
      <c r="N385" s="86"/>
      <c r="O385" s="86"/>
      <c r="P385" s="86"/>
      <c r="Q385" s="86"/>
      <c r="R385" s="66"/>
      <c r="S385" s="66"/>
      <c r="T385" s="66"/>
      <c r="U385" s="66"/>
      <c r="V385" s="66"/>
      <c r="W385" s="66"/>
      <c r="X385" s="66"/>
      <c r="Y385" s="66"/>
      <c r="Z385" s="66"/>
      <c r="AA385" s="66"/>
      <c r="AB385" s="66"/>
      <c r="AC385" s="66"/>
    </row>
    <row r="386" spans="1:29" x14ac:dyDescent="0.25">
      <c r="A386" s="207" t="s">
        <v>2</v>
      </c>
      <c r="B386" s="88"/>
      <c r="C386" s="89" t="s">
        <v>3</v>
      </c>
      <c r="D386" s="90"/>
      <c r="E386" s="88"/>
      <c r="F386" s="91" t="s">
        <v>4</v>
      </c>
      <c r="G386" s="90"/>
      <c r="H386" s="88"/>
      <c r="I386" s="89" t="s">
        <v>5</v>
      </c>
      <c r="J386" s="90"/>
      <c r="K386" s="88"/>
      <c r="L386" s="89" t="s">
        <v>6</v>
      </c>
      <c r="M386" s="90"/>
      <c r="N386" s="88"/>
      <c r="O386" s="89" t="s">
        <v>7</v>
      </c>
      <c r="P386" s="146"/>
      <c r="Q386" s="117"/>
      <c r="R386" s="118" t="s">
        <v>8</v>
      </c>
      <c r="S386" s="119"/>
      <c r="T386" s="117"/>
      <c r="U386" s="118" t="s">
        <v>9</v>
      </c>
      <c r="V386" s="119"/>
      <c r="W386" s="72" t="s">
        <v>10</v>
      </c>
      <c r="X386" s="123"/>
      <c r="Y386" s="66"/>
      <c r="Z386" s="66"/>
      <c r="AA386" s="66"/>
      <c r="AB386" s="66"/>
      <c r="AC386" s="66"/>
    </row>
    <row r="387" spans="1:29" ht="15.75" thickBot="1" x14ac:dyDescent="0.3">
      <c r="A387" s="144" t="s">
        <v>11</v>
      </c>
      <c r="B387" s="208" t="s">
        <v>12</v>
      </c>
      <c r="C387" s="187" t="s">
        <v>13</v>
      </c>
      <c r="D387" s="187" t="s">
        <v>14</v>
      </c>
      <c r="E387" s="187" t="s">
        <v>12</v>
      </c>
      <c r="F387" s="187" t="s">
        <v>13</v>
      </c>
      <c r="G387" s="187" t="s">
        <v>14</v>
      </c>
      <c r="H387" s="187" t="s">
        <v>12</v>
      </c>
      <c r="I387" s="187" t="s">
        <v>13</v>
      </c>
      <c r="J387" s="187" t="s">
        <v>14</v>
      </c>
      <c r="K387" s="187" t="s">
        <v>12</v>
      </c>
      <c r="L387" s="187" t="s">
        <v>13</v>
      </c>
      <c r="M387" s="187" t="s">
        <v>14</v>
      </c>
      <c r="N387" s="187" t="s">
        <v>12</v>
      </c>
      <c r="O387" s="187" t="s">
        <v>13</v>
      </c>
      <c r="P387" s="187" t="s">
        <v>14</v>
      </c>
      <c r="Q387" s="187" t="s">
        <v>12</v>
      </c>
      <c r="R387" s="187" t="s">
        <v>13</v>
      </c>
      <c r="S387" s="187" t="s">
        <v>14</v>
      </c>
      <c r="T387" s="187" t="s">
        <v>12</v>
      </c>
      <c r="U387" s="187" t="s">
        <v>13</v>
      </c>
      <c r="V387" s="187" t="s">
        <v>14</v>
      </c>
      <c r="W387" s="209" t="s">
        <v>12</v>
      </c>
      <c r="X387" s="210" t="s">
        <v>14</v>
      </c>
      <c r="Y387" s="66"/>
      <c r="Z387" s="66"/>
      <c r="AA387" s="66"/>
      <c r="AB387" s="66"/>
      <c r="AC387" s="66"/>
    </row>
    <row r="388" spans="1:29" ht="15.75" thickTop="1" x14ac:dyDescent="0.25">
      <c r="A388" s="211" t="s">
        <v>15</v>
      </c>
      <c r="B388" s="131">
        <v>56153</v>
      </c>
      <c r="C388" s="131">
        <v>275</v>
      </c>
      <c r="D388" s="131">
        <v>15442</v>
      </c>
      <c r="E388" s="131">
        <v>53690</v>
      </c>
      <c r="F388" s="131">
        <v>438</v>
      </c>
      <c r="G388" s="131">
        <v>23516</v>
      </c>
      <c r="H388" s="109" t="s">
        <v>18</v>
      </c>
      <c r="I388" s="109" t="s">
        <v>18</v>
      </c>
      <c r="J388" s="109" t="s">
        <v>18</v>
      </c>
      <c r="K388" s="109" t="s">
        <v>18</v>
      </c>
      <c r="L388" s="109" t="s">
        <v>18</v>
      </c>
      <c r="M388" s="109" t="s">
        <v>18</v>
      </c>
      <c r="N388" s="131">
        <v>10400</v>
      </c>
      <c r="O388" s="131">
        <v>600</v>
      </c>
      <c r="P388" s="131">
        <v>6240</v>
      </c>
      <c r="Q388" s="212"/>
      <c r="R388" s="212"/>
      <c r="S388" s="212"/>
      <c r="T388" s="212"/>
      <c r="U388" s="212"/>
      <c r="V388" s="212"/>
      <c r="W388" s="131">
        <v>120243</v>
      </c>
      <c r="X388" s="131">
        <v>45198</v>
      </c>
      <c r="Y388" s="66"/>
      <c r="Z388" s="66"/>
      <c r="AA388" s="66"/>
      <c r="AB388" s="66"/>
      <c r="AC388" s="66"/>
    </row>
    <row r="389" spans="1:29" x14ac:dyDescent="0.25">
      <c r="A389" s="213" t="s">
        <v>16</v>
      </c>
      <c r="B389" s="133" t="s">
        <v>18</v>
      </c>
      <c r="C389" s="133" t="s">
        <v>18</v>
      </c>
      <c r="D389" s="133" t="s">
        <v>18</v>
      </c>
      <c r="E389" s="133" t="s">
        <v>18</v>
      </c>
      <c r="F389" s="133" t="s">
        <v>18</v>
      </c>
      <c r="G389" s="133" t="s">
        <v>18</v>
      </c>
      <c r="H389" s="133" t="s">
        <v>18</v>
      </c>
      <c r="I389" s="133" t="s">
        <v>18</v>
      </c>
      <c r="J389" s="133" t="s">
        <v>18</v>
      </c>
      <c r="K389" s="133" t="s">
        <v>18</v>
      </c>
      <c r="L389" s="133" t="s">
        <v>18</v>
      </c>
      <c r="M389" s="133" t="s">
        <v>18</v>
      </c>
      <c r="N389" s="133" t="s">
        <v>18</v>
      </c>
      <c r="O389" s="133" t="s">
        <v>18</v>
      </c>
      <c r="P389" s="133" t="s">
        <v>18</v>
      </c>
      <c r="Q389" s="214"/>
      <c r="R389" s="214"/>
      <c r="S389" s="214"/>
      <c r="T389" s="214"/>
      <c r="U389" s="214"/>
      <c r="V389" s="214"/>
      <c r="W389" s="123"/>
      <c r="X389" s="123"/>
      <c r="Y389" s="66"/>
      <c r="Z389" s="66"/>
      <c r="AA389" s="66"/>
      <c r="AB389" s="66"/>
      <c r="AC389" s="66"/>
    </row>
    <row r="390" spans="1:29" x14ac:dyDescent="0.25">
      <c r="A390" s="213" t="s">
        <v>17</v>
      </c>
      <c r="B390" s="123">
        <v>39000</v>
      </c>
      <c r="C390" s="123">
        <v>250</v>
      </c>
      <c r="D390" s="123">
        <v>9750</v>
      </c>
      <c r="E390" s="123">
        <v>1900</v>
      </c>
      <c r="F390" s="123">
        <v>300</v>
      </c>
      <c r="G390" s="123">
        <v>570</v>
      </c>
      <c r="H390" s="133" t="s">
        <v>18</v>
      </c>
      <c r="I390" s="133" t="s">
        <v>18</v>
      </c>
      <c r="J390" s="133" t="s">
        <v>18</v>
      </c>
      <c r="K390" s="133" t="s">
        <v>18</v>
      </c>
      <c r="L390" s="133" t="s">
        <v>18</v>
      </c>
      <c r="M390" s="133" t="s">
        <v>18</v>
      </c>
      <c r="N390" s="133" t="s">
        <v>18</v>
      </c>
      <c r="O390" s="133" t="s">
        <v>18</v>
      </c>
      <c r="P390" s="133" t="s">
        <v>18</v>
      </c>
      <c r="Q390" s="214"/>
      <c r="R390" s="214"/>
      <c r="S390" s="214"/>
      <c r="T390" s="214"/>
      <c r="U390" s="214"/>
      <c r="V390" s="214"/>
      <c r="W390" s="123">
        <v>40900</v>
      </c>
      <c r="X390" s="123">
        <v>10320</v>
      </c>
      <c r="Y390" s="66"/>
      <c r="Z390" s="66"/>
      <c r="AA390" s="66"/>
      <c r="AB390" s="66"/>
      <c r="AC390" s="66"/>
    </row>
    <row r="391" spans="1:29" x14ac:dyDescent="0.25">
      <c r="A391" s="213" t="s">
        <v>19</v>
      </c>
      <c r="B391" s="123">
        <v>88700</v>
      </c>
      <c r="C391" s="123">
        <v>556</v>
      </c>
      <c r="D391" s="123">
        <v>49317</v>
      </c>
      <c r="E391" s="123">
        <v>78750</v>
      </c>
      <c r="F391" s="123">
        <v>500</v>
      </c>
      <c r="G391" s="123">
        <v>39375</v>
      </c>
      <c r="H391" s="123">
        <v>16500</v>
      </c>
      <c r="I391" s="123">
        <v>900</v>
      </c>
      <c r="J391" s="123">
        <v>14850</v>
      </c>
      <c r="K391" s="123">
        <v>3800</v>
      </c>
      <c r="L391" s="123">
        <v>1500</v>
      </c>
      <c r="M391" s="123">
        <v>5700</v>
      </c>
      <c r="N391" s="123">
        <v>11325</v>
      </c>
      <c r="O391" s="123">
        <v>650</v>
      </c>
      <c r="P391" s="123">
        <v>7361</v>
      </c>
      <c r="Q391" s="214"/>
      <c r="R391" s="214"/>
      <c r="S391" s="214"/>
      <c r="T391" s="214"/>
      <c r="U391" s="214"/>
      <c r="V391" s="214"/>
      <c r="W391" s="123">
        <v>199075</v>
      </c>
      <c r="X391" s="123">
        <v>116603</v>
      </c>
      <c r="Y391" s="66"/>
      <c r="Z391" s="66"/>
      <c r="AA391" s="66"/>
      <c r="AB391" s="66"/>
      <c r="AC391" s="66"/>
    </row>
    <row r="392" spans="1:29" x14ac:dyDescent="0.25">
      <c r="A392" s="213" t="s">
        <v>20</v>
      </c>
      <c r="B392" s="123">
        <v>39410</v>
      </c>
      <c r="C392" s="123">
        <v>370</v>
      </c>
      <c r="D392" s="123">
        <v>14582</v>
      </c>
      <c r="E392" s="123">
        <v>59870</v>
      </c>
      <c r="F392" s="123">
        <v>650</v>
      </c>
      <c r="G392" s="123">
        <v>38916</v>
      </c>
      <c r="H392" s="123">
        <v>6985</v>
      </c>
      <c r="I392" s="123">
        <v>500</v>
      </c>
      <c r="J392" s="123">
        <v>3493</v>
      </c>
      <c r="K392" s="123">
        <v>2090</v>
      </c>
      <c r="L392" s="123">
        <v>670</v>
      </c>
      <c r="M392" s="123">
        <v>1400</v>
      </c>
      <c r="N392" s="123">
        <v>9500</v>
      </c>
      <c r="O392" s="123">
        <v>900</v>
      </c>
      <c r="P392" s="123">
        <v>8550</v>
      </c>
      <c r="Q392" s="214"/>
      <c r="R392" s="214"/>
      <c r="S392" s="214"/>
      <c r="T392" s="214"/>
      <c r="U392" s="214"/>
      <c r="V392" s="214"/>
      <c r="W392" s="123">
        <v>117855</v>
      </c>
      <c r="X392" s="123">
        <v>66940</v>
      </c>
      <c r="Y392" s="66"/>
      <c r="Z392" s="66"/>
      <c r="AA392" s="66"/>
      <c r="AB392" s="66"/>
      <c r="AC392" s="66"/>
    </row>
    <row r="393" spans="1:29" x14ac:dyDescent="0.25">
      <c r="A393" s="213" t="s">
        <v>21</v>
      </c>
      <c r="B393" s="123">
        <v>37000</v>
      </c>
      <c r="C393" s="123">
        <v>154</v>
      </c>
      <c r="D393" s="123">
        <v>5698</v>
      </c>
      <c r="E393" s="133" t="s">
        <v>18</v>
      </c>
      <c r="F393" s="133" t="s">
        <v>18</v>
      </c>
      <c r="G393" s="133" t="s">
        <v>18</v>
      </c>
      <c r="H393" s="133" t="s">
        <v>18</v>
      </c>
      <c r="I393" s="133" t="s">
        <v>18</v>
      </c>
      <c r="J393" s="133" t="s">
        <v>18</v>
      </c>
      <c r="K393" s="133" t="s">
        <v>18</v>
      </c>
      <c r="L393" s="133" t="s">
        <v>18</v>
      </c>
      <c r="M393" s="133" t="s">
        <v>18</v>
      </c>
      <c r="N393" s="133" t="s">
        <v>18</v>
      </c>
      <c r="O393" s="133" t="s">
        <v>18</v>
      </c>
      <c r="P393" s="133" t="s">
        <v>18</v>
      </c>
      <c r="Q393" s="214"/>
      <c r="R393" s="214"/>
      <c r="S393" s="214"/>
      <c r="T393" s="214"/>
      <c r="U393" s="214"/>
      <c r="V393" s="214"/>
      <c r="W393" s="123">
        <v>37000</v>
      </c>
      <c r="X393" s="123">
        <v>5698</v>
      </c>
      <c r="Y393" s="66"/>
      <c r="Z393" s="66"/>
      <c r="AA393" s="66"/>
      <c r="AB393" s="66"/>
      <c r="AC393" s="66"/>
    </row>
    <row r="394" spans="1:29" x14ac:dyDescent="0.25">
      <c r="A394" s="213" t="s">
        <v>22</v>
      </c>
      <c r="B394" s="123">
        <v>35800</v>
      </c>
      <c r="C394" s="123">
        <v>280</v>
      </c>
      <c r="D394" s="123">
        <v>10024</v>
      </c>
      <c r="E394" s="133" t="s">
        <v>18</v>
      </c>
      <c r="F394" s="133" t="s">
        <v>18</v>
      </c>
      <c r="G394" s="133" t="s">
        <v>18</v>
      </c>
      <c r="H394" s="123">
        <v>31240</v>
      </c>
      <c r="I394" s="123">
        <v>1200</v>
      </c>
      <c r="J394" s="123">
        <v>37488</v>
      </c>
      <c r="K394" s="133" t="s">
        <v>18</v>
      </c>
      <c r="L394" s="133" t="s">
        <v>18</v>
      </c>
      <c r="M394" s="133" t="s">
        <v>18</v>
      </c>
      <c r="N394" s="133" t="s">
        <v>18</v>
      </c>
      <c r="O394" s="133" t="s">
        <v>18</v>
      </c>
      <c r="P394" s="133" t="s">
        <v>18</v>
      </c>
      <c r="Q394" s="214"/>
      <c r="R394" s="214"/>
      <c r="S394" s="214"/>
      <c r="T394" s="214"/>
      <c r="U394" s="214"/>
      <c r="V394" s="214"/>
      <c r="W394" s="123">
        <v>67040</v>
      </c>
      <c r="X394" s="123">
        <v>47512</v>
      </c>
      <c r="Y394" s="66"/>
      <c r="Z394" s="66"/>
      <c r="AA394" s="66"/>
      <c r="AB394" s="66"/>
      <c r="AC394" s="66"/>
    </row>
    <row r="395" spans="1:29" x14ac:dyDescent="0.25">
      <c r="A395" s="213" t="s">
        <v>23</v>
      </c>
      <c r="B395" s="123">
        <v>113000</v>
      </c>
      <c r="C395" s="123">
        <v>340</v>
      </c>
      <c r="D395" s="123">
        <v>38420</v>
      </c>
      <c r="E395" s="123">
        <v>76059</v>
      </c>
      <c r="F395" s="123">
        <v>687</v>
      </c>
      <c r="G395" s="123">
        <v>52253</v>
      </c>
      <c r="H395" s="123">
        <v>14380</v>
      </c>
      <c r="I395" s="123">
        <v>350</v>
      </c>
      <c r="J395" s="123">
        <v>7434</v>
      </c>
      <c r="K395" s="133" t="s">
        <v>18</v>
      </c>
      <c r="L395" s="133" t="s">
        <v>18</v>
      </c>
      <c r="M395" s="133" t="s">
        <v>18</v>
      </c>
      <c r="N395" s="133" t="s">
        <v>18</v>
      </c>
      <c r="O395" s="133" t="s">
        <v>18</v>
      </c>
      <c r="P395" s="133" t="s">
        <v>18</v>
      </c>
      <c r="Q395" s="214"/>
      <c r="R395" s="214"/>
      <c r="S395" s="214"/>
      <c r="T395" s="214"/>
      <c r="U395" s="214"/>
      <c r="V395" s="214"/>
      <c r="W395" s="123">
        <v>203439</v>
      </c>
      <c r="X395" s="192">
        <v>95706</v>
      </c>
      <c r="Y395" s="66"/>
      <c r="Z395" s="66"/>
      <c r="AA395" s="66"/>
      <c r="AB395" s="66"/>
      <c r="AC395" s="66"/>
    </row>
    <row r="396" spans="1:29" x14ac:dyDescent="0.25">
      <c r="A396" s="213" t="s">
        <v>24</v>
      </c>
      <c r="B396" s="123">
        <v>8837</v>
      </c>
      <c r="C396" s="123">
        <v>600</v>
      </c>
      <c r="D396" s="123">
        <v>5302</v>
      </c>
      <c r="E396" s="123">
        <v>35092</v>
      </c>
      <c r="F396" s="123">
        <v>840</v>
      </c>
      <c r="G396" s="123">
        <v>29477</v>
      </c>
      <c r="H396" s="133" t="s">
        <v>18</v>
      </c>
      <c r="I396" s="133" t="s">
        <v>18</v>
      </c>
      <c r="J396" s="133" t="s">
        <v>18</v>
      </c>
      <c r="K396" s="123">
        <v>1077</v>
      </c>
      <c r="L396" s="123">
        <v>800</v>
      </c>
      <c r="M396" s="123">
        <v>862</v>
      </c>
      <c r="N396" s="123">
        <v>226262</v>
      </c>
      <c r="O396" s="123">
        <v>725</v>
      </c>
      <c r="P396" s="123">
        <v>209292</v>
      </c>
      <c r="Q396" s="214"/>
      <c r="R396" s="214"/>
      <c r="S396" s="214"/>
      <c r="T396" s="214"/>
      <c r="U396" s="214"/>
      <c r="V396" s="214"/>
      <c r="W396" s="123">
        <v>271268</v>
      </c>
      <c r="X396" s="192">
        <v>244933</v>
      </c>
      <c r="Y396" s="66"/>
      <c r="Z396" s="66"/>
      <c r="AA396" s="66"/>
      <c r="AB396" s="66"/>
      <c r="AC396" s="66"/>
    </row>
    <row r="397" spans="1:29" x14ac:dyDescent="0.25">
      <c r="A397" s="215" t="s">
        <v>85</v>
      </c>
      <c r="B397" s="135">
        <v>417910</v>
      </c>
      <c r="C397" s="135">
        <v>347</v>
      </c>
      <c r="D397" s="135">
        <v>148535</v>
      </c>
      <c r="E397" s="135">
        <v>305361</v>
      </c>
      <c r="F397" s="135">
        <v>603</v>
      </c>
      <c r="G397" s="135">
        <v>184107</v>
      </c>
      <c r="H397" s="135">
        <v>69105</v>
      </c>
      <c r="I397" s="135">
        <v>915</v>
      </c>
      <c r="J397" s="135">
        <v>63235</v>
      </c>
      <c r="K397" s="135">
        <v>6967</v>
      </c>
      <c r="L397" s="135">
        <v>1143</v>
      </c>
      <c r="M397" s="135">
        <v>7962</v>
      </c>
      <c r="N397" s="135">
        <v>257487</v>
      </c>
      <c r="O397" s="135">
        <v>896</v>
      </c>
      <c r="P397" s="135">
        <v>231444</v>
      </c>
      <c r="Q397" s="216"/>
      <c r="R397" s="216"/>
      <c r="S397" s="216"/>
      <c r="T397" s="216"/>
      <c r="U397" s="216"/>
      <c r="V397" s="216"/>
      <c r="W397" s="135">
        <v>1056820</v>
      </c>
      <c r="X397" s="83">
        <v>632911</v>
      </c>
      <c r="Y397" s="66"/>
      <c r="Z397" s="66"/>
      <c r="AA397" s="66"/>
      <c r="AB397" s="66"/>
      <c r="AC397" s="66"/>
    </row>
    <row r="398" spans="1:29" x14ac:dyDescent="0.25">
      <c r="A398" s="213" t="s">
        <v>26</v>
      </c>
      <c r="B398" s="123">
        <v>50476</v>
      </c>
      <c r="C398" s="123">
        <v>840</v>
      </c>
      <c r="D398" s="79">
        <f>B398*C398/1000</f>
        <v>42399.839999999997</v>
      </c>
      <c r="E398" s="123">
        <v>121303</v>
      </c>
      <c r="F398" s="123">
        <v>800</v>
      </c>
      <c r="G398" s="123">
        <v>97042</v>
      </c>
      <c r="H398" s="123">
        <v>11465</v>
      </c>
      <c r="I398" s="123">
        <v>834</v>
      </c>
      <c r="J398" s="123">
        <v>9562</v>
      </c>
      <c r="K398" s="123">
        <v>25773</v>
      </c>
      <c r="L398" s="123">
        <v>1200</v>
      </c>
      <c r="M398" s="123">
        <v>30928</v>
      </c>
      <c r="N398" s="123">
        <v>31400</v>
      </c>
      <c r="O398" s="123">
        <v>900</v>
      </c>
      <c r="P398" s="123">
        <v>28260</v>
      </c>
      <c r="Q398" s="214"/>
      <c r="R398" s="214"/>
      <c r="S398" s="123"/>
      <c r="T398" s="123">
        <v>1564</v>
      </c>
      <c r="U398" s="123">
        <v>457</v>
      </c>
      <c r="V398" s="123">
        <v>715</v>
      </c>
      <c r="W398" s="123">
        <v>241981</v>
      </c>
      <c r="X398" s="192">
        <v>208906</v>
      </c>
      <c r="Y398" s="66"/>
      <c r="Z398" s="66"/>
      <c r="AA398" s="66"/>
      <c r="AB398" s="66"/>
      <c r="AC398" s="66"/>
    </row>
    <row r="399" spans="1:29" x14ac:dyDescent="0.25">
      <c r="A399" s="213" t="s">
        <v>27</v>
      </c>
      <c r="B399" s="123">
        <v>40925</v>
      </c>
      <c r="C399" s="123">
        <v>520</v>
      </c>
      <c r="D399" s="79">
        <f>B399*C399/1000</f>
        <v>21281</v>
      </c>
      <c r="E399" s="123">
        <v>50575</v>
      </c>
      <c r="F399" s="123">
        <v>835</v>
      </c>
      <c r="G399" s="123">
        <v>42230</v>
      </c>
      <c r="H399" s="123">
        <v>12126</v>
      </c>
      <c r="I399" s="123">
        <v>821</v>
      </c>
      <c r="J399" s="123">
        <v>9955</v>
      </c>
      <c r="K399" s="123">
        <v>40102</v>
      </c>
      <c r="L399" s="123">
        <v>762</v>
      </c>
      <c r="M399" s="123">
        <v>31360</v>
      </c>
      <c r="N399" s="123">
        <v>6500</v>
      </c>
      <c r="O399" s="123">
        <v>800</v>
      </c>
      <c r="P399" s="123">
        <v>5200</v>
      </c>
      <c r="Q399" s="214"/>
      <c r="R399" s="214"/>
      <c r="S399" s="123"/>
      <c r="T399" s="123">
        <v>1956</v>
      </c>
      <c r="U399" s="123">
        <v>507</v>
      </c>
      <c r="V399" s="123">
        <v>992</v>
      </c>
      <c r="W399" s="123">
        <v>152184</v>
      </c>
      <c r="X399" s="192">
        <f>D399+G399+J399+M399+P399+S399+V399</f>
        <v>111018</v>
      </c>
      <c r="Y399" s="66"/>
      <c r="Z399" s="66"/>
      <c r="AA399" s="66"/>
      <c r="AB399" s="66"/>
      <c r="AC399" s="66"/>
    </row>
    <row r="400" spans="1:29" x14ac:dyDescent="0.25">
      <c r="A400" s="78" t="s">
        <v>71</v>
      </c>
      <c r="B400" s="123">
        <v>17420</v>
      </c>
      <c r="C400" s="123">
        <v>500</v>
      </c>
      <c r="D400" s="79">
        <f>B400*C400/1000</f>
        <v>8710</v>
      </c>
      <c r="E400" s="123">
        <v>26410</v>
      </c>
      <c r="F400" s="123">
        <v>592</v>
      </c>
      <c r="G400" s="123">
        <v>15635</v>
      </c>
      <c r="H400" s="123">
        <v>7516</v>
      </c>
      <c r="I400" s="123">
        <v>734</v>
      </c>
      <c r="J400" s="123">
        <v>5517</v>
      </c>
      <c r="K400" s="123">
        <v>8420</v>
      </c>
      <c r="L400" s="123">
        <v>1000</v>
      </c>
      <c r="M400" s="123">
        <v>8420</v>
      </c>
      <c r="N400" s="133" t="s">
        <v>18</v>
      </c>
      <c r="O400" s="133" t="s">
        <v>18</v>
      </c>
      <c r="P400" s="133" t="s">
        <v>18</v>
      </c>
      <c r="Q400" s="214"/>
      <c r="R400" s="214"/>
      <c r="S400" s="123"/>
      <c r="T400" s="123">
        <v>135</v>
      </c>
      <c r="U400" s="123">
        <v>350</v>
      </c>
      <c r="V400" s="123">
        <v>47</v>
      </c>
      <c r="W400" s="123">
        <v>59901</v>
      </c>
      <c r="X400" s="192">
        <v>38329</v>
      </c>
      <c r="Y400" s="66"/>
      <c r="Z400" s="66"/>
      <c r="AA400" s="66"/>
      <c r="AB400" s="66"/>
      <c r="AC400" s="66"/>
    </row>
    <row r="401" spans="1:29" x14ac:dyDescent="0.25">
      <c r="A401" s="78" t="s">
        <v>72</v>
      </c>
      <c r="B401" s="123">
        <v>36630</v>
      </c>
      <c r="C401" s="123">
        <v>696</v>
      </c>
      <c r="D401" s="79">
        <f>B401*C401/1000</f>
        <v>25494.48</v>
      </c>
      <c r="E401" s="123">
        <v>91050</v>
      </c>
      <c r="F401" s="123">
        <v>696</v>
      </c>
      <c r="G401" s="123">
        <v>63370</v>
      </c>
      <c r="H401" s="123">
        <v>11600</v>
      </c>
      <c r="I401" s="123">
        <v>800</v>
      </c>
      <c r="J401" s="123">
        <v>9280</v>
      </c>
      <c r="K401" s="123">
        <v>10930</v>
      </c>
      <c r="L401" s="123">
        <v>1000</v>
      </c>
      <c r="M401" s="123">
        <v>10930</v>
      </c>
      <c r="N401" s="133" t="s">
        <v>18</v>
      </c>
      <c r="O401" s="133" t="s">
        <v>18</v>
      </c>
      <c r="P401" s="133" t="s">
        <v>18</v>
      </c>
      <c r="Q401" s="214"/>
      <c r="R401" s="214"/>
      <c r="S401" s="123"/>
      <c r="T401" s="123">
        <v>530</v>
      </c>
      <c r="U401" s="123">
        <v>425</v>
      </c>
      <c r="V401" s="123">
        <v>225</v>
      </c>
      <c r="W401" s="123">
        <v>150740</v>
      </c>
      <c r="X401" s="192">
        <v>109301</v>
      </c>
      <c r="Y401" s="66"/>
      <c r="Z401" s="66"/>
      <c r="AA401" s="66"/>
      <c r="AB401" s="66"/>
      <c r="AC401" s="66"/>
    </row>
    <row r="402" spans="1:29" x14ac:dyDescent="0.25">
      <c r="A402" s="78" t="s">
        <v>73</v>
      </c>
      <c r="B402" s="123">
        <v>67337</v>
      </c>
      <c r="C402" s="123">
        <v>759</v>
      </c>
      <c r="D402" s="79">
        <f>B402*C402/1000</f>
        <v>51108.783000000003</v>
      </c>
      <c r="E402" s="123">
        <v>60388</v>
      </c>
      <c r="F402" s="123">
        <v>779</v>
      </c>
      <c r="G402" s="123">
        <v>47042</v>
      </c>
      <c r="H402" s="123">
        <v>15306</v>
      </c>
      <c r="I402" s="123">
        <v>800</v>
      </c>
      <c r="J402" s="123">
        <v>12245</v>
      </c>
      <c r="K402" s="123">
        <v>1656</v>
      </c>
      <c r="L402" s="123">
        <v>896</v>
      </c>
      <c r="M402" s="123">
        <v>1484</v>
      </c>
      <c r="N402" s="123">
        <v>800</v>
      </c>
      <c r="O402" s="123">
        <v>700</v>
      </c>
      <c r="P402" s="123">
        <v>560</v>
      </c>
      <c r="Q402" s="214"/>
      <c r="R402" s="214"/>
      <c r="S402" s="214"/>
      <c r="T402" s="133"/>
      <c r="U402" s="123">
        <v>415</v>
      </c>
      <c r="V402" s="217">
        <v>199</v>
      </c>
      <c r="W402" s="123">
        <v>145487</v>
      </c>
      <c r="X402" s="192">
        <v>112440</v>
      </c>
      <c r="Y402" s="66"/>
      <c r="Z402" s="66"/>
      <c r="AA402" s="66"/>
      <c r="AB402" s="66"/>
      <c r="AC402" s="66"/>
    </row>
    <row r="403" spans="1:29" x14ac:dyDescent="0.25">
      <c r="A403" s="218" t="s">
        <v>86</v>
      </c>
      <c r="B403" s="135">
        <v>212788</v>
      </c>
      <c r="C403" s="135">
        <v>700</v>
      </c>
      <c r="D403" s="219">
        <f>SUM(D398:D402)</f>
        <v>148994.103</v>
      </c>
      <c r="E403" s="135">
        <v>349726</v>
      </c>
      <c r="F403" s="135">
        <v>759</v>
      </c>
      <c r="G403" s="135">
        <v>265319</v>
      </c>
      <c r="H403" s="135">
        <v>58013</v>
      </c>
      <c r="I403" s="135">
        <v>802</v>
      </c>
      <c r="J403" s="135">
        <v>46559</v>
      </c>
      <c r="K403" s="135">
        <v>86881</v>
      </c>
      <c r="L403" s="135">
        <v>957</v>
      </c>
      <c r="M403" s="135">
        <v>83122</v>
      </c>
      <c r="N403" s="135">
        <v>38700</v>
      </c>
      <c r="O403" s="135">
        <v>888</v>
      </c>
      <c r="P403" s="135">
        <v>34020</v>
      </c>
      <c r="Q403" s="216"/>
      <c r="R403" s="216"/>
      <c r="S403" s="216"/>
      <c r="T403" s="135">
        <v>4185</v>
      </c>
      <c r="U403" s="216"/>
      <c r="V403" s="135">
        <f>SUM(V398:V402)</f>
        <v>2178</v>
      </c>
      <c r="W403" s="135">
        <f>SUM(W398:W402)</f>
        <v>750293</v>
      </c>
      <c r="X403" s="83">
        <f>SUM(X398:X402)</f>
        <v>579994</v>
      </c>
      <c r="Y403" s="66"/>
      <c r="Z403" s="66"/>
      <c r="AA403" s="66"/>
      <c r="AB403" s="66"/>
      <c r="AC403" s="66"/>
    </row>
    <row r="404" spans="1:29" x14ac:dyDescent="0.25">
      <c r="A404" s="213" t="s">
        <v>32</v>
      </c>
      <c r="B404" s="123">
        <v>630698</v>
      </c>
      <c r="C404" s="123">
        <v>467</v>
      </c>
      <c r="D404" s="220">
        <f>D397+D403</f>
        <v>297529.103</v>
      </c>
      <c r="E404" s="123">
        <f>E397+E403</f>
        <v>655087</v>
      </c>
      <c r="F404" s="123">
        <v>4769</v>
      </c>
      <c r="G404" s="123">
        <v>449426</v>
      </c>
      <c r="H404" s="123">
        <v>127118</v>
      </c>
      <c r="I404" s="123">
        <v>870</v>
      </c>
      <c r="J404" s="123">
        <v>107422</v>
      </c>
      <c r="K404" s="123">
        <v>93848</v>
      </c>
      <c r="L404" s="123">
        <v>964</v>
      </c>
      <c r="M404" s="123">
        <v>91083</v>
      </c>
      <c r="N404" s="123">
        <v>296187</v>
      </c>
      <c r="O404" s="123">
        <v>894</v>
      </c>
      <c r="P404" s="123">
        <v>265464</v>
      </c>
      <c r="Q404" s="123"/>
      <c r="R404" s="214"/>
      <c r="S404" s="214"/>
      <c r="T404" s="123">
        <f>T397+T403</f>
        <v>4185</v>
      </c>
      <c r="U404" s="214"/>
      <c r="V404" s="123">
        <f>V397+V403</f>
        <v>2178</v>
      </c>
      <c r="W404" s="123">
        <v>1807113</v>
      </c>
      <c r="X404" s="221">
        <f>X397+X403</f>
        <v>1212905</v>
      </c>
      <c r="Y404" s="66"/>
      <c r="Z404" s="66"/>
      <c r="AA404" s="66"/>
      <c r="AB404" s="66"/>
      <c r="AC404" s="66"/>
    </row>
    <row r="405" spans="1:29" x14ac:dyDescent="0.25">
      <c r="A405" s="86"/>
      <c r="B405" s="86"/>
      <c r="C405" s="86"/>
      <c r="D405" s="86"/>
      <c r="E405" s="86"/>
      <c r="F405" s="86"/>
      <c r="G405" s="86"/>
      <c r="H405" s="86"/>
      <c r="I405" s="86"/>
      <c r="J405" s="86"/>
      <c r="K405" s="86"/>
      <c r="L405" s="86"/>
      <c r="M405" s="86"/>
      <c r="N405" s="86"/>
      <c r="O405" s="86"/>
      <c r="P405" s="86"/>
      <c r="Q405" s="86"/>
      <c r="R405" s="86"/>
      <c r="S405" s="86"/>
      <c r="T405" s="86"/>
      <c r="U405" s="86"/>
      <c r="V405" s="86"/>
      <c r="W405" s="66"/>
      <c r="X405" s="66"/>
      <c r="Y405" s="66"/>
      <c r="Z405" s="66"/>
      <c r="AA405" s="66"/>
      <c r="AB405" s="66"/>
      <c r="AC405" s="66"/>
    </row>
    <row r="406" spans="1:29" x14ac:dyDescent="0.25">
      <c r="A406" s="86"/>
      <c r="B406" s="65" t="s">
        <v>87</v>
      </c>
      <c r="C406" s="86"/>
      <c r="D406" s="86"/>
      <c r="E406" s="86"/>
      <c r="F406" s="86"/>
      <c r="G406" s="86"/>
      <c r="H406" s="86"/>
      <c r="I406" s="86"/>
      <c r="J406" s="86"/>
      <c r="K406" s="86"/>
      <c r="L406" s="87" t="s">
        <v>34</v>
      </c>
      <c r="M406" s="86"/>
      <c r="N406" s="66"/>
      <c r="O406" s="87" t="s">
        <v>35</v>
      </c>
      <c r="P406" s="66"/>
      <c r="Q406" s="66"/>
      <c r="R406" s="86"/>
      <c r="S406" s="87" t="s">
        <v>36</v>
      </c>
      <c r="T406" s="86"/>
      <c r="U406" s="86"/>
      <c r="V406" s="86"/>
      <c r="W406" s="66"/>
      <c r="X406" s="66"/>
      <c r="Y406" s="66"/>
      <c r="Z406" s="66"/>
      <c r="AA406" s="66"/>
      <c r="AB406" s="66"/>
      <c r="AC406" s="66"/>
    </row>
    <row r="407" spans="1:29" x14ac:dyDescent="0.25">
      <c r="A407" s="222" t="s">
        <v>2</v>
      </c>
      <c r="B407" s="117"/>
      <c r="C407" s="118" t="s">
        <v>37</v>
      </c>
      <c r="D407" s="223"/>
      <c r="E407" s="117"/>
      <c r="F407" s="118" t="s">
        <v>38</v>
      </c>
      <c r="G407" s="119"/>
      <c r="H407" s="117"/>
      <c r="I407" s="118" t="s">
        <v>39</v>
      </c>
      <c r="J407" s="119"/>
      <c r="K407" s="117"/>
      <c r="L407" s="121" t="s">
        <v>40</v>
      </c>
      <c r="M407" s="119"/>
      <c r="N407" s="117"/>
      <c r="O407" s="121" t="s">
        <v>41</v>
      </c>
      <c r="P407" s="119"/>
      <c r="Q407" s="117"/>
      <c r="R407" s="121" t="s">
        <v>43</v>
      </c>
      <c r="S407" s="119"/>
      <c r="T407" s="117"/>
      <c r="U407" s="118" t="s">
        <v>54</v>
      </c>
      <c r="V407" s="119"/>
      <c r="W407" s="224"/>
      <c r="X407" s="213" t="s">
        <v>44</v>
      </c>
      <c r="Y407" s="66"/>
      <c r="Z407" s="66"/>
      <c r="AA407" s="66"/>
      <c r="AB407" s="66"/>
      <c r="AC407" s="66"/>
    </row>
    <row r="408" spans="1:29" ht="15.75" thickBot="1" x14ac:dyDescent="0.3">
      <c r="A408" s="104" t="s">
        <v>11</v>
      </c>
      <c r="B408" s="225" t="s">
        <v>12</v>
      </c>
      <c r="C408" s="225" t="s">
        <v>13</v>
      </c>
      <c r="D408" s="225" t="s">
        <v>14</v>
      </c>
      <c r="E408" s="226" t="s">
        <v>12</v>
      </c>
      <c r="F408" s="226" t="s">
        <v>13</v>
      </c>
      <c r="G408" s="226" t="s">
        <v>14</v>
      </c>
      <c r="H408" s="226" t="s">
        <v>12</v>
      </c>
      <c r="I408" s="226" t="s">
        <v>13</v>
      </c>
      <c r="J408" s="226" t="s">
        <v>14</v>
      </c>
      <c r="K408" s="226" t="s">
        <v>12</v>
      </c>
      <c r="L408" s="226" t="s">
        <v>13</v>
      </c>
      <c r="M408" s="226" t="s">
        <v>14</v>
      </c>
      <c r="N408" s="226" t="s">
        <v>12</v>
      </c>
      <c r="O408" s="226" t="s">
        <v>13</v>
      </c>
      <c r="P408" s="226" t="s">
        <v>14</v>
      </c>
      <c r="Q408" s="226" t="s">
        <v>12</v>
      </c>
      <c r="R408" s="226" t="s">
        <v>13</v>
      </c>
      <c r="S408" s="226" t="s">
        <v>14</v>
      </c>
      <c r="T408" s="226" t="s">
        <v>12</v>
      </c>
      <c r="U408" s="226" t="s">
        <v>13</v>
      </c>
      <c r="V408" s="226" t="s">
        <v>14</v>
      </c>
      <c r="W408" s="227" t="s">
        <v>12</v>
      </c>
      <c r="X408" s="210" t="s">
        <v>14</v>
      </c>
      <c r="Y408" s="66"/>
      <c r="Z408" s="66"/>
      <c r="AA408" s="66"/>
      <c r="AB408" s="66"/>
      <c r="AC408" s="66"/>
    </row>
    <row r="409" spans="1:29" ht="15.75" thickTop="1" x14ac:dyDescent="0.25">
      <c r="A409" s="211" t="s">
        <v>15</v>
      </c>
      <c r="B409" s="131">
        <v>7580</v>
      </c>
      <c r="C409" s="131">
        <v>600</v>
      </c>
      <c r="D409" s="131">
        <v>4548</v>
      </c>
      <c r="E409" s="131">
        <v>1300</v>
      </c>
      <c r="F409" s="131">
        <v>105</v>
      </c>
      <c r="G409" s="131">
        <v>136</v>
      </c>
      <c r="H409" s="131"/>
      <c r="I409" s="131"/>
      <c r="J409" s="131"/>
      <c r="K409" s="109" t="s">
        <v>18</v>
      </c>
      <c r="L409" s="109" t="s">
        <v>18</v>
      </c>
      <c r="M409" s="109" t="s">
        <v>18</v>
      </c>
      <c r="N409" s="109" t="s">
        <v>18</v>
      </c>
      <c r="O409" s="109" t="s">
        <v>18</v>
      </c>
      <c r="P409" s="109" t="s">
        <v>18</v>
      </c>
      <c r="Q409" s="109" t="s">
        <v>18</v>
      </c>
      <c r="R409" s="109" t="s">
        <v>18</v>
      </c>
      <c r="S409" s="131"/>
      <c r="T409" s="133" t="s">
        <v>88</v>
      </c>
      <c r="U409" s="133" t="s">
        <v>88</v>
      </c>
      <c r="V409" s="133" t="s">
        <v>88</v>
      </c>
      <c r="W409" s="228">
        <f>B409+E409</f>
        <v>8880</v>
      </c>
      <c r="X409" s="131">
        <f>D409+G409</f>
        <v>4684</v>
      </c>
      <c r="Y409" s="66"/>
      <c r="Z409" s="66"/>
      <c r="AA409" s="66"/>
      <c r="AB409" s="66"/>
      <c r="AC409" s="66"/>
    </row>
    <row r="410" spans="1:29" x14ac:dyDescent="0.25">
      <c r="A410" s="213" t="s">
        <v>89</v>
      </c>
      <c r="B410" s="123"/>
      <c r="C410" s="123"/>
      <c r="D410" s="123"/>
      <c r="E410" s="123"/>
      <c r="F410" s="123"/>
      <c r="G410" s="123"/>
      <c r="H410" s="123"/>
      <c r="I410" s="133" t="s">
        <v>18</v>
      </c>
      <c r="J410" s="133" t="s">
        <v>18</v>
      </c>
      <c r="K410" s="133" t="s">
        <v>18</v>
      </c>
      <c r="L410" s="133" t="s">
        <v>18</v>
      </c>
      <c r="M410" s="133" t="s">
        <v>18</v>
      </c>
      <c r="N410" s="133" t="s">
        <v>18</v>
      </c>
      <c r="O410" s="133" t="s">
        <v>18</v>
      </c>
      <c r="P410" s="133" t="s">
        <v>18</v>
      </c>
      <c r="Q410" s="133" t="s">
        <v>18</v>
      </c>
      <c r="R410" s="133"/>
      <c r="S410" s="123"/>
      <c r="T410" s="123"/>
      <c r="U410" s="123"/>
      <c r="V410" s="123"/>
      <c r="W410" s="224"/>
      <c r="X410" s="123"/>
      <c r="Y410" s="66"/>
      <c r="Z410" s="66"/>
      <c r="AA410" s="66"/>
      <c r="AB410" s="66"/>
      <c r="AC410" s="66"/>
    </row>
    <row r="411" spans="1:29" x14ac:dyDescent="0.25">
      <c r="A411" s="213" t="s">
        <v>17</v>
      </c>
      <c r="B411" s="123">
        <v>3300</v>
      </c>
      <c r="C411" s="123">
        <v>600</v>
      </c>
      <c r="D411" s="123">
        <v>1980</v>
      </c>
      <c r="E411" s="123">
        <v>850</v>
      </c>
      <c r="F411" s="123">
        <v>150</v>
      </c>
      <c r="G411" s="123">
        <v>127</v>
      </c>
      <c r="H411" s="123"/>
      <c r="I411" s="123"/>
      <c r="J411" s="123"/>
      <c r="K411" s="133" t="s">
        <v>18</v>
      </c>
      <c r="L411" s="133" t="s">
        <v>18</v>
      </c>
      <c r="M411" s="133" t="s">
        <v>18</v>
      </c>
      <c r="N411" s="133" t="s">
        <v>18</v>
      </c>
      <c r="O411" s="133" t="s">
        <v>18</v>
      </c>
      <c r="P411" s="133" t="s">
        <v>18</v>
      </c>
      <c r="Q411" s="133" t="s">
        <v>18</v>
      </c>
      <c r="R411" s="133" t="s">
        <v>18</v>
      </c>
      <c r="S411" s="133" t="s">
        <v>18</v>
      </c>
      <c r="T411" s="133" t="s">
        <v>88</v>
      </c>
      <c r="U411" s="133" t="s">
        <v>88</v>
      </c>
      <c r="V411" s="133" t="s">
        <v>88</v>
      </c>
      <c r="W411" s="224">
        <f>B411+E411</f>
        <v>4150</v>
      </c>
      <c r="X411" s="123">
        <f>D411+G411</f>
        <v>2107</v>
      </c>
      <c r="Y411" s="66"/>
      <c r="Z411" s="66"/>
      <c r="AA411" s="66"/>
      <c r="AB411" s="66"/>
      <c r="AC411" s="66"/>
    </row>
    <row r="412" spans="1:29" x14ac:dyDescent="0.25">
      <c r="A412" s="213" t="s">
        <v>46</v>
      </c>
      <c r="B412" s="123">
        <v>24930</v>
      </c>
      <c r="C412" s="123">
        <v>1250</v>
      </c>
      <c r="D412" s="123">
        <v>31162</v>
      </c>
      <c r="E412" s="133" t="s">
        <v>18</v>
      </c>
      <c r="F412" s="133" t="s">
        <v>18</v>
      </c>
      <c r="G412" s="133" t="s">
        <v>18</v>
      </c>
      <c r="H412" s="133" t="s">
        <v>18</v>
      </c>
      <c r="I412" s="133" t="s">
        <v>18</v>
      </c>
      <c r="J412" s="133" t="s">
        <v>18</v>
      </c>
      <c r="K412" s="123">
        <v>19800</v>
      </c>
      <c r="L412" s="123">
        <v>700</v>
      </c>
      <c r="M412" s="123">
        <v>13860</v>
      </c>
      <c r="N412" s="123">
        <v>2500</v>
      </c>
      <c r="O412" s="123">
        <v>10000</v>
      </c>
      <c r="P412" s="123">
        <v>25000</v>
      </c>
      <c r="Q412" s="133" t="s">
        <v>18</v>
      </c>
      <c r="R412" s="133" t="s">
        <v>18</v>
      </c>
      <c r="S412" s="133" t="s">
        <v>18</v>
      </c>
      <c r="T412" s="133" t="s">
        <v>88</v>
      </c>
      <c r="U412" s="133" t="s">
        <v>88</v>
      </c>
      <c r="V412" s="133" t="s">
        <v>88</v>
      </c>
      <c r="W412" s="224">
        <f>B412+N412</f>
        <v>27430</v>
      </c>
      <c r="X412" s="123">
        <f>D412+P412</f>
        <v>56162</v>
      </c>
      <c r="Y412" s="66"/>
      <c r="Z412" s="66"/>
      <c r="AA412" s="66"/>
      <c r="AB412" s="66"/>
      <c r="AC412" s="66"/>
    </row>
    <row r="413" spans="1:29" x14ac:dyDescent="0.25">
      <c r="A413" s="213" t="s">
        <v>20</v>
      </c>
      <c r="B413" s="123">
        <v>15450</v>
      </c>
      <c r="C413" s="123">
        <v>850</v>
      </c>
      <c r="D413" s="123">
        <v>13132</v>
      </c>
      <c r="E413" s="123">
        <v>5000</v>
      </c>
      <c r="F413" s="123">
        <v>400</v>
      </c>
      <c r="G413" s="123">
        <v>2000</v>
      </c>
      <c r="H413" s="123">
        <v>2000</v>
      </c>
      <c r="I413" s="123">
        <v>475</v>
      </c>
      <c r="J413" s="123">
        <v>950</v>
      </c>
      <c r="K413" s="133" t="s">
        <v>18</v>
      </c>
      <c r="L413" s="229" t="s">
        <v>18</v>
      </c>
      <c r="M413" s="229" t="s">
        <v>18</v>
      </c>
      <c r="N413" s="133" t="s">
        <v>18</v>
      </c>
      <c r="O413" s="133" t="s">
        <v>18</v>
      </c>
      <c r="P413" s="133" t="s">
        <v>18</v>
      </c>
      <c r="Q413" s="133" t="s">
        <v>18</v>
      </c>
      <c r="R413" s="133" t="s">
        <v>18</v>
      </c>
      <c r="S413" s="133" t="s">
        <v>18</v>
      </c>
      <c r="T413" s="133" t="s">
        <v>88</v>
      </c>
      <c r="U413" s="133" t="s">
        <v>88</v>
      </c>
      <c r="V413" s="133" t="s">
        <v>88</v>
      </c>
      <c r="W413" s="224">
        <f>B413+E413+H413</f>
        <v>22450</v>
      </c>
      <c r="X413" s="123">
        <f>D413+G413+J413</f>
        <v>16082</v>
      </c>
      <c r="Y413" s="66"/>
      <c r="Z413" s="66"/>
      <c r="AA413" s="66"/>
      <c r="AB413" s="66"/>
      <c r="AC413" s="66"/>
    </row>
    <row r="414" spans="1:29" x14ac:dyDescent="0.25">
      <c r="A414" s="213" t="s">
        <v>21</v>
      </c>
      <c r="B414" s="133" t="s">
        <v>18</v>
      </c>
      <c r="C414" s="133" t="s">
        <v>18</v>
      </c>
      <c r="D414" s="133" t="s">
        <v>18</v>
      </c>
      <c r="E414" s="133" t="s">
        <v>18</v>
      </c>
      <c r="F414" s="133" t="s">
        <v>18</v>
      </c>
      <c r="G414" s="133" t="s">
        <v>18</v>
      </c>
      <c r="H414" s="123"/>
      <c r="I414" s="123"/>
      <c r="J414" s="123"/>
      <c r="K414" s="133" t="s">
        <v>18</v>
      </c>
      <c r="L414" s="133" t="s">
        <v>18</v>
      </c>
      <c r="M414" s="133" t="s">
        <v>18</v>
      </c>
      <c r="N414" s="133" t="s">
        <v>18</v>
      </c>
      <c r="O414" s="133" t="s">
        <v>18</v>
      </c>
      <c r="P414" s="133" t="s">
        <v>18</v>
      </c>
      <c r="Q414" s="133" t="s">
        <v>18</v>
      </c>
      <c r="R414" s="133" t="s">
        <v>18</v>
      </c>
      <c r="S414" s="133" t="s">
        <v>18</v>
      </c>
      <c r="T414" s="133" t="s">
        <v>88</v>
      </c>
      <c r="U414" s="133" t="s">
        <v>88</v>
      </c>
      <c r="V414" s="133" t="s">
        <v>88</v>
      </c>
      <c r="W414" s="230" t="s">
        <v>18</v>
      </c>
      <c r="X414" s="133" t="s">
        <v>18</v>
      </c>
      <c r="Y414" s="66"/>
      <c r="Z414" s="66"/>
      <c r="AA414" s="66"/>
      <c r="AB414" s="66"/>
      <c r="AC414" s="66"/>
    </row>
    <row r="415" spans="1:29" x14ac:dyDescent="0.25">
      <c r="A415" s="213" t="s">
        <v>22</v>
      </c>
      <c r="B415" s="123">
        <v>35800</v>
      </c>
      <c r="C415" s="123">
        <v>1200</v>
      </c>
      <c r="D415" s="123">
        <v>42960</v>
      </c>
      <c r="E415" s="133" t="s">
        <v>18</v>
      </c>
      <c r="F415" s="133" t="s">
        <v>18</v>
      </c>
      <c r="G415" s="133" t="s">
        <v>18</v>
      </c>
      <c r="H415" s="123">
        <v>1605</v>
      </c>
      <c r="I415" s="123">
        <v>362</v>
      </c>
      <c r="J415" s="123">
        <v>578</v>
      </c>
      <c r="K415" s="133" t="s">
        <v>18</v>
      </c>
      <c r="L415" s="229" t="s">
        <v>18</v>
      </c>
      <c r="M415" s="229" t="s">
        <v>18</v>
      </c>
      <c r="N415" s="123">
        <v>290</v>
      </c>
      <c r="O415" s="123">
        <v>20000</v>
      </c>
      <c r="P415" s="123">
        <v>5800</v>
      </c>
      <c r="Q415" s="133" t="s">
        <v>18</v>
      </c>
      <c r="R415" s="133" t="s">
        <v>18</v>
      </c>
      <c r="S415" s="133" t="s">
        <v>18</v>
      </c>
      <c r="T415" s="133" t="s">
        <v>88</v>
      </c>
      <c r="U415" s="133" t="s">
        <v>88</v>
      </c>
      <c r="V415" s="133" t="s">
        <v>88</v>
      </c>
      <c r="W415" s="224">
        <f>B415+H415+N415</f>
        <v>37695</v>
      </c>
      <c r="X415" s="123">
        <f>D415+J415+P415</f>
        <v>49338</v>
      </c>
      <c r="Y415" s="66"/>
      <c r="Z415" s="66"/>
      <c r="AA415" s="66"/>
      <c r="AB415" s="66"/>
      <c r="AC415" s="66"/>
    </row>
    <row r="416" spans="1:29" x14ac:dyDescent="0.25">
      <c r="A416" s="213" t="s">
        <v>23</v>
      </c>
      <c r="B416" s="123">
        <v>80900</v>
      </c>
      <c r="C416" s="123">
        <v>750</v>
      </c>
      <c r="D416" s="123">
        <v>68765</v>
      </c>
      <c r="E416" s="123">
        <v>1450</v>
      </c>
      <c r="F416" s="123">
        <v>300</v>
      </c>
      <c r="G416" s="123">
        <v>1350</v>
      </c>
      <c r="H416" s="123">
        <v>7800</v>
      </c>
      <c r="I416" s="123">
        <v>300</v>
      </c>
      <c r="J416" s="123">
        <v>2340</v>
      </c>
      <c r="K416" s="123">
        <v>530</v>
      </c>
      <c r="L416" s="123">
        <v>450</v>
      </c>
      <c r="M416" s="123">
        <v>238</v>
      </c>
      <c r="N416" s="133" t="s">
        <v>18</v>
      </c>
      <c r="O416" s="133" t="s">
        <v>18</v>
      </c>
      <c r="P416" s="133" t="s">
        <v>18</v>
      </c>
      <c r="Q416" s="133" t="s">
        <v>18</v>
      </c>
      <c r="R416" s="133" t="s">
        <v>18</v>
      </c>
      <c r="S416" s="133" t="s">
        <v>18</v>
      </c>
      <c r="T416" s="133" t="s">
        <v>88</v>
      </c>
      <c r="U416" s="133" t="s">
        <v>88</v>
      </c>
      <c r="V416" s="133" t="s">
        <v>88</v>
      </c>
      <c r="W416" s="224">
        <f>B416+E416+H416+N415</f>
        <v>90440</v>
      </c>
      <c r="X416" s="123">
        <f>D416+G416+J416</f>
        <v>72455</v>
      </c>
      <c r="Y416" s="66"/>
      <c r="Z416" s="66"/>
      <c r="AA416" s="66"/>
      <c r="AB416" s="66"/>
      <c r="AC416" s="66"/>
    </row>
    <row r="417" spans="1:29" x14ac:dyDescent="0.25">
      <c r="A417" s="213" t="s">
        <v>24</v>
      </c>
      <c r="B417" s="123">
        <v>5000</v>
      </c>
      <c r="C417" s="123">
        <v>940</v>
      </c>
      <c r="D417" s="123">
        <v>4700</v>
      </c>
      <c r="E417" s="123">
        <v>5465</v>
      </c>
      <c r="F417" s="123">
        <v>400</v>
      </c>
      <c r="G417" s="123">
        <v>2186</v>
      </c>
      <c r="H417" s="123">
        <v>2987</v>
      </c>
      <c r="I417" s="123">
        <v>400</v>
      </c>
      <c r="J417" s="123">
        <v>1195</v>
      </c>
      <c r="K417" s="123">
        <v>100</v>
      </c>
      <c r="L417" s="123">
        <v>650</v>
      </c>
      <c r="M417" s="123">
        <v>65</v>
      </c>
      <c r="N417" s="133" t="s">
        <v>18</v>
      </c>
      <c r="O417" s="133" t="s">
        <v>18</v>
      </c>
      <c r="P417" s="133" t="s">
        <v>18</v>
      </c>
      <c r="Q417" s="133" t="s">
        <v>18</v>
      </c>
      <c r="R417" s="133" t="s">
        <v>18</v>
      </c>
      <c r="S417" s="133" t="s">
        <v>18</v>
      </c>
      <c r="T417" s="133" t="s">
        <v>88</v>
      </c>
      <c r="U417" s="133" t="s">
        <v>88</v>
      </c>
      <c r="V417" s="133" t="s">
        <v>88</v>
      </c>
      <c r="W417" s="224">
        <f>B417+E417+H417</f>
        <v>13452</v>
      </c>
      <c r="X417" s="123">
        <f>D417+G417+J417</f>
        <v>8081</v>
      </c>
      <c r="Y417" s="66"/>
      <c r="Z417" s="66"/>
      <c r="AA417" s="66"/>
      <c r="AB417" s="66"/>
      <c r="AC417" s="66"/>
    </row>
    <row r="418" spans="1:29" x14ac:dyDescent="0.25">
      <c r="A418" s="215" t="s">
        <v>90</v>
      </c>
      <c r="B418" s="135">
        <f>SUM(B409:B417)</f>
        <v>172960</v>
      </c>
      <c r="C418" s="135">
        <v>970</v>
      </c>
      <c r="D418" s="135">
        <f>SUM(D409:D417)</f>
        <v>167247</v>
      </c>
      <c r="E418" s="135">
        <v>14065</v>
      </c>
      <c r="F418" s="135">
        <v>412</v>
      </c>
      <c r="G418" s="135">
        <v>5799</v>
      </c>
      <c r="H418" s="135">
        <f>SUM(H413:H417)</f>
        <v>14392</v>
      </c>
      <c r="I418" s="135">
        <v>213</v>
      </c>
      <c r="J418" s="135">
        <v>3063</v>
      </c>
      <c r="K418" s="135">
        <v>20430</v>
      </c>
      <c r="L418" s="135">
        <v>693</v>
      </c>
      <c r="M418" s="135">
        <v>14163</v>
      </c>
      <c r="N418" s="135">
        <v>2790</v>
      </c>
      <c r="O418" s="135">
        <v>11039</v>
      </c>
      <c r="P418" s="135">
        <f>SUM(P412:P417)</f>
        <v>30800</v>
      </c>
      <c r="Q418" s="135"/>
      <c r="R418" s="135"/>
      <c r="S418" s="133" t="s">
        <v>18</v>
      </c>
      <c r="T418" s="135"/>
      <c r="U418" s="135"/>
      <c r="V418" s="135"/>
      <c r="W418" s="231">
        <f>SUM(W409:W417)</f>
        <v>204497</v>
      </c>
      <c r="X418" s="135">
        <f>SUM(X409:X417)</f>
        <v>208909</v>
      </c>
      <c r="Y418" s="66"/>
      <c r="Z418" s="66"/>
      <c r="AA418" s="66"/>
      <c r="AB418" s="66"/>
      <c r="AC418" s="66"/>
    </row>
    <row r="419" spans="1:29" x14ac:dyDescent="0.25">
      <c r="A419" s="213" t="s">
        <v>47</v>
      </c>
      <c r="B419" s="123">
        <v>80600</v>
      </c>
      <c r="C419" s="123">
        <v>1180</v>
      </c>
      <c r="D419" s="123">
        <v>95108</v>
      </c>
      <c r="E419" s="123">
        <v>10548</v>
      </c>
      <c r="F419" s="123">
        <v>530</v>
      </c>
      <c r="G419" s="123">
        <v>5590</v>
      </c>
      <c r="H419" s="123">
        <v>4000</v>
      </c>
      <c r="I419" s="123">
        <v>490</v>
      </c>
      <c r="J419" s="123">
        <v>1960</v>
      </c>
      <c r="K419" s="123">
        <v>3700</v>
      </c>
      <c r="L419" s="123">
        <v>800</v>
      </c>
      <c r="M419" s="123">
        <v>2960</v>
      </c>
      <c r="N419" s="123">
        <v>1461</v>
      </c>
      <c r="O419" s="123">
        <v>8000</v>
      </c>
      <c r="P419" s="123">
        <v>11688</v>
      </c>
      <c r="Q419" s="133" t="s">
        <v>18</v>
      </c>
      <c r="R419" s="133" t="s">
        <v>18</v>
      </c>
      <c r="S419" s="133" t="s">
        <v>18</v>
      </c>
      <c r="T419" s="133" t="s">
        <v>88</v>
      </c>
      <c r="U419" s="133" t="s">
        <v>88</v>
      </c>
      <c r="V419" s="133" t="s">
        <v>88</v>
      </c>
      <c r="W419" s="224">
        <f>B419+E419+H419+P419</f>
        <v>106836</v>
      </c>
      <c r="X419" s="123">
        <f>D419+G419+J419+P419</f>
        <v>114346</v>
      </c>
      <c r="Y419" s="66"/>
      <c r="Z419" s="66"/>
      <c r="AA419" s="66"/>
      <c r="AB419" s="66"/>
      <c r="AC419" s="66"/>
    </row>
    <row r="420" spans="1:29" x14ac:dyDescent="0.25">
      <c r="A420" s="213" t="s">
        <v>27</v>
      </c>
      <c r="B420" s="123">
        <v>22600</v>
      </c>
      <c r="C420" s="123">
        <v>800</v>
      </c>
      <c r="D420" s="123">
        <v>18080</v>
      </c>
      <c r="E420" s="123">
        <v>5925</v>
      </c>
      <c r="F420" s="123">
        <v>270</v>
      </c>
      <c r="G420" s="123">
        <v>1600</v>
      </c>
      <c r="H420" s="123">
        <v>7000</v>
      </c>
      <c r="I420" s="123">
        <v>300</v>
      </c>
      <c r="J420" s="123">
        <v>2100</v>
      </c>
      <c r="K420" s="123">
        <v>8780</v>
      </c>
      <c r="L420" s="123">
        <v>750</v>
      </c>
      <c r="M420" s="123">
        <v>6585</v>
      </c>
      <c r="N420" s="133" t="s">
        <v>18</v>
      </c>
      <c r="O420" s="133" t="s">
        <v>18</v>
      </c>
      <c r="P420" s="133" t="s">
        <v>18</v>
      </c>
      <c r="Q420" s="133" t="s">
        <v>18</v>
      </c>
      <c r="R420" s="133" t="s">
        <v>18</v>
      </c>
      <c r="S420" s="133" t="s">
        <v>18</v>
      </c>
      <c r="T420" s="133" t="s">
        <v>88</v>
      </c>
      <c r="U420" s="133" t="s">
        <v>88</v>
      </c>
      <c r="V420" s="133" t="s">
        <v>88</v>
      </c>
      <c r="W420" s="224">
        <f>B420+E420+H420</f>
        <v>35525</v>
      </c>
      <c r="X420" s="123">
        <f>D420+G420+J420</f>
        <v>21780</v>
      </c>
      <c r="Y420" s="66"/>
      <c r="Z420" s="66"/>
      <c r="AA420" s="66"/>
      <c r="AB420" s="66"/>
      <c r="AC420" s="66"/>
    </row>
    <row r="421" spans="1:29" x14ac:dyDescent="0.25">
      <c r="A421" s="78" t="s">
        <v>71</v>
      </c>
      <c r="B421" s="123">
        <v>19400</v>
      </c>
      <c r="C421" s="123">
        <v>870</v>
      </c>
      <c r="D421" s="123">
        <v>16878</v>
      </c>
      <c r="E421" s="123">
        <v>5523</v>
      </c>
      <c r="F421" s="123">
        <v>350</v>
      </c>
      <c r="G421" s="123">
        <v>1933</v>
      </c>
      <c r="H421" s="123">
        <v>6000</v>
      </c>
      <c r="I421" s="123">
        <v>410</v>
      </c>
      <c r="J421" s="123">
        <v>2460</v>
      </c>
      <c r="K421" s="123">
        <v>6000</v>
      </c>
      <c r="L421" s="123">
        <v>750</v>
      </c>
      <c r="M421" s="123">
        <v>4500</v>
      </c>
      <c r="N421" s="123">
        <v>1980</v>
      </c>
      <c r="O421" s="123">
        <v>8000</v>
      </c>
      <c r="P421" s="123">
        <v>15840</v>
      </c>
      <c r="Q421" s="133" t="s">
        <v>18</v>
      </c>
      <c r="R421" s="133" t="s">
        <v>18</v>
      </c>
      <c r="S421" s="133" t="s">
        <v>18</v>
      </c>
      <c r="T421" s="133" t="s">
        <v>88</v>
      </c>
      <c r="U421" s="133" t="s">
        <v>88</v>
      </c>
      <c r="V421" s="133" t="s">
        <v>88</v>
      </c>
      <c r="W421" s="224">
        <f>B421+E421+H421+N421</f>
        <v>32903</v>
      </c>
      <c r="X421" s="123">
        <f>D421+G421+J421+P421</f>
        <v>37111</v>
      </c>
      <c r="Y421" s="66"/>
      <c r="Z421" s="66"/>
      <c r="AA421" s="66"/>
      <c r="AB421" s="66"/>
      <c r="AC421" s="66"/>
    </row>
    <row r="422" spans="1:29" x14ac:dyDescent="0.25">
      <c r="A422" s="78" t="s">
        <v>72</v>
      </c>
      <c r="B422" s="123">
        <v>40000</v>
      </c>
      <c r="C422" s="123">
        <v>1080</v>
      </c>
      <c r="D422" s="123">
        <v>43200</v>
      </c>
      <c r="E422" s="123">
        <v>7144</v>
      </c>
      <c r="F422" s="123">
        <v>355</v>
      </c>
      <c r="G422" s="123">
        <v>2536</v>
      </c>
      <c r="H422" s="123">
        <v>3000</v>
      </c>
      <c r="I422" s="123">
        <v>445</v>
      </c>
      <c r="J422" s="123">
        <v>1335</v>
      </c>
      <c r="K422" s="123">
        <v>5540</v>
      </c>
      <c r="L422" s="123">
        <v>800</v>
      </c>
      <c r="M422" s="123">
        <v>4432</v>
      </c>
      <c r="N422" s="123">
        <v>167</v>
      </c>
      <c r="O422" s="123">
        <v>8000</v>
      </c>
      <c r="P422" s="123">
        <v>1300</v>
      </c>
      <c r="Q422" s="133" t="s">
        <v>18</v>
      </c>
      <c r="R422" s="133" t="s">
        <v>18</v>
      </c>
      <c r="S422" s="133" t="s">
        <v>18</v>
      </c>
      <c r="T422" s="133" t="s">
        <v>88</v>
      </c>
      <c r="U422" s="133" t="s">
        <v>88</v>
      </c>
      <c r="V422" s="133" t="s">
        <v>88</v>
      </c>
      <c r="W422" s="224">
        <f>B422+E422+H422+N422</f>
        <v>50311</v>
      </c>
      <c r="X422" s="123">
        <f>D422+G422+J422+P422</f>
        <v>48371</v>
      </c>
      <c r="Y422" s="66"/>
      <c r="Z422" s="66"/>
      <c r="AA422" s="66"/>
      <c r="AB422" s="66"/>
      <c r="AC422" s="66"/>
    </row>
    <row r="423" spans="1:29" x14ac:dyDescent="0.25">
      <c r="A423" s="78" t="s">
        <v>73</v>
      </c>
      <c r="B423" s="123">
        <v>34300</v>
      </c>
      <c r="C423" s="123">
        <v>1300</v>
      </c>
      <c r="D423" s="123">
        <v>44590</v>
      </c>
      <c r="E423" s="123">
        <v>300</v>
      </c>
      <c r="F423" s="123">
        <v>300</v>
      </c>
      <c r="G423" s="123">
        <v>90</v>
      </c>
      <c r="H423" s="123">
        <v>6000</v>
      </c>
      <c r="I423" s="123">
        <v>500</v>
      </c>
      <c r="J423" s="123">
        <v>3000</v>
      </c>
      <c r="K423" s="123">
        <v>14360</v>
      </c>
      <c r="L423" s="123">
        <v>950</v>
      </c>
      <c r="M423" s="123">
        <v>13642</v>
      </c>
      <c r="N423" s="123">
        <v>280</v>
      </c>
      <c r="O423" s="123">
        <v>8000</v>
      </c>
      <c r="P423" s="123">
        <v>2240</v>
      </c>
      <c r="Q423" s="133" t="s">
        <v>18</v>
      </c>
      <c r="R423" s="133" t="s">
        <v>18</v>
      </c>
      <c r="S423" s="133" t="s">
        <v>18</v>
      </c>
      <c r="T423" s="133" t="s">
        <v>88</v>
      </c>
      <c r="U423" s="133" t="s">
        <v>88</v>
      </c>
      <c r="V423" s="133" t="s">
        <v>88</v>
      </c>
      <c r="W423" s="224">
        <f>B423+E423+H423+N423</f>
        <v>40880</v>
      </c>
      <c r="X423" s="123">
        <f>F423+J423+P423</f>
        <v>5540</v>
      </c>
      <c r="Y423" s="66"/>
      <c r="Z423" s="66"/>
      <c r="AA423" s="66"/>
      <c r="AB423" s="66"/>
      <c r="AC423" s="66"/>
    </row>
    <row r="424" spans="1:29" x14ac:dyDescent="0.25">
      <c r="A424" s="215" t="s">
        <v>91</v>
      </c>
      <c r="B424" s="135">
        <f>SUM(B419:B423)</f>
        <v>196900</v>
      </c>
      <c r="C424" s="135">
        <v>1106</v>
      </c>
      <c r="D424" s="135">
        <v>217856</v>
      </c>
      <c r="E424" s="135">
        <f>SUM(E419:E423)</f>
        <v>29440</v>
      </c>
      <c r="F424" s="135">
        <v>394</v>
      </c>
      <c r="G424" s="135">
        <f>SUM(G419:G423)</f>
        <v>11749</v>
      </c>
      <c r="H424" s="135">
        <f>SUM(H419:H423)</f>
        <v>26000</v>
      </c>
      <c r="I424" s="135">
        <v>418</v>
      </c>
      <c r="J424" s="135">
        <f>SUM(J419:J423)</f>
        <v>10855</v>
      </c>
      <c r="K424" s="135">
        <v>38380</v>
      </c>
      <c r="L424" s="135">
        <v>837</v>
      </c>
      <c r="M424" s="135">
        <v>32119</v>
      </c>
      <c r="N424" s="135">
        <v>3888</v>
      </c>
      <c r="O424" s="135">
        <v>7990</v>
      </c>
      <c r="P424" s="135">
        <f>SUM(P419:P423)</f>
        <v>31068</v>
      </c>
      <c r="Q424" s="135"/>
      <c r="R424" s="135"/>
      <c r="S424" s="135"/>
      <c r="T424" s="135"/>
      <c r="U424" s="135"/>
      <c r="V424" s="135"/>
      <c r="W424" s="231">
        <f>SUM(W419:W423)</f>
        <v>266455</v>
      </c>
      <c r="X424" s="135">
        <f>SUM(X419:X423)</f>
        <v>227148</v>
      </c>
      <c r="Y424" s="66"/>
      <c r="Z424" s="66"/>
      <c r="AA424" s="66"/>
      <c r="AB424" s="66"/>
      <c r="AC424" s="66"/>
    </row>
    <row r="425" spans="1:29" x14ac:dyDescent="0.25">
      <c r="A425" s="229" t="s">
        <v>32</v>
      </c>
      <c r="B425" s="123">
        <f>B418+B424</f>
        <v>369860</v>
      </c>
      <c r="C425" s="123"/>
      <c r="D425" s="123">
        <f>D418+D424</f>
        <v>385103</v>
      </c>
      <c r="E425" s="123">
        <f>E418+E424</f>
        <v>43505</v>
      </c>
      <c r="F425" s="123"/>
      <c r="G425" s="123">
        <f>G418+G424</f>
        <v>17548</v>
      </c>
      <c r="H425" s="123">
        <f>H418+H424</f>
        <v>40392</v>
      </c>
      <c r="I425" s="123"/>
      <c r="J425" s="123">
        <f>J418+J424</f>
        <v>13918</v>
      </c>
      <c r="K425" s="123">
        <v>58810</v>
      </c>
      <c r="L425" s="123"/>
      <c r="M425" s="232">
        <v>46282</v>
      </c>
      <c r="N425" s="123">
        <v>6678</v>
      </c>
      <c r="O425" s="123">
        <v>9264</v>
      </c>
      <c r="P425" s="123">
        <f>P418+P424</f>
        <v>61868</v>
      </c>
      <c r="Q425" s="133" t="s">
        <v>18</v>
      </c>
      <c r="R425" s="133" t="s">
        <v>18</v>
      </c>
      <c r="S425" s="123"/>
      <c r="T425" s="123"/>
      <c r="U425" s="123"/>
      <c r="V425" s="123"/>
      <c r="W425" s="224">
        <f>W418+W424</f>
        <v>470952</v>
      </c>
      <c r="X425" s="123">
        <f>X418+X424</f>
        <v>436057</v>
      </c>
      <c r="Y425" s="66"/>
      <c r="Z425" s="66"/>
      <c r="AA425" s="66"/>
      <c r="AB425" s="66"/>
      <c r="AC425" s="66"/>
    </row>
    <row r="426" spans="1:29" x14ac:dyDescent="0.25">
      <c r="A426" s="95" t="s">
        <v>58</v>
      </c>
      <c r="B426" s="96"/>
      <c r="C426" s="96"/>
      <c r="D426" s="95" t="s">
        <v>59</v>
      </c>
      <c r="E426" s="96"/>
      <c r="F426" s="96"/>
      <c r="G426" s="96"/>
      <c r="H426" s="96"/>
      <c r="I426" s="95" t="s">
        <v>60</v>
      </c>
      <c r="J426" s="96"/>
      <c r="K426" s="86"/>
      <c r="L426" s="86"/>
      <c r="M426" s="86"/>
      <c r="N426" s="86"/>
      <c r="O426" s="86"/>
      <c r="P426" s="86"/>
      <c r="Q426" s="86"/>
      <c r="R426" s="86"/>
      <c r="S426" s="86"/>
      <c r="T426" s="86"/>
      <c r="U426" s="86"/>
      <c r="V426" s="86"/>
      <c r="W426" s="86"/>
      <c r="X426" s="86"/>
      <c r="Y426" s="66"/>
      <c r="Z426" s="66"/>
      <c r="AA426" s="66"/>
      <c r="AB426" s="66"/>
      <c r="AC426" s="66"/>
    </row>
    <row r="427" spans="1:29" x14ac:dyDescent="0.25">
      <c r="A427" s="95"/>
      <c r="B427" s="96"/>
      <c r="C427" s="96"/>
      <c r="D427" s="95"/>
      <c r="E427" s="96"/>
      <c r="F427" s="96"/>
      <c r="G427" s="96"/>
      <c r="H427" s="96"/>
      <c r="I427" s="95"/>
      <c r="J427" s="96"/>
      <c r="K427" s="86"/>
      <c r="L427" s="86"/>
      <c r="M427" s="86"/>
      <c r="N427" s="86"/>
      <c r="O427" s="86"/>
      <c r="P427" s="86"/>
      <c r="Q427" s="86"/>
      <c r="R427" s="86"/>
      <c r="S427" s="86"/>
      <c r="T427" s="86"/>
      <c r="U427" s="86"/>
      <c r="V427" s="86"/>
      <c r="W427" s="86"/>
      <c r="X427" s="86"/>
      <c r="Y427" s="66"/>
      <c r="Z427" s="66"/>
      <c r="AA427" s="66"/>
      <c r="AB427" s="66"/>
      <c r="AC427" s="66"/>
    </row>
    <row r="428" spans="1:29" x14ac:dyDescent="0.25">
      <c r="A428" s="86"/>
      <c r="B428" s="65" t="s">
        <v>0</v>
      </c>
      <c r="C428" s="86"/>
      <c r="D428" s="86"/>
      <c r="E428" s="86"/>
      <c r="F428" s="86"/>
      <c r="G428" s="86"/>
      <c r="H428" s="86"/>
      <c r="I428" s="65" t="s">
        <v>92</v>
      </c>
      <c r="J428" s="86"/>
      <c r="K428" s="86"/>
      <c r="L428" s="86"/>
      <c r="M428" s="86"/>
      <c r="N428" s="86"/>
      <c r="O428" s="86"/>
      <c r="P428" s="86"/>
      <c r="Q428" s="86"/>
      <c r="R428" s="66"/>
      <c r="S428" s="66"/>
      <c r="T428" s="66"/>
      <c r="U428" s="66"/>
      <c r="V428" s="66"/>
      <c r="W428" s="66"/>
      <c r="X428" s="66"/>
      <c r="Y428" s="66"/>
      <c r="Z428" s="66"/>
      <c r="AA428" s="66"/>
      <c r="AB428" s="66"/>
      <c r="AC428" s="66"/>
    </row>
    <row r="429" spans="1:29" x14ac:dyDescent="0.25">
      <c r="A429" s="207" t="s">
        <v>2</v>
      </c>
      <c r="B429" s="88"/>
      <c r="C429" s="89" t="s">
        <v>3</v>
      </c>
      <c r="D429" s="90"/>
      <c r="E429" s="88"/>
      <c r="F429" s="91" t="s">
        <v>4</v>
      </c>
      <c r="G429" s="90"/>
      <c r="H429" s="88"/>
      <c r="I429" s="89" t="s">
        <v>5</v>
      </c>
      <c r="J429" s="90"/>
      <c r="K429" s="88"/>
      <c r="L429" s="89" t="s">
        <v>6</v>
      </c>
      <c r="M429" s="90"/>
      <c r="N429" s="88"/>
      <c r="O429" s="89" t="s">
        <v>7</v>
      </c>
      <c r="P429" s="146"/>
      <c r="Q429" s="958" t="s">
        <v>8</v>
      </c>
      <c r="R429" s="959"/>
      <c r="S429" s="960"/>
      <c r="T429" s="958" t="s">
        <v>9</v>
      </c>
      <c r="U429" s="959"/>
      <c r="V429" s="959"/>
      <c r="W429" s="961" t="s">
        <v>44</v>
      </c>
      <c r="X429" s="961"/>
      <c r="Y429" s="66"/>
      <c r="Z429" s="66"/>
      <c r="AA429" s="66"/>
      <c r="AB429" s="66"/>
      <c r="AC429" s="66"/>
    </row>
    <row r="430" spans="1:29" ht="15.75" thickBot="1" x14ac:dyDescent="0.3">
      <c r="A430" s="144" t="s">
        <v>11</v>
      </c>
      <c r="B430" s="208" t="s">
        <v>12</v>
      </c>
      <c r="C430" s="187" t="s">
        <v>13</v>
      </c>
      <c r="D430" s="187" t="s">
        <v>14</v>
      </c>
      <c r="E430" s="187" t="s">
        <v>12</v>
      </c>
      <c r="F430" s="187" t="s">
        <v>13</v>
      </c>
      <c r="G430" s="187" t="s">
        <v>14</v>
      </c>
      <c r="H430" s="187" t="s">
        <v>12</v>
      </c>
      <c r="I430" s="187" t="s">
        <v>13</v>
      </c>
      <c r="J430" s="187" t="s">
        <v>14</v>
      </c>
      <c r="K430" s="187" t="s">
        <v>12</v>
      </c>
      <c r="L430" s="187" t="s">
        <v>13</v>
      </c>
      <c r="M430" s="187" t="s">
        <v>14</v>
      </c>
      <c r="N430" s="187" t="s">
        <v>12</v>
      </c>
      <c r="O430" s="187" t="s">
        <v>13</v>
      </c>
      <c r="P430" s="187" t="s">
        <v>14</v>
      </c>
      <c r="Q430" s="187" t="s">
        <v>12</v>
      </c>
      <c r="R430" s="187" t="s">
        <v>13</v>
      </c>
      <c r="S430" s="187" t="s">
        <v>14</v>
      </c>
      <c r="T430" s="187" t="s">
        <v>12</v>
      </c>
      <c r="U430" s="187" t="s">
        <v>13</v>
      </c>
      <c r="V430" s="233" t="s">
        <v>14</v>
      </c>
      <c r="W430" s="234" t="s">
        <v>12</v>
      </c>
      <c r="X430" s="234" t="s">
        <v>14</v>
      </c>
      <c r="Y430" s="66"/>
      <c r="Z430" s="66"/>
      <c r="AA430" s="66"/>
      <c r="AB430" s="66"/>
      <c r="AC430" s="66"/>
    </row>
    <row r="431" spans="1:29" ht="15.75" thickTop="1" x14ac:dyDescent="0.25">
      <c r="A431" s="211" t="s">
        <v>15</v>
      </c>
      <c r="B431" s="235">
        <v>212605</v>
      </c>
      <c r="C431" s="131">
        <v>480</v>
      </c>
      <c r="D431" s="131">
        <f>B431*C431/1000</f>
        <v>102050.4</v>
      </c>
      <c r="E431" s="131">
        <v>101894</v>
      </c>
      <c r="F431" s="131">
        <v>460</v>
      </c>
      <c r="G431" s="131">
        <f>E431*F431/1000</f>
        <v>46871.24</v>
      </c>
      <c r="H431" s="109"/>
      <c r="I431" s="109"/>
      <c r="J431" s="131">
        <f t="shared" ref="J431:J439" si="4">H431*I431/1000</f>
        <v>0</v>
      </c>
      <c r="K431" s="109">
        <v>178</v>
      </c>
      <c r="L431" s="109">
        <v>1500</v>
      </c>
      <c r="M431" s="131">
        <f t="shared" ref="M431:M439" si="5">K431*L431/1000</f>
        <v>267</v>
      </c>
      <c r="N431" s="131">
        <v>12000</v>
      </c>
      <c r="O431" s="131">
        <v>600</v>
      </c>
      <c r="P431" s="131">
        <f t="shared" ref="P431:P439" si="6">N431*O431/1000</f>
        <v>7200</v>
      </c>
      <c r="Q431" s="212"/>
      <c r="R431" s="212"/>
      <c r="S431" s="131">
        <f t="shared" ref="S431:S439" si="7">Q431*R431/1000</f>
        <v>0</v>
      </c>
      <c r="T431" s="212"/>
      <c r="U431" s="212"/>
      <c r="V431" s="131">
        <f t="shared" ref="V431:V439" si="8">T431*U431/1000</f>
        <v>0</v>
      </c>
      <c r="W431" s="228">
        <f t="shared" ref="W431:W439" si="9">SUM(B431+E431+H431+K431+N431+Q431+T431)</f>
        <v>326677</v>
      </c>
      <c r="X431" s="131">
        <f t="shared" ref="X431:X439" si="10">SUM(D431+G431+J431+M431+P431+S431+V431)</f>
        <v>156388.63999999998</v>
      </c>
      <c r="Y431" s="66"/>
      <c r="Z431" s="66"/>
      <c r="AA431" s="66"/>
      <c r="AB431" s="66"/>
      <c r="AC431" s="66"/>
    </row>
    <row r="432" spans="1:29" x14ac:dyDescent="0.25">
      <c r="A432" s="213" t="s">
        <v>16</v>
      </c>
      <c r="B432" s="236"/>
      <c r="C432" s="133"/>
      <c r="D432" s="131">
        <f t="shared" ref="D432:D439" si="11">B432*C432/1000</f>
        <v>0</v>
      </c>
      <c r="E432" s="133"/>
      <c r="F432" s="133"/>
      <c r="G432" s="131">
        <f t="shared" ref="G432:G439" si="12">E432*F432/1000</f>
        <v>0</v>
      </c>
      <c r="H432" s="133"/>
      <c r="I432" s="133"/>
      <c r="J432" s="131">
        <f t="shared" si="4"/>
        <v>0</v>
      </c>
      <c r="K432" s="133"/>
      <c r="L432" s="133"/>
      <c r="M432" s="131">
        <f t="shared" si="5"/>
        <v>0</v>
      </c>
      <c r="N432" s="133"/>
      <c r="O432" s="133"/>
      <c r="P432" s="131">
        <f t="shared" si="6"/>
        <v>0</v>
      </c>
      <c r="Q432" s="214"/>
      <c r="R432" s="214"/>
      <c r="S432" s="131">
        <f t="shared" si="7"/>
        <v>0</v>
      </c>
      <c r="T432" s="214"/>
      <c r="U432" s="214"/>
      <c r="V432" s="131">
        <f t="shared" si="8"/>
        <v>0</v>
      </c>
      <c r="W432" s="228">
        <f t="shared" si="9"/>
        <v>0</v>
      </c>
      <c r="X432" s="131">
        <f t="shared" si="10"/>
        <v>0</v>
      </c>
      <c r="Y432" s="66"/>
      <c r="Z432" s="66"/>
      <c r="AA432" s="66"/>
      <c r="AB432" s="66"/>
      <c r="AC432" s="66"/>
    </row>
    <row r="433" spans="1:29" x14ac:dyDescent="0.25">
      <c r="A433" s="213" t="s">
        <v>17</v>
      </c>
      <c r="B433" s="236">
        <v>140030</v>
      </c>
      <c r="C433" s="123">
        <v>280</v>
      </c>
      <c r="D433" s="131">
        <f t="shared" si="11"/>
        <v>39208.400000000001</v>
      </c>
      <c r="E433" s="123">
        <v>21388</v>
      </c>
      <c r="F433" s="123">
        <v>100</v>
      </c>
      <c r="G433" s="131">
        <f t="shared" si="12"/>
        <v>2138.8000000000002</v>
      </c>
      <c r="H433" s="133"/>
      <c r="I433" s="133"/>
      <c r="J433" s="131">
        <f t="shared" si="4"/>
        <v>0</v>
      </c>
      <c r="K433" s="133"/>
      <c r="L433" s="133"/>
      <c r="M433" s="131">
        <f t="shared" si="5"/>
        <v>0</v>
      </c>
      <c r="N433" s="133"/>
      <c r="O433" s="133"/>
      <c r="P433" s="131">
        <f t="shared" si="6"/>
        <v>0</v>
      </c>
      <c r="Q433" s="214"/>
      <c r="R433" s="214"/>
      <c r="S433" s="131">
        <f t="shared" si="7"/>
        <v>0</v>
      </c>
      <c r="T433" s="214"/>
      <c r="U433" s="214"/>
      <c r="V433" s="131">
        <f t="shared" si="8"/>
        <v>0</v>
      </c>
      <c r="W433" s="228">
        <f t="shared" si="9"/>
        <v>161418</v>
      </c>
      <c r="X433" s="131">
        <f t="shared" si="10"/>
        <v>41347.200000000004</v>
      </c>
      <c r="Y433" s="66"/>
      <c r="Z433" s="66"/>
      <c r="AA433" s="66"/>
      <c r="AB433" s="66"/>
      <c r="AC433" s="66"/>
    </row>
    <row r="434" spans="1:29" x14ac:dyDescent="0.25">
      <c r="A434" s="213" t="s">
        <v>19</v>
      </c>
      <c r="B434" s="237">
        <v>179064</v>
      </c>
      <c r="C434" s="123">
        <v>550</v>
      </c>
      <c r="D434" s="131">
        <f t="shared" si="11"/>
        <v>98485.2</v>
      </c>
      <c r="E434" s="123">
        <v>176628</v>
      </c>
      <c r="F434" s="123">
        <v>650</v>
      </c>
      <c r="G434" s="131">
        <f t="shared" si="12"/>
        <v>114808.2</v>
      </c>
      <c r="H434" s="123">
        <v>18631</v>
      </c>
      <c r="I434" s="123">
        <v>850</v>
      </c>
      <c r="J434" s="131">
        <f t="shared" si="4"/>
        <v>15836.35</v>
      </c>
      <c r="K434" s="123">
        <v>864</v>
      </c>
      <c r="L434" s="123">
        <v>3500</v>
      </c>
      <c r="M434" s="131">
        <f t="shared" si="5"/>
        <v>3024</v>
      </c>
      <c r="N434" s="123">
        <v>30000</v>
      </c>
      <c r="O434" s="123">
        <v>800</v>
      </c>
      <c r="P434" s="131">
        <f t="shared" si="6"/>
        <v>24000</v>
      </c>
      <c r="Q434" s="214"/>
      <c r="R434" s="214"/>
      <c r="S434" s="131">
        <f t="shared" si="7"/>
        <v>0</v>
      </c>
      <c r="T434" s="214"/>
      <c r="U434" s="214"/>
      <c r="V434" s="131">
        <f t="shared" si="8"/>
        <v>0</v>
      </c>
      <c r="W434" s="228">
        <f t="shared" si="9"/>
        <v>405187</v>
      </c>
      <c r="X434" s="131">
        <f t="shared" si="10"/>
        <v>256153.75</v>
      </c>
      <c r="Y434" s="66"/>
      <c r="Z434" s="66"/>
      <c r="AA434" s="66"/>
      <c r="AB434" s="66"/>
      <c r="AC434" s="66"/>
    </row>
    <row r="435" spans="1:29" x14ac:dyDescent="0.25">
      <c r="A435" s="213" t="s">
        <v>20</v>
      </c>
      <c r="B435" s="237">
        <v>34785</v>
      </c>
      <c r="C435" s="123">
        <v>600</v>
      </c>
      <c r="D435" s="131">
        <f t="shared" si="11"/>
        <v>20871</v>
      </c>
      <c r="E435" s="123">
        <v>69952</v>
      </c>
      <c r="F435" s="123">
        <v>750</v>
      </c>
      <c r="G435" s="131">
        <f t="shared" si="12"/>
        <v>52464</v>
      </c>
      <c r="H435" s="123">
        <v>3107</v>
      </c>
      <c r="I435" s="123">
        <v>700</v>
      </c>
      <c r="J435" s="131">
        <f t="shared" si="4"/>
        <v>2174.9</v>
      </c>
      <c r="K435" s="123">
        <v>305</v>
      </c>
      <c r="L435" s="123">
        <v>1200</v>
      </c>
      <c r="M435" s="131">
        <f t="shared" si="5"/>
        <v>366</v>
      </c>
      <c r="N435" s="123"/>
      <c r="O435" s="123"/>
      <c r="P435" s="131">
        <f t="shared" si="6"/>
        <v>0</v>
      </c>
      <c r="Q435" s="214"/>
      <c r="R435" s="214"/>
      <c r="S435" s="131">
        <f t="shared" si="7"/>
        <v>0</v>
      </c>
      <c r="T435" s="214"/>
      <c r="U435" s="214"/>
      <c r="V435" s="131">
        <f t="shared" si="8"/>
        <v>0</v>
      </c>
      <c r="W435" s="228">
        <f t="shared" si="9"/>
        <v>108149</v>
      </c>
      <c r="X435" s="131">
        <f t="shared" si="10"/>
        <v>75875.899999999994</v>
      </c>
      <c r="Y435" s="66"/>
      <c r="Z435" s="66"/>
      <c r="AA435" s="66"/>
      <c r="AB435" s="66"/>
      <c r="AC435" s="66"/>
    </row>
    <row r="436" spans="1:29" x14ac:dyDescent="0.25">
      <c r="A436" s="213" t="s">
        <v>21</v>
      </c>
      <c r="B436" s="236">
        <v>36500</v>
      </c>
      <c r="C436" s="123">
        <v>400</v>
      </c>
      <c r="D436" s="131">
        <f t="shared" si="11"/>
        <v>14600</v>
      </c>
      <c r="E436" s="236">
        <v>6900</v>
      </c>
      <c r="F436" s="238">
        <v>600</v>
      </c>
      <c r="G436" s="131">
        <f t="shared" si="12"/>
        <v>4140</v>
      </c>
      <c r="H436" s="133">
        <v>1800</v>
      </c>
      <c r="I436" s="238">
        <v>600</v>
      </c>
      <c r="J436" s="131">
        <f t="shared" si="4"/>
        <v>1080</v>
      </c>
      <c r="K436" s="133"/>
      <c r="L436" s="133"/>
      <c r="M436" s="131">
        <f t="shared" si="5"/>
        <v>0</v>
      </c>
      <c r="N436" s="133"/>
      <c r="O436" s="133"/>
      <c r="P436" s="131">
        <f t="shared" si="6"/>
        <v>0</v>
      </c>
      <c r="Q436" s="214"/>
      <c r="R436" s="214"/>
      <c r="S436" s="131">
        <f t="shared" si="7"/>
        <v>0</v>
      </c>
      <c r="T436" s="214"/>
      <c r="U436" s="214"/>
      <c r="V436" s="131">
        <f t="shared" si="8"/>
        <v>0</v>
      </c>
      <c r="W436" s="228">
        <f t="shared" si="9"/>
        <v>45200</v>
      </c>
      <c r="X436" s="131">
        <f t="shared" si="10"/>
        <v>19820</v>
      </c>
      <c r="Y436" s="66"/>
      <c r="Z436" s="66"/>
      <c r="AA436" s="66"/>
      <c r="AB436" s="66"/>
      <c r="AC436" s="66"/>
    </row>
    <row r="437" spans="1:29" x14ac:dyDescent="0.25">
      <c r="A437" s="213" t="s">
        <v>22</v>
      </c>
      <c r="B437" s="236">
        <v>63582</v>
      </c>
      <c r="C437" s="123">
        <v>500</v>
      </c>
      <c r="D437" s="131">
        <f t="shared" si="11"/>
        <v>31791</v>
      </c>
      <c r="E437" s="236">
        <v>1332</v>
      </c>
      <c r="F437" s="238">
        <v>1000</v>
      </c>
      <c r="G437" s="131">
        <f t="shared" si="12"/>
        <v>1332</v>
      </c>
      <c r="H437" s="123">
        <v>41434</v>
      </c>
      <c r="I437" s="123">
        <v>1500</v>
      </c>
      <c r="J437" s="131">
        <f t="shared" si="4"/>
        <v>62151</v>
      </c>
      <c r="K437" s="133"/>
      <c r="L437" s="133"/>
      <c r="M437" s="131">
        <f t="shared" si="5"/>
        <v>0</v>
      </c>
      <c r="N437" s="133"/>
      <c r="O437" s="133"/>
      <c r="P437" s="131">
        <f t="shared" si="6"/>
        <v>0</v>
      </c>
      <c r="Q437" s="214">
        <v>2402</v>
      </c>
      <c r="R437" s="214">
        <v>1500</v>
      </c>
      <c r="S437" s="131">
        <f t="shared" si="7"/>
        <v>3603</v>
      </c>
      <c r="T437" s="214"/>
      <c r="U437" s="214"/>
      <c r="V437" s="131">
        <f t="shared" si="8"/>
        <v>0</v>
      </c>
      <c r="W437" s="228">
        <f t="shared" si="9"/>
        <v>108750</v>
      </c>
      <c r="X437" s="131">
        <f t="shared" si="10"/>
        <v>98877</v>
      </c>
      <c r="Y437" s="66"/>
      <c r="Z437" s="66"/>
      <c r="AA437" s="66"/>
      <c r="AB437" s="66"/>
      <c r="AC437" s="66"/>
    </row>
    <row r="438" spans="1:29" x14ac:dyDescent="0.25">
      <c r="A438" s="213" t="s">
        <v>23</v>
      </c>
      <c r="B438" s="236">
        <v>62200</v>
      </c>
      <c r="C438" s="123">
        <v>700</v>
      </c>
      <c r="D438" s="131">
        <f t="shared" si="11"/>
        <v>43540</v>
      </c>
      <c r="E438" s="123">
        <v>44727</v>
      </c>
      <c r="F438" s="123">
        <v>800</v>
      </c>
      <c r="G438" s="131">
        <f t="shared" si="12"/>
        <v>35781.599999999999</v>
      </c>
      <c r="H438" s="123">
        <v>10618</v>
      </c>
      <c r="I438" s="123">
        <v>700</v>
      </c>
      <c r="J438" s="131">
        <f t="shared" si="4"/>
        <v>7432.6</v>
      </c>
      <c r="K438" s="238">
        <v>10250</v>
      </c>
      <c r="L438" s="238">
        <v>725</v>
      </c>
      <c r="M438" s="131">
        <f t="shared" si="5"/>
        <v>7431.25</v>
      </c>
      <c r="N438" s="133"/>
      <c r="O438" s="133"/>
      <c r="P438" s="131">
        <f t="shared" si="6"/>
        <v>0</v>
      </c>
      <c r="Q438" s="214"/>
      <c r="R438" s="214"/>
      <c r="S438" s="131">
        <f t="shared" si="7"/>
        <v>0</v>
      </c>
      <c r="T438" s="214"/>
      <c r="U438" s="214"/>
      <c r="V438" s="131">
        <f t="shared" si="8"/>
        <v>0</v>
      </c>
      <c r="W438" s="228">
        <f t="shared" si="9"/>
        <v>127795</v>
      </c>
      <c r="X438" s="131">
        <f t="shared" si="10"/>
        <v>94185.450000000012</v>
      </c>
      <c r="Y438" s="66"/>
      <c r="Z438" s="66"/>
      <c r="AA438" s="66"/>
      <c r="AB438" s="66"/>
      <c r="AC438" s="66"/>
    </row>
    <row r="439" spans="1:29" x14ac:dyDescent="0.25">
      <c r="A439" s="213" t="s">
        <v>24</v>
      </c>
      <c r="B439" s="123">
        <v>6780</v>
      </c>
      <c r="C439" s="123">
        <v>733</v>
      </c>
      <c r="D439" s="131">
        <f t="shared" si="11"/>
        <v>4969.74</v>
      </c>
      <c r="E439" s="123">
        <v>21605</v>
      </c>
      <c r="F439" s="123">
        <v>1500</v>
      </c>
      <c r="G439" s="131">
        <f t="shared" si="12"/>
        <v>32407.5</v>
      </c>
      <c r="H439" s="133">
        <v>6960</v>
      </c>
      <c r="I439" s="238">
        <v>1500</v>
      </c>
      <c r="J439" s="131">
        <f t="shared" si="4"/>
        <v>10440</v>
      </c>
      <c r="K439" s="123">
        <v>1565</v>
      </c>
      <c r="L439" s="123">
        <v>766</v>
      </c>
      <c r="M439" s="131">
        <f t="shared" si="5"/>
        <v>1198.79</v>
      </c>
      <c r="N439" s="123">
        <v>256000</v>
      </c>
      <c r="O439" s="123">
        <v>1000</v>
      </c>
      <c r="P439" s="131">
        <f t="shared" si="6"/>
        <v>256000</v>
      </c>
      <c r="Q439" s="214"/>
      <c r="R439" s="214"/>
      <c r="S439" s="131">
        <f t="shared" si="7"/>
        <v>0</v>
      </c>
      <c r="T439" s="214"/>
      <c r="U439" s="214"/>
      <c r="V439" s="131">
        <f t="shared" si="8"/>
        <v>0</v>
      </c>
      <c r="W439" s="228">
        <f t="shared" si="9"/>
        <v>292910</v>
      </c>
      <c r="X439" s="131">
        <f t="shared" si="10"/>
        <v>305016.03000000003</v>
      </c>
      <c r="Y439" s="66"/>
      <c r="Z439" s="66"/>
      <c r="AA439" s="66"/>
      <c r="AB439" s="66"/>
      <c r="AC439" s="66"/>
    </row>
    <row r="440" spans="1:29" x14ac:dyDescent="0.25">
      <c r="A440" s="215" t="s">
        <v>85</v>
      </c>
      <c r="B440" s="135">
        <f>SUM(B431:B439)</f>
        <v>735546</v>
      </c>
      <c r="C440" s="135"/>
      <c r="D440" s="135">
        <f t="shared" ref="D440:X440" si="13">SUM(D431:D439)</f>
        <v>355515.74</v>
      </c>
      <c r="E440" s="135">
        <f t="shared" si="13"/>
        <v>444426</v>
      </c>
      <c r="F440" s="135"/>
      <c r="G440" s="135">
        <f t="shared" si="13"/>
        <v>289943.33999999997</v>
      </c>
      <c r="H440" s="135">
        <f t="shared" si="13"/>
        <v>82550</v>
      </c>
      <c r="I440" s="135"/>
      <c r="J440" s="135">
        <f t="shared" si="13"/>
        <v>99114.85</v>
      </c>
      <c r="K440" s="135">
        <f t="shared" si="13"/>
        <v>13162</v>
      </c>
      <c r="L440" s="135"/>
      <c r="M440" s="135">
        <f t="shared" si="13"/>
        <v>12287.04</v>
      </c>
      <c r="N440" s="135">
        <f t="shared" si="13"/>
        <v>298000</v>
      </c>
      <c r="O440" s="135"/>
      <c r="P440" s="135">
        <f t="shared" si="13"/>
        <v>287200</v>
      </c>
      <c r="Q440" s="135">
        <f t="shared" si="13"/>
        <v>2402</v>
      </c>
      <c r="R440" s="135"/>
      <c r="S440" s="135">
        <f t="shared" si="13"/>
        <v>3603</v>
      </c>
      <c r="T440" s="135">
        <f t="shared" si="13"/>
        <v>0</v>
      </c>
      <c r="U440" s="135">
        <f t="shared" si="13"/>
        <v>0</v>
      </c>
      <c r="V440" s="135">
        <f t="shared" si="13"/>
        <v>0</v>
      </c>
      <c r="W440" s="135">
        <f t="shared" si="13"/>
        <v>1576086</v>
      </c>
      <c r="X440" s="135">
        <f t="shared" si="13"/>
        <v>1047663.97</v>
      </c>
      <c r="Y440" s="66"/>
      <c r="Z440" s="66"/>
      <c r="AA440" s="66"/>
      <c r="AB440" s="66"/>
      <c r="AC440" s="66"/>
    </row>
    <row r="441" spans="1:29" x14ac:dyDescent="0.25">
      <c r="A441" s="213" t="s">
        <v>26</v>
      </c>
      <c r="B441" s="123">
        <v>67140</v>
      </c>
      <c r="C441" s="123">
        <v>800</v>
      </c>
      <c r="D441" s="131">
        <f>B441*C441/1000</f>
        <v>53712</v>
      </c>
      <c r="E441" s="123">
        <v>124376</v>
      </c>
      <c r="F441" s="123">
        <v>855</v>
      </c>
      <c r="G441" s="131">
        <f>E441*F441/1000</f>
        <v>106341.48</v>
      </c>
      <c r="H441" s="123">
        <v>55565</v>
      </c>
      <c r="I441" s="123">
        <v>835</v>
      </c>
      <c r="J441" s="131">
        <f>H441*I441/1000</f>
        <v>46396.775000000001</v>
      </c>
      <c r="K441" s="123">
        <v>60747</v>
      </c>
      <c r="L441" s="123">
        <v>1500</v>
      </c>
      <c r="M441" s="131">
        <f>K441*L441/1000</f>
        <v>91120.5</v>
      </c>
      <c r="N441" s="123">
        <v>35000</v>
      </c>
      <c r="O441" s="123">
        <v>800</v>
      </c>
      <c r="P441" s="131">
        <f>N441*O441/1000</f>
        <v>28000</v>
      </c>
      <c r="Q441" s="214"/>
      <c r="R441" s="214"/>
      <c r="S441" s="131">
        <f>Q441*R441/1000</f>
        <v>0</v>
      </c>
      <c r="T441" s="123"/>
      <c r="U441" s="123"/>
      <c r="V441" s="131">
        <f>T441*U441/1000</f>
        <v>0</v>
      </c>
      <c r="W441" s="228">
        <f>SUM(B441+E441+H441+K441+N441+Q441+T441)</f>
        <v>342828</v>
      </c>
      <c r="X441" s="131">
        <f>SUM(D441+G441+J441+M441+P441+S441+V441)</f>
        <v>325570.755</v>
      </c>
      <c r="Y441" s="66"/>
      <c r="Z441" s="66"/>
      <c r="AA441" s="66"/>
      <c r="AB441" s="66"/>
      <c r="AC441" s="66"/>
    </row>
    <row r="442" spans="1:29" x14ac:dyDescent="0.25">
      <c r="A442" s="213" t="s">
        <v>27</v>
      </c>
      <c r="B442" s="123">
        <v>42504</v>
      </c>
      <c r="C442" s="123">
        <v>580</v>
      </c>
      <c r="D442" s="131">
        <f>B442*C442/1000</f>
        <v>24652.32</v>
      </c>
      <c r="E442" s="123">
        <v>41118</v>
      </c>
      <c r="F442" s="123">
        <v>720</v>
      </c>
      <c r="G442" s="131">
        <f>E442*F442/1000</f>
        <v>29604.959999999999</v>
      </c>
      <c r="H442" s="123">
        <v>8118</v>
      </c>
      <c r="I442" s="123">
        <v>900</v>
      </c>
      <c r="J442" s="131">
        <f>H442*I442/1000</f>
        <v>7306.2</v>
      </c>
      <c r="K442" s="123">
        <v>27369</v>
      </c>
      <c r="L442" s="123">
        <v>1200</v>
      </c>
      <c r="M442" s="131">
        <f>K442*L442/1000</f>
        <v>32842.800000000003</v>
      </c>
      <c r="N442" s="123">
        <v>8000</v>
      </c>
      <c r="O442" s="123">
        <v>800</v>
      </c>
      <c r="P442" s="131">
        <f>N442*O442/1000</f>
        <v>6400</v>
      </c>
      <c r="Q442" s="214"/>
      <c r="R442" s="214"/>
      <c r="S442" s="131">
        <f>Q442*R442/1000</f>
        <v>0</v>
      </c>
      <c r="T442" s="123"/>
      <c r="U442" s="123"/>
      <c r="V442" s="131">
        <f>T442*U442/1000</f>
        <v>0</v>
      </c>
      <c r="W442" s="228">
        <f>SUM(B442+E442+H442+K442+N442+Q442+T442)</f>
        <v>127109</v>
      </c>
      <c r="X442" s="131">
        <f>SUM(D442+G442+J442+M442+P442+S442+V442)</f>
        <v>100806.28</v>
      </c>
      <c r="Y442" s="66"/>
      <c r="Z442" s="66"/>
      <c r="AA442" s="66"/>
      <c r="AB442" s="66"/>
      <c r="AC442" s="66"/>
    </row>
    <row r="443" spans="1:29" x14ac:dyDescent="0.25">
      <c r="A443" s="78" t="s">
        <v>71</v>
      </c>
      <c r="B443" s="123">
        <v>42946</v>
      </c>
      <c r="C443" s="123">
        <v>820</v>
      </c>
      <c r="D443" s="131">
        <f>B443*C443/1000</f>
        <v>35215.72</v>
      </c>
      <c r="E443" s="123">
        <v>59850</v>
      </c>
      <c r="F443" s="123">
        <v>800</v>
      </c>
      <c r="G443" s="131">
        <f>E443*F443/1000</f>
        <v>47880</v>
      </c>
      <c r="H443" s="123">
        <v>11186</v>
      </c>
      <c r="I443" s="123">
        <v>800</v>
      </c>
      <c r="J443" s="131">
        <f>H443*I443/1000</f>
        <v>8948.7999999999993</v>
      </c>
      <c r="K443" s="123">
        <v>4856</v>
      </c>
      <c r="L443" s="123">
        <v>1200</v>
      </c>
      <c r="M443" s="131">
        <f>K443*L443/1000</f>
        <v>5827.2</v>
      </c>
      <c r="N443" s="238">
        <v>2000</v>
      </c>
      <c r="O443" s="238">
        <v>700</v>
      </c>
      <c r="P443" s="131">
        <f>N443*O443/1000</f>
        <v>1400</v>
      </c>
      <c r="Q443" s="214"/>
      <c r="R443" s="214"/>
      <c r="S443" s="131">
        <f>Q443*R443/1000</f>
        <v>0</v>
      </c>
      <c r="T443" s="123"/>
      <c r="U443" s="123"/>
      <c r="V443" s="131">
        <f>T443*U443/1000</f>
        <v>0</v>
      </c>
      <c r="W443" s="228">
        <f>SUM(B443+E443+H443+K443+N443+Q443+T443)</f>
        <v>120838</v>
      </c>
      <c r="X443" s="131">
        <f>SUM(D443+G443+J443+M443+P443+S443+V443)</f>
        <v>99271.72</v>
      </c>
      <c r="Y443" s="66"/>
      <c r="Z443" s="66"/>
      <c r="AA443" s="66"/>
      <c r="AB443" s="66"/>
      <c r="AC443" s="66"/>
    </row>
    <row r="444" spans="1:29" x14ac:dyDescent="0.25">
      <c r="A444" s="78" t="s">
        <v>72</v>
      </c>
      <c r="B444" s="123">
        <v>27206</v>
      </c>
      <c r="C444" s="123">
        <v>600</v>
      </c>
      <c r="D444" s="131">
        <f>B444*C444/1000</f>
        <v>16323.6</v>
      </c>
      <c r="E444" s="123">
        <v>53392</v>
      </c>
      <c r="F444" s="123">
        <v>745</v>
      </c>
      <c r="G444" s="131">
        <f>E444*F444/1000</f>
        <v>39777.040000000001</v>
      </c>
      <c r="H444" s="123">
        <v>5849</v>
      </c>
      <c r="I444" s="123">
        <v>890</v>
      </c>
      <c r="J444" s="131">
        <f>H444*I444/1000</f>
        <v>5205.6099999999997</v>
      </c>
      <c r="K444" s="123">
        <v>1341</v>
      </c>
      <c r="L444" s="123">
        <v>1100</v>
      </c>
      <c r="M444" s="131">
        <f>K444*L444/1000</f>
        <v>1475.1</v>
      </c>
      <c r="N444" s="133"/>
      <c r="O444" s="133"/>
      <c r="P444" s="131">
        <f>N444*O444/1000</f>
        <v>0</v>
      </c>
      <c r="Q444" s="214"/>
      <c r="R444" s="214"/>
      <c r="S444" s="131">
        <f>Q444*R444/1000</f>
        <v>0</v>
      </c>
      <c r="T444" s="123"/>
      <c r="U444" s="123"/>
      <c r="V444" s="131">
        <f>T444*U444/1000</f>
        <v>0</v>
      </c>
      <c r="W444" s="228">
        <f>SUM(B444+E444+H444+K444+N444+Q444+T444)</f>
        <v>87788</v>
      </c>
      <c r="X444" s="131">
        <f>SUM(D444+G444+J444+M444+P444+S444+V444)</f>
        <v>62781.35</v>
      </c>
      <c r="Y444" s="66"/>
      <c r="Z444" s="66"/>
      <c r="AA444" s="66"/>
      <c r="AB444" s="66"/>
      <c r="AC444" s="66"/>
    </row>
    <row r="445" spans="1:29" x14ac:dyDescent="0.25">
      <c r="A445" s="78" t="s">
        <v>73</v>
      </c>
      <c r="B445" s="123">
        <v>66610</v>
      </c>
      <c r="C445" s="123">
        <v>657</v>
      </c>
      <c r="D445" s="131">
        <f>B445*C445/1000</f>
        <v>43762.77</v>
      </c>
      <c r="E445" s="123">
        <v>68882</v>
      </c>
      <c r="F445" s="123">
        <v>626</v>
      </c>
      <c r="G445" s="131">
        <f>E445*F445/1000</f>
        <v>43120.131999999998</v>
      </c>
      <c r="H445" s="123">
        <v>20780</v>
      </c>
      <c r="I445" s="123">
        <v>850</v>
      </c>
      <c r="J445" s="131">
        <f>H445*I445/1000</f>
        <v>17663</v>
      </c>
      <c r="K445" s="123">
        <v>2349</v>
      </c>
      <c r="L445" s="123">
        <v>900</v>
      </c>
      <c r="M445" s="131">
        <f>K445*L445/1000</f>
        <v>2114.1</v>
      </c>
      <c r="N445" s="123">
        <v>950</v>
      </c>
      <c r="O445" s="123">
        <v>900</v>
      </c>
      <c r="P445" s="131">
        <f>N445*O445/1000</f>
        <v>855</v>
      </c>
      <c r="Q445" s="214"/>
      <c r="R445" s="214"/>
      <c r="S445" s="131">
        <f>Q445*R445/1000</f>
        <v>0</v>
      </c>
      <c r="T445" s="133"/>
      <c r="U445" s="123"/>
      <c r="V445" s="131">
        <f>T445*U445/1000</f>
        <v>0</v>
      </c>
      <c r="W445" s="228">
        <f>SUM(B445+E445+H445+K445+N445+Q445+T445)</f>
        <v>159571</v>
      </c>
      <c r="X445" s="131">
        <f>SUM(D445+G445+J445+M445+P445+S445+V445)</f>
        <v>107515.00200000001</v>
      </c>
      <c r="Y445" s="66"/>
      <c r="Z445" s="66"/>
      <c r="AA445" s="66"/>
      <c r="AB445" s="66"/>
      <c r="AC445" s="66"/>
    </row>
    <row r="446" spans="1:29" x14ac:dyDescent="0.25">
      <c r="A446" s="218" t="s">
        <v>86</v>
      </c>
      <c r="B446" s="135">
        <f>SUM(B441:B445)</f>
        <v>246406</v>
      </c>
      <c r="C446" s="135"/>
      <c r="D446" s="135">
        <f t="shared" ref="D446:X446" si="14">SUM(D441:D445)</f>
        <v>173666.41</v>
      </c>
      <c r="E446" s="135">
        <f t="shared" si="14"/>
        <v>347618</v>
      </c>
      <c r="F446" s="135"/>
      <c r="G446" s="135">
        <f t="shared" si="14"/>
        <v>266723.61200000002</v>
      </c>
      <c r="H446" s="135">
        <f t="shared" si="14"/>
        <v>101498</v>
      </c>
      <c r="I446" s="135"/>
      <c r="J446" s="135">
        <f t="shared" si="14"/>
        <v>85520.384999999995</v>
      </c>
      <c r="K446" s="135">
        <f t="shared" si="14"/>
        <v>96662</v>
      </c>
      <c r="L446" s="135"/>
      <c r="M446" s="135">
        <f t="shared" si="14"/>
        <v>133379.70000000001</v>
      </c>
      <c r="N446" s="135">
        <f t="shared" si="14"/>
        <v>45950</v>
      </c>
      <c r="O446" s="135"/>
      <c r="P446" s="135">
        <f t="shared" si="14"/>
        <v>36655</v>
      </c>
      <c r="Q446" s="135">
        <f t="shared" si="14"/>
        <v>0</v>
      </c>
      <c r="R446" s="135"/>
      <c r="S446" s="135">
        <f t="shared" si="14"/>
        <v>0</v>
      </c>
      <c r="T446" s="135">
        <f t="shared" si="14"/>
        <v>0</v>
      </c>
      <c r="U446" s="135">
        <f t="shared" si="14"/>
        <v>0</v>
      </c>
      <c r="V446" s="135">
        <f t="shared" si="14"/>
        <v>0</v>
      </c>
      <c r="W446" s="135">
        <f t="shared" si="14"/>
        <v>838134</v>
      </c>
      <c r="X446" s="135">
        <f t="shared" si="14"/>
        <v>695945.10699999996</v>
      </c>
      <c r="Y446" s="66"/>
      <c r="Z446" s="66"/>
      <c r="AA446" s="66"/>
      <c r="AB446" s="66"/>
      <c r="AC446" s="66"/>
    </row>
    <row r="447" spans="1:29" x14ac:dyDescent="0.25">
      <c r="A447" s="213" t="s">
        <v>32</v>
      </c>
      <c r="B447" s="123">
        <f>SUM(B446,B440)</f>
        <v>981952</v>
      </c>
      <c r="C447" s="123"/>
      <c r="D447" s="123">
        <f t="shared" ref="D447:X447" si="15">SUM(D446,D440)</f>
        <v>529182.15</v>
      </c>
      <c r="E447" s="123">
        <f t="shared" si="15"/>
        <v>792044</v>
      </c>
      <c r="F447" s="123"/>
      <c r="G447" s="123">
        <f t="shared" si="15"/>
        <v>556666.95200000005</v>
      </c>
      <c r="H447" s="123">
        <f t="shared" si="15"/>
        <v>184048</v>
      </c>
      <c r="I447" s="123"/>
      <c r="J447" s="123">
        <f t="shared" si="15"/>
        <v>184635.23499999999</v>
      </c>
      <c r="K447" s="123">
        <f t="shared" si="15"/>
        <v>109824</v>
      </c>
      <c r="L447" s="123"/>
      <c r="M447" s="123">
        <f t="shared" si="15"/>
        <v>145666.74000000002</v>
      </c>
      <c r="N447" s="123">
        <f t="shared" si="15"/>
        <v>343950</v>
      </c>
      <c r="O447" s="123"/>
      <c r="P447" s="123">
        <f t="shared" si="15"/>
        <v>323855</v>
      </c>
      <c r="Q447" s="123">
        <f t="shared" si="15"/>
        <v>2402</v>
      </c>
      <c r="R447" s="123"/>
      <c r="S447" s="123">
        <f t="shared" si="15"/>
        <v>3603</v>
      </c>
      <c r="T447" s="123">
        <f t="shared" si="15"/>
        <v>0</v>
      </c>
      <c r="U447" s="123">
        <f t="shared" si="15"/>
        <v>0</v>
      </c>
      <c r="V447" s="123">
        <f t="shared" si="15"/>
        <v>0</v>
      </c>
      <c r="W447" s="123">
        <f t="shared" si="15"/>
        <v>2414220</v>
      </c>
      <c r="X447" s="123">
        <f t="shared" si="15"/>
        <v>1743609.077</v>
      </c>
      <c r="Y447" s="66"/>
      <c r="Z447" s="66"/>
      <c r="AA447" s="66"/>
      <c r="AB447" s="66"/>
      <c r="AC447" s="66"/>
    </row>
    <row r="448" spans="1:29" x14ac:dyDescent="0.25">
      <c r="A448" s="86"/>
      <c r="B448" s="86"/>
      <c r="C448" s="86"/>
      <c r="D448" s="86"/>
      <c r="E448" s="86"/>
      <c r="F448" s="86"/>
      <c r="G448" s="86"/>
      <c r="H448" s="86"/>
      <c r="I448" s="86"/>
      <c r="J448" s="86"/>
      <c r="K448" s="86"/>
      <c r="L448" s="86"/>
      <c r="M448" s="86"/>
      <c r="N448" s="86"/>
      <c r="O448" s="86"/>
      <c r="P448" s="86"/>
      <c r="Q448" s="86"/>
      <c r="R448" s="86"/>
      <c r="S448" s="86"/>
      <c r="T448" s="86"/>
      <c r="U448" s="86"/>
      <c r="V448" s="86"/>
      <c r="W448" s="66"/>
      <c r="X448" s="66"/>
      <c r="Y448" s="66"/>
      <c r="Z448" s="66"/>
      <c r="AA448" s="66"/>
      <c r="AB448" s="66"/>
      <c r="AC448" s="66"/>
    </row>
    <row r="449" spans="1:29" x14ac:dyDescent="0.25">
      <c r="A449" s="86"/>
      <c r="B449" s="65" t="s">
        <v>93</v>
      </c>
      <c r="C449" s="86"/>
      <c r="D449" s="86"/>
      <c r="E449" s="86"/>
      <c r="F449" s="86"/>
      <c r="G449" s="86"/>
      <c r="H449" s="86"/>
      <c r="I449" s="86"/>
      <c r="J449" s="86"/>
      <c r="K449" s="86"/>
      <c r="L449" s="87" t="s">
        <v>34</v>
      </c>
      <c r="M449" s="86"/>
      <c r="N449" s="66"/>
      <c r="O449" s="87" t="s">
        <v>35</v>
      </c>
      <c r="P449" s="66"/>
      <c r="Q449" s="66"/>
      <c r="R449" s="86"/>
      <c r="S449" s="87" t="s">
        <v>36</v>
      </c>
      <c r="T449" s="86"/>
      <c r="U449" s="86"/>
      <c r="V449" s="86"/>
      <c r="W449" s="66"/>
      <c r="X449" s="66"/>
      <c r="Y449" s="66"/>
      <c r="Z449" s="66"/>
      <c r="AA449" s="66"/>
      <c r="AB449" s="66"/>
      <c r="AC449" s="66"/>
    </row>
    <row r="450" spans="1:29" x14ac:dyDescent="0.25">
      <c r="A450" s="222" t="s">
        <v>2</v>
      </c>
      <c r="B450" s="117"/>
      <c r="C450" s="118" t="s">
        <v>37</v>
      </c>
      <c r="D450" s="223"/>
      <c r="E450" s="117"/>
      <c r="F450" s="118" t="s">
        <v>38</v>
      </c>
      <c r="G450" s="119"/>
      <c r="H450" s="117"/>
      <c r="I450" s="118" t="s">
        <v>39</v>
      </c>
      <c r="J450" s="119"/>
      <c r="K450" s="117"/>
      <c r="L450" s="121" t="s">
        <v>40</v>
      </c>
      <c r="M450" s="119"/>
      <c r="N450" s="117"/>
      <c r="O450" s="121" t="s">
        <v>41</v>
      </c>
      <c r="P450" s="119"/>
      <c r="Q450" s="117"/>
      <c r="R450" s="121" t="s">
        <v>43</v>
      </c>
      <c r="S450" s="119"/>
      <c r="T450" s="117"/>
      <c r="U450" s="118" t="s">
        <v>54</v>
      </c>
      <c r="V450" s="119"/>
      <c r="W450" s="117"/>
      <c r="X450" s="239" t="s">
        <v>44</v>
      </c>
      <c r="Y450" s="66"/>
      <c r="Z450" s="66"/>
      <c r="AA450" s="66"/>
      <c r="AB450" s="66"/>
      <c r="AC450" s="66"/>
    </row>
    <row r="451" spans="1:29" ht="15.75" thickBot="1" x14ac:dyDescent="0.3">
      <c r="A451" s="104" t="s">
        <v>11</v>
      </c>
      <c r="B451" s="225" t="s">
        <v>12</v>
      </c>
      <c r="C451" s="225" t="s">
        <v>13</v>
      </c>
      <c r="D451" s="225" t="s">
        <v>14</v>
      </c>
      <c r="E451" s="226" t="s">
        <v>12</v>
      </c>
      <c r="F451" s="226" t="s">
        <v>13</v>
      </c>
      <c r="G451" s="226" t="s">
        <v>14</v>
      </c>
      <c r="H451" s="226" t="s">
        <v>12</v>
      </c>
      <c r="I451" s="226" t="s">
        <v>13</v>
      </c>
      <c r="J451" s="226" t="s">
        <v>14</v>
      </c>
      <c r="K451" s="226" t="s">
        <v>12</v>
      </c>
      <c r="L451" s="226" t="s">
        <v>13</v>
      </c>
      <c r="M451" s="226" t="s">
        <v>14</v>
      </c>
      <c r="N451" s="226" t="s">
        <v>12</v>
      </c>
      <c r="O451" s="226" t="s">
        <v>13</v>
      </c>
      <c r="P451" s="226" t="s">
        <v>14</v>
      </c>
      <c r="Q451" s="226" t="s">
        <v>12</v>
      </c>
      <c r="R451" s="226" t="s">
        <v>13</v>
      </c>
      <c r="S451" s="226" t="s">
        <v>14</v>
      </c>
      <c r="T451" s="226" t="s">
        <v>12</v>
      </c>
      <c r="U451" s="226" t="s">
        <v>13</v>
      </c>
      <c r="V451" s="226" t="s">
        <v>14</v>
      </c>
      <c r="W451" s="240" t="s">
        <v>12</v>
      </c>
      <c r="X451" s="226" t="s">
        <v>14</v>
      </c>
      <c r="Y451" s="66"/>
      <c r="Z451" s="66"/>
      <c r="AA451" s="66"/>
      <c r="AB451" s="66"/>
      <c r="AC451" s="66"/>
    </row>
    <row r="452" spans="1:29" ht="15.75" thickTop="1" x14ac:dyDescent="0.25">
      <c r="A452" s="211" t="s">
        <v>15</v>
      </c>
      <c r="B452" s="241">
        <v>23583</v>
      </c>
      <c r="C452" s="131">
        <v>600</v>
      </c>
      <c r="D452" s="131">
        <f t="shared" ref="D452:D460" si="16">B452*C452/1000</f>
        <v>14149.8</v>
      </c>
      <c r="E452" s="131">
        <v>2760</v>
      </c>
      <c r="F452" s="131">
        <v>250</v>
      </c>
      <c r="G452" s="131">
        <f t="shared" ref="G452:G460" si="17">E452*F452/1000</f>
        <v>690</v>
      </c>
      <c r="H452" s="131"/>
      <c r="I452" s="131"/>
      <c r="J452" s="131">
        <f t="shared" ref="J452:J460" si="18">H452*I452/1000</f>
        <v>0</v>
      </c>
      <c r="K452" s="242">
        <v>6600</v>
      </c>
      <c r="L452" s="242">
        <v>500</v>
      </c>
      <c r="M452" s="242">
        <f t="shared" ref="M452:M460" si="19">K452*L452/1000</f>
        <v>3300</v>
      </c>
      <c r="N452" s="242"/>
      <c r="O452" s="242"/>
      <c r="P452" s="242">
        <f t="shared" ref="P452:P460" si="20">N452*O452/1000</f>
        <v>0</v>
      </c>
      <c r="Q452" s="242"/>
      <c r="R452" s="242"/>
      <c r="S452" s="242">
        <f t="shared" ref="S452:S460" si="21">Q452*R452/1000</f>
        <v>0</v>
      </c>
      <c r="T452" s="238"/>
      <c r="U452" s="238"/>
      <c r="V452" s="242">
        <f t="shared" ref="V452:V460" si="22">T452*U452/1000</f>
        <v>0</v>
      </c>
      <c r="W452" s="243">
        <f t="shared" ref="W452:W460" si="23">SUM(B452+E452+H452+K452+N452+Q452+T452)</f>
        <v>32943</v>
      </c>
      <c r="X452" s="242">
        <f t="shared" ref="X452:X460" si="24">SUM(D452+G452+J452+M452+P452+S452+V452)</f>
        <v>18139.8</v>
      </c>
      <c r="Y452" s="66"/>
      <c r="Z452" s="66"/>
      <c r="AA452" s="66"/>
      <c r="AB452" s="66"/>
      <c r="AC452" s="66"/>
    </row>
    <row r="453" spans="1:29" x14ac:dyDescent="0.25">
      <c r="A453" s="213" t="s">
        <v>89</v>
      </c>
      <c r="B453" s="232"/>
      <c r="C453" s="123"/>
      <c r="D453" s="131">
        <f t="shared" si="16"/>
        <v>0</v>
      </c>
      <c r="E453" s="123"/>
      <c r="F453" s="123"/>
      <c r="G453" s="131">
        <f t="shared" si="17"/>
        <v>0</v>
      </c>
      <c r="H453" s="123"/>
      <c r="I453" s="133"/>
      <c r="J453" s="131">
        <f t="shared" si="18"/>
        <v>0</v>
      </c>
      <c r="K453" s="238"/>
      <c r="L453" s="238"/>
      <c r="M453" s="242">
        <f t="shared" si="19"/>
        <v>0</v>
      </c>
      <c r="N453" s="238"/>
      <c r="O453" s="238"/>
      <c r="P453" s="242">
        <f t="shared" si="20"/>
        <v>0</v>
      </c>
      <c r="Q453" s="238"/>
      <c r="R453" s="238"/>
      <c r="S453" s="242">
        <f t="shared" si="21"/>
        <v>0</v>
      </c>
      <c r="T453" s="238"/>
      <c r="U453" s="238"/>
      <c r="V453" s="242">
        <f t="shared" si="22"/>
        <v>0</v>
      </c>
      <c r="W453" s="243">
        <f t="shared" si="23"/>
        <v>0</v>
      </c>
      <c r="X453" s="242">
        <f t="shared" si="24"/>
        <v>0</v>
      </c>
      <c r="Y453" s="66"/>
      <c r="Z453" s="66"/>
      <c r="AA453" s="66"/>
      <c r="AB453" s="66"/>
      <c r="AC453" s="66"/>
    </row>
    <row r="454" spans="1:29" x14ac:dyDescent="0.25">
      <c r="A454" s="213" t="s">
        <v>17</v>
      </c>
      <c r="B454" s="232">
        <v>7000</v>
      </c>
      <c r="C454" s="123">
        <v>790</v>
      </c>
      <c r="D454" s="131">
        <f t="shared" si="16"/>
        <v>5530</v>
      </c>
      <c r="E454" s="123">
        <v>325</v>
      </c>
      <c r="F454" s="123">
        <v>200</v>
      </c>
      <c r="G454" s="131">
        <f t="shared" si="17"/>
        <v>65</v>
      </c>
      <c r="H454" s="123"/>
      <c r="I454" s="123"/>
      <c r="J454" s="131">
        <f t="shared" si="18"/>
        <v>0</v>
      </c>
      <c r="K454" s="238">
        <v>277</v>
      </c>
      <c r="L454" s="238">
        <v>500</v>
      </c>
      <c r="M454" s="242">
        <f t="shared" si="19"/>
        <v>138.5</v>
      </c>
      <c r="N454" s="238"/>
      <c r="O454" s="238"/>
      <c r="P454" s="242">
        <f t="shared" si="20"/>
        <v>0</v>
      </c>
      <c r="Q454" s="238"/>
      <c r="R454" s="238"/>
      <c r="S454" s="242">
        <f t="shared" si="21"/>
        <v>0</v>
      </c>
      <c r="T454" s="238"/>
      <c r="U454" s="238"/>
      <c r="V454" s="242">
        <f t="shared" si="22"/>
        <v>0</v>
      </c>
      <c r="W454" s="243">
        <f t="shared" si="23"/>
        <v>7602</v>
      </c>
      <c r="X454" s="242">
        <f t="shared" si="24"/>
        <v>5733.5</v>
      </c>
      <c r="Y454" s="66"/>
      <c r="Z454" s="66"/>
      <c r="AA454" s="66"/>
      <c r="AB454" s="66"/>
      <c r="AC454" s="66"/>
    </row>
    <row r="455" spans="1:29" x14ac:dyDescent="0.25">
      <c r="A455" s="213" t="s">
        <v>46</v>
      </c>
      <c r="B455" s="236">
        <v>139432</v>
      </c>
      <c r="C455" s="123">
        <v>900</v>
      </c>
      <c r="D455" s="131">
        <f t="shared" si="16"/>
        <v>125488.8</v>
      </c>
      <c r="E455" s="238">
        <v>1007</v>
      </c>
      <c r="F455" s="238">
        <v>300</v>
      </c>
      <c r="G455" s="131">
        <f t="shared" si="17"/>
        <v>302.10000000000002</v>
      </c>
      <c r="H455" s="133"/>
      <c r="I455" s="133"/>
      <c r="J455" s="131">
        <f t="shared" si="18"/>
        <v>0</v>
      </c>
      <c r="K455" s="238">
        <v>2288</v>
      </c>
      <c r="L455" s="238">
        <v>600</v>
      </c>
      <c r="M455" s="242">
        <f t="shared" si="19"/>
        <v>1372.8</v>
      </c>
      <c r="N455" s="238">
        <v>410</v>
      </c>
      <c r="O455" s="238">
        <v>10000</v>
      </c>
      <c r="P455" s="242">
        <f t="shared" si="20"/>
        <v>4100</v>
      </c>
      <c r="Q455" s="238"/>
      <c r="R455" s="238"/>
      <c r="S455" s="242">
        <f t="shared" si="21"/>
        <v>0</v>
      </c>
      <c r="T455" s="238" t="s">
        <v>94</v>
      </c>
      <c r="U455" s="238" t="s">
        <v>95</v>
      </c>
      <c r="V455" s="242">
        <f t="shared" si="22"/>
        <v>5880</v>
      </c>
      <c r="W455" s="243">
        <f t="shared" si="23"/>
        <v>143627</v>
      </c>
      <c r="X455" s="242">
        <f t="shared" si="24"/>
        <v>137143.70000000001</v>
      </c>
      <c r="Y455" s="66"/>
      <c r="Z455" s="66"/>
      <c r="AA455" s="66"/>
      <c r="AB455" s="66"/>
      <c r="AC455" s="66"/>
    </row>
    <row r="456" spans="1:29" x14ac:dyDescent="0.25">
      <c r="A456" s="213" t="s">
        <v>20</v>
      </c>
      <c r="B456" s="232">
        <v>18660</v>
      </c>
      <c r="C456" s="123">
        <v>800</v>
      </c>
      <c r="D456" s="131">
        <f t="shared" si="16"/>
        <v>14928</v>
      </c>
      <c r="E456" s="123">
        <v>6700</v>
      </c>
      <c r="F456" s="123">
        <v>500</v>
      </c>
      <c r="G456" s="131">
        <f t="shared" si="17"/>
        <v>3350</v>
      </c>
      <c r="H456" s="123"/>
      <c r="I456" s="123"/>
      <c r="J456" s="131">
        <f t="shared" si="18"/>
        <v>0</v>
      </c>
      <c r="K456" s="238">
        <v>2510</v>
      </c>
      <c r="L456" s="244">
        <v>600</v>
      </c>
      <c r="M456" s="242">
        <f t="shared" si="19"/>
        <v>1506</v>
      </c>
      <c r="N456" s="238"/>
      <c r="O456" s="238"/>
      <c r="P456" s="242">
        <f t="shared" si="20"/>
        <v>0</v>
      </c>
      <c r="Q456" s="238"/>
      <c r="R456" s="238"/>
      <c r="S456" s="242">
        <f t="shared" si="21"/>
        <v>0</v>
      </c>
      <c r="T456" s="238"/>
      <c r="U456" s="238"/>
      <c r="V456" s="242">
        <f t="shared" si="22"/>
        <v>0</v>
      </c>
      <c r="W456" s="243">
        <f t="shared" si="23"/>
        <v>27870</v>
      </c>
      <c r="X456" s="242">
        <f t="shared" si="24"/>
        <v>19784</v>
      </c>
      <c r="Y456" s="66"/>
      <c r="Z456" s="66"/>
      <c r="AA456" s="66"/>
      <c r="AB456" s="66"/>
      <c r="AC456" s="66"/>
    </row>
    <row r="457" spans="1:29" x14ac:dyDescent="0.25">
      <c r="A457" s="213" t="s">
        <v>21</v>
      </c>
      <c r="B457" s="245"/>
      <c r="C457" s="133"/>
      <c r="D457" s="131">
        <f t="shared" si="16"/>
        <v>0</v>
      </c>
      <c r="E457" s="133"/>
      <c r="F457" s="133"/>
      <c r="G457" s="131">
        <f t="shared" si="17"/>
        <v>0</v>
      </c>
      <c r="H457" s="123"/>
      <c r="I457" s="123"/>
      <c r="J457" s="131">
        <f t="shared" si="18"/>
        <v>0</v>
      </c>
      <c r="K457" s="238">
        <v>1740</v>
      </c>
      <c r="L457" s="238">
        <v>300</v>
      </c>
      <c r="M457" s="242">
        <f t="shared" si="19"/>
        <v>522</v>
      </c>
      <c r="N457" s="238"/>
      <c r="O457" s="238"/>
      <c r="P457" s="242">
        <f t="shared" si="20"/>
        <v>0</v>
      </c>
      <c r="Q457" s="238"/>
      <c r="R457" s="238"/>
      <c r="S457" s="242">
        <f t="shared" si="21"/>
        <v>0</v>
      </c>
      <c r="T457" s="238"/>
      <c r="U457" s="238"/>
      <c r="V457" s="242">
        <f t="shared" si="22"/>
        <v>0</v>
      </c>
      <c r="W457" s="243">
        <f t="shared" si="23"/>
        <v>1740</v>
      </c>
      <c r="X457" s="242">
        <f t="shared" si="24"/>
        <v>522</v>
      </c>
      <c r="Y457" s="66"/>
      <c r="Z457" s="66"/>
      <c r="AA457" s="66"/>
      <c r="AB457" s="66"/>
      <c r="AC457" s="66"/>
    </row>
    <row r="458" spans="1:29" x14ac:dyDescent="0.25">
      <c r="A458" s="213" t="s">
        <v>22</v>
      </c>
      <c r="B458" s="232"/>
      <c r="C458" s="123"/>
      <c r="D458" s="131">
        <f t="shared" si="16"/>
        <v>0</v>
      </c>
      <c r="E458" s="133"/>
      <c r="F458" s="133"/>
      <c r="G458" s="131">
        <f t="shared" si="17"/>
        <v>0</v>
      </c>
      <c r="H458" s="123"/>
      <c r="I458" s="123"/>
      <c r="J458" s="131">
        <f t="shared" si="18"/>
        <v>0</v>
      </c>
      <c r="K458" s="238"/>
      <c r="L458" s="244"/>
      <c r="M458" s="242">
        <f t="shared" si="19"/>
        <v>0</v>
      </c>
      <c r="N458" s="238">
        <v>225</v>
      </c>
      <c r="O458" s="238">
        <v>20000</v>
      </c>
      <c r="P458" s="242">
        <f t="shared" si="20"/>
        <v>4500</v>
      </c>
      <c r="Q458" s="238"/>
      <c r="R458" s="238"/>
      <c r="S458" s="242">
        <f t="shared" si="21"/>
        <v>0</v>
      </c>
      <c r="T458" s="238" t="s">
        <v>96</v>
      </c>
      <c r="U458" s="238" t="s">
        <v>97</v>
      </c>
      <c r="V458" s="242">
        <f t="shared" si="22"/>
        <v>1275</v>
      </c>
      <c r="W458" s="243">
        <f t="shared" si="23"/>
        <v>310</v>
      </c>
      <c r="X458" s="242">
        <f t="shared" si="24"/>
        <v>5775</v>
      </c>
      <c r="Y458" s="66"/>
      <c r="Z458" s="66"/>
      <c r="AA458" s="66"/>
      <c r="AB458" s="66"/>
      <c r="AC458" s="66"/>
    </row>
    <row r="459" spans="1:29" x14ac:dyDescent="0.25">
      <c r="A459" s="213" t="s">
        <v>23</v>
      </c>
      <c r="B459" s="232">
        <v>108426</v>
      </c>
      <c r="C459" s="123">
        <v>994</v>
      </c>
      <c r="D459" s="131">
        <f t="shared" si="16"/>
        <v>107775.444</v>
      </c>
      <c r="E459" s="123">
        <v>7918</v>
      </c>
      <c r="F459" s="123">
        <v>660</v>
      </c>
      <c r="G459" s="131">
        <f t="shared" si="17"/>
        <v>5225.88</v>
      </c>
      <c r="H459" s="123">
        <v>9804</v>
      </c>
      <c r="I459" s="123">
        <v>672</v>
      </c>
      <c r="J459" s="131">
        <f t="shared" si="18"/>
        <v>6588.2879999999996</v>
      </c>
      <c r="K459" s="238">
        <v>12700</v>
      </c>
      <c r="L459" s="238">
        <v>600</v>
      </c>
      <c r="M459" s="242">
        <f t="shared" si="19"/>
        <v>7620</v>
      </c>
      <c r="N459" s="238"/>
      <c r="O459" s="238"/>
      <c r="P459" s="242">
        <f t="shared" si="20"/>
        <v>0</v>
      </c>
      <c r="Q459" s="238"/>
      <c r="R459" s="238"/>
      <c r="S459" s="242">
        <f t="shared" si="21"/>
        <v>0</v>
      </c>
      <c r="T459" s="238"/>
      <c r="U459" s="238"/>
      <c r="V459" s="242">
        <f t="shared" si="22"/>
        <v>0</v>
      </c>
      <c r="W459" s="243">
        <f t="shared" si="23"/>
        <v>138848</v>
      </c>
      <c r="X459" s="242">
        <f t="shared" si="24"/>
        <v>127209.61200000001</v>
      </c>
      <c r="Y459" s="66"/>
      <c r="Z459" s="66"/>
      <c r="AA459" s="66"/>
      <c r="AB459" s="66"/>
      <c r="AC459" s="66"/>
    </row>
    <row r="460" spans="1:29" x14ac:dyDescent="0.25">
      <c r="A460" s="213" t="s">
        <v>24</v>
      </c>
      <c r="B460" s="232">
        <v>39472</v>
      </c>
      <c r="C460" s="123">
        <v>1000</v>
      </c>
      <c r="D460" s="131">
        <f t="shared" si="16"/>
        <v>39472</v>
      </c>
      <c r="E460" s="123">
        <v>3100</v>
      </c>
      <c r="F460" s="123">
        <v>600</v>
      </c>
      <c r="G460" s="131">
        <f t="shared" si="17"/>
        <v>1860</v>
      </c>
      <c r="H460" s="123"/>
      <c r="I460" s="123"/>
      <c r="J460" s="131">
        <f t="shared" si="18"/>
        <v>0</v>
      </c>
      <c r="K460" s="238">
        <v>8767</v>
      </c>
      <c r="L460" s="238">
        <v>600</v>
      </c>
      <c r="M460" s="242">
        <f t="shared" si="19"/>
        <v>5260.2</v>
      </c>
      <c r="N460" s="238">
        <v>400</v>
      </c>
      <c r="O460" s="238">
        <v>12000</v>
      </c>
      <c r="P460" s="242">
        <f t="shared" si="20"/>
        <v>4800</v>
      </c>
      <c r="Q460" s="238"/>
      <c r="R460" s="238"/>
      <c r="S460" s="242">
        <f t="shared" si="21"/>
        <v>0</v>
      </c>
      <c r="T460" s="238" t="s">
        <v>98</v>
      </c>
      <c r="U460" s="238" t="s">
        <v>95</v>
      </c>
      <c r="V460" s="242">
        <f t="shared" si="22"/>
        <v>3420</v>
      </c>
      <c r="W460" s="243">
        <f t="shared" si="23"/>
        <v>52024</v>
      </c>
      <c r="X460" s="242">
        <f t="shared" si="24"/>
        <v>54812.2</v>
      </c>
      <c r="Y460" s="66"/>
      <c r="Z460" s="66"/>
      <c r="AA460" s="66"/>
      <c r="AB460" s="66"/>
      <c r="AC460" s="66"/>
    </row>
    <row r="461" spans="1:29" x14ac:dyDescent="0.25">
      <c r="A461" s="215" t="s">
        <v>90</v>
      </c>
      <c r="B461" s="135">
        <f>SUM(B452:B460)</f>
        <v>336573</v>
      </c>
      <c r="C461" s="135"/>
      <c r="D461" s="135">
        <f t="shared" ref="D461:X461" si="25">SUM(D452:D460)</f>
        <v>307344.04399999999</v>
      </c>
      <c r="E461" s="135">
        <f t="shared" si="25"/>
        <v>21810</v>
      </c>
      <c r="F461" s="135"/>
      <c r="G461" s="135">
        <f t="shared" si="25"/>
        <v>11492.98</v>
      </c>
      <c r="H461" s="135">
        <f t="shared" si="25"/>
        <v>9804</v>
      </c>
      <c r="I461" s="135"/>
      <c r="J461" s="135">
        <f t="shared" si="25"/>
        <v>6588.2879999999996</v>
      </c>
      <c r="K461" s="246">
        <f t="shared" si="25"/>
        <v>34882</v>
      </c>
      <c r="L461" s="246"/>
      <c r="M461" s="246">
        <f t="shared" si="25"/>
        <v>19719.5</v>
      </c>
      <c r="N461" s="246">
        <f t="shared" si="25"/>
        <v>1035</v>
      </c>
      <c r="O461" s="246"/>
      <c r="P461" s="246">
        <f t="shared" si="25"/>
        <v>13400</v>
      </c>
      <c r="Q461" s="246">
        <f t="shared" si="25"/>
        <v>0</v>
      </c>
      <c r="R461" s="246">
        <f t="shared" si="25"/>
        <v>0</v>
      </c>
      <c r="S461" s="246">
        <f t="shared" si="25"/>
        <v>0</v>
      </c>
      <c r="T461" s="246">
        <v>860</v>
      </c>
      <c r="U461" s="246"/>
      <c r="V461" s="246">
        <f t="shared" si="25"/>
        <v>10575</v>
      </c>
      <c r="W461" s="246">
        <f t="shared" si="25"/>
        <v>404964</v>
      </c>
      <c r="X461" s="246">
        <f t="shared" si="25"/>
        <v>369119.81200000003</v>
      </c>
      <c r="Y461" s="66"/>
      <c r="Z461" s="66"/>
      <c r="AA461" s="66"/>
      <c r="AB461" s="66"/>
      <c r="AC461" s="66"/>
    </row>
    <row r="462" spans="1:29" x14ac:dyDescent="0.25">
      <c r="A462" s="213" t="s">
        <v>47</v>
      </c>
      <c r="B462" s="123">
        <v>50175</v>
      </c>
      <c r="C462" s="123">
        <v>930</v>
      </c>
      <c r="D462" s="131">
        <f>B462*C462/1000</f>
        <v>46662.75</v>
      </c>
      <c r="E462" s="123">
        <v>11150</v>
      </c>
      <c r="F462" s="123">
        <v>530</v>
      </c>
      <c r="G462" s="131">
        <f>E462*F462/1000</f>
        <v>5909.5</v>
      </c>
      <c r="H462" s="123"/>
      <c r="I462" s="123"/>
      <c r="J462" s="131">
        <f>H462*I462/1000</f>
        <v>0</v>
      </c>
      <c r="K462" s="238"/>
      <c r="L462" s="238"/>
      <c r="M462" s="242">
        <f>K462*L462/1000</f>
        <v>0</v>
      </c>
      <c r="N462" s="238">
        <v>29461</v>
      </c>
      <c r="O462" s="238">
        <v>11000</v>
      </c>
      <c r="P462" s="242">
        <f>N462*O462/1000</f>
        <v>324071</v>
      </c>
      <c r="Q462" s="238">
        <v>800</v>
      </c>
      <c r="R462" s="238">
        <v>800</v>
      </c>
      <c r="S462" s="242">
        <f>Q462*R462/1000</f>
        <v>640</v>
      </c>
      <c r="T462" s="238"/>
      <c r="U462" s="238"/>
      <c r="V462" s="242">
        <f>T462*U462/1000</f>
        <v>0</v>
      </c>
      <c r="W462" s="243">
        <f>SUM(B462+E462+H462+K462+N462+Q462+T462)</f>
        <v>91586</v>
      </c>
      <c r="X462" s="242">
        <f>SUM(D462+G462+J462+M462+P462+S462+V462)</f>
        <v>377283.25</v>
      </c>
      <c r="Y462" s="66"/>
      <c r="Z462" s="66"/>
      <c r="AA462" s="66"/>
      <c r="AB462" s="66"/>
      <c r="AC462" s="66"/>
    </row>
    <row r="463" spans="1:29" x14ac:dyDescent="0.25">
      <c r="A463" s="213" t="s">
        <v>27</v>
      </c>
      <c r="B463" s="123">
        <v>21035</v>
      </c>
      <c r="C463" s="123">
        <v>760</v>
      </c>
      <c r="D463" s="131">
        <f>B463*C463/1000</f>
        <v>15986.6</v>
      </c>
      <c r="E463" s="123">
        <v>5410</v>
      </c>
      <c r="F463" s="123">
        <v>270</v>
      </c>
      <c r="G463" s="131">
        <f>E463*F463/1000</f>
        <v>1460.7</v>
      </c>
      <c r="H463" s="123"/>
      <c r="I463" s="123"/>
      <c r="J463" s="131">
        <f>H463*I463/1000</f>
        <v>0</v>
      </c>
      <c r="K463" s="238"/>
      <c r="L463" s="238"/>
      <c r="M463" s="242">
        <f>K463*L463/1000</f>
        <v>0</v>
      </c>
      <c r="N463" s="238">
        <v>2132</v>
      </c>
      <c r="O463" s="238">
        <v>10000</v>
      </c>
      <c r="P463" s="242">
        <f>N463*O463/1000</f>
        <v>21320</v>
      </c>
      <c r="Q463" s="238"/>
      <c r="R463" s="238"/>
      <c r="S463" s="242">
        <f>Q463*R463/1000</f>
        <v>0</v>
      </c>
      <c r="T463" s="238"/>
      <c r="U463" s="238"/>
      <c r="V463" s="242">
        <f>T463*U463/1000</f>
        <v>0</v>
      </c>
      <c r="W463" s="243">
        <f>SUM(B463+E463+H463+K463+N463+Q463+T463)</f>
        <v>28577</v>
      </c>
      <c r="X463" s="242">
        <f>SUM(D463+G463+J463+M463+P463+S463+V463)</f>
        <v>38767.300000000003</v>
      </c>
      <c r="Y463" s="66"/>
      <c r="Z463" s="66"/>
      <c r="AA463" s="66"/>
      <c r="AB463" s="66"/>
      <c r="AC463" s="66"/>
    </row>
    <row r="464" spans="1:29" x14ac:dyDescent="0.25">
      <c r="A464" s="78" t="s">
        <v>71</v>
      </c>
      <c r="B464" s="123">
        <v>19162</v>
      </c>
      <c r="C464" s="123">
        <v>980</v>
      </c>
      <c r="D464" s="131">
        <f>B464*C464/1000</f>
        <v>18778.759999999998</v>
      </c>
      <c r="E464" s="123">
        <v>6386</v>
      </c>
      <c r="F464" s="123">
        <v>340</v>
      </c>
      <c r="G464" s="131">
        <f>E464*F464/1000</f>
        <v>2171.2399999999998</v>
      </c>
      <c r="H464" s="123"/>
      <c r="I464" s="123"/>
      <c r="J464" s="131">
        <f>H464*I464/1000</f>
        <v>0</v>
      </c>
      <c r="K464" s="238"/>
      <c r="L464" s="238"/>
      <c r="M464" s="242">
        <f>K464*L464/1000</f>
        <v>0</v>
      </c>
      <c r="N464" s="238">
        <v>3732</v>
      </c>
      <c r="O464" s="238">
        <v>10000</v>
      </c>
      <c r="P464" s="242">
        <f>N464*O464/1000</f>
        <v>37320</v>
      </c>
      <c r="Q464" s="238"/>
      <c r="R464" s="238"/>
      <c r="S464" s="242">
        <f>Q464*R464/1000</f>
        <v>0</v>
      </c>
      <c r="T464" s="238"/>
      <c r="U464" s="238"/>
      <c r="V464" s="242">
        <f>T464*U464/1000</f>
        <v>0</v>
      </c>
      <c r="W464" s="243">
        <f>SUM(B464+E464+H464+K464+N464+Q464+T464)</f>
        <v>29280</v>
      </c>
      <c r="X464" s="242">
        <f>SUM(D464+G464+J464+M464+P464+S464+V464)</f>
        <v>58270</v>
      </c>
      <c r="Y464" s="66"/>
      <c r="Z464" s="66"/>
      <c r="AA464" s="66"/>
      <c r="AB464" s="66"/>
      <c r="AC464" s="66"/>
    </row>
    <row r="465" spans="1:29" x14ac:dyDescent="0.25">
      <c r="A465" s="78" t="s">
        <v>72</v>
      </c>
      <c r="B465" s="123">
        <v>35487</v>
      </c>
      <c r="C465" s="123">
        <v>950</v>
      </c>
      <c r="D465" s="131">
        <f>B465*C465/1000</f>
        <v>33712.65</v>
      </c>
      <c r="E465" s="123">
        <v>12280</v>
      </c>
      <c r="F465" s="123">
        <v>350</v>
      </c>
      <c r="G465" s="131">
        <f>E465*F465/1000</f>
        <v>4298</v>
      </c>
      <c r="H465" s="123"/>
      <c r="I465" s="123"/>
      <c r="J465" s="131">
        <f>H465*I465/1000</f>
        <v>0</v>
      </c>
      <c r="K465" s="238"/>
      <c r="L465" s="238"/>
      <c r="M465" s="242">
        <f>K465*L465/1000</f>
        <v>0</v>
      </c>
      <c r="N465" s="238">
        <v>4317</v>
      </c>
      <c r="O465" s="238">
        <v>11000</v>
      </c>
      <c r="P465" s="242">
        <f>N465*O465/1000</f>
        <v>47487</v>
      </c>
      <c r="Q465" s="238"/>
      <c r="R465" s="238"/>
      <c r="S465" s="242">
        <f>Q465*R465/1000</f>
        <v>0</v>
      </c>
      <c r="T465" s="238"/>
      <c r="U465" s="238"/>
      <c r="V465" s="242">
        <f>T465*U465/1000</f>
        <v>0</v>
      </c>
      <c r="W465" s="243">
        <f>SUM(B465+E465+H465+K465+N465+Q465+T465)</f>
        <v>52084</v>
      </c>
      <c r="X465" s="242">
        <f>SUM(D465+G465+J465+M465+P465+S465+V465)</f>
        <v>85497.65</v>
      </c>
      <c r="Y465" s="66"/>
      <c r="Z465" s="66"/>
      <c r="AA465" s="66"/>
      <c r="AB465" s="66"/>
      <c r="AC465" s="66"/>
    </row>
    <row r="466" spans="1:29" x14ac:dyDescent="0.25">
      <c r="A466" s="78" t="s">
        <v>73</v>
      </c>
      <c r="B466" s="123">
        <v>65742</v>
      </c>
      <c r="C466" s="123">
        <v>970</v>
      </c>
      <c r="D466" s="131">
        <f>B466*C466/1000</f>
        <v>63769.74</v>
      </c>
      <c r="E466" s="123">
        <v>2111</v>
      </c>
      <c r="F466" s="123">
        <v>270</v>
      </c>
      <c r="G466" s="131">
        <f>E466*F466/1000</f>
        <v>569.97</v>
      </c>
      <c r="H466" s="123"/>
      <c r="I466" s="123"/>
      <c r="J466" s="131">
        <f>H466*I466/1000</f>
        <v>0</v>
      </c>
      <c r="K466" s="238"/>
      <c r="L466" s="238"/>
      <c r="M466" s="242">
        <f>K466*L466/1000</f>
        <v>0</v>
      </c>
      <c r="N466" s="238">
        <v>25065</v>
      </c>
      <c r="O466" s="238">
        <v>12000</v>
      </c>
      <c r="P466" s="242">
        <f>N466*O466/1000</f>
        <v>300780</v>
      </c>
      <c r="Q466" s="238"/>
      <c r="R466" s="238"/>
      <c r="S466" s="242">
        <f>Q466*R466/1000</f>
        <v>0</v>
      </c>
      <c r="T466" s="238"/>
      <c r="U466" s="238"/>
      <c r="V466" s="242">
        <f>T466*U466/1000</f>
        <v>0</v>
      </c>
      <c r="W466" s="243">
        <f>SUM(B466+E466+H466+K466+N466+Q466+T466)</f>
        <v>92918</v>
      </c>
      <c r="X466" s="242">
        <f>SUM(D466+G466+J466+M466+P466+S466+V466)</f>
        <v>365119.71</v>
      </c>
      <c r="Y466" s="66"/>
      <c r="Z466" s="66"/>
      <c r="AA466" s="66"/>
      <c r="AB466" s="66"/>
      <c r="AC466" s="66"/>
    </row>
    <row r="467" spans="1:29" x14ac:dyDescent="0.25">
      <c r="A467" s="215" t="s">
        <v>91</v>
      </c>
      <c r="B467" s="135">
        <f>SUM(B462:B466)</f>
        <v>191601</v>
      </c>
      <c r="C467" s="135"/>
      <c r="D467" s="135">
        <f t="shared" ref="D467:X467" si="26">SUM(D462:D466)</f>
        <v>178910.5</v>
      </c>
      <c r="E467" s="135">
        <f t="shared" si="26"/>
        <v>37337</v>
      </c>
      <c r="F467" s="135"/>
      <c r="G467" s="135">
        <f t="shared" si="26"/>
        <v>14409.409999999998</v>
      </c>
      <c r="H467" s="135">
        <f t="shared" si="26"/>
        <v>0</v>
      </c>
      <c r="I467" s="135"/>
      <c r="J467" s="135">
        <f t="shared" si="26"/>
        <v>0</v>
      </c>
      <c r="K467" s="246">
        <f t="shared" si="26"/>
        <v>0</v>
      </c>
      <c r="L467" s="246"/>
      <c r="M467" s="246">
        <f t="shared" si="26"/>
        <v>0</v>
      </c>
      <c r="N467" s="246">
        <f t="shared" si="26"/>
        <v>64707</v>
      </c>
      <c r="O467" s="246"/>
      <c r="P467" s="246">
        <f t="shared" si="26"/>
        <v>730978</v>
      </c>
      <c r="Q467" s="246">
        <f t="shared" si="26"/>
        <v>800</v>
      </c>
      <c r="R467" s="246"/>
      <c r="S467" s="246">
        <f t="shared" si="26"/>
        <v>640</v>
      </c>
      <c r="T467" s="246">
        <f t="shared" si="26"/>
        <v>0</v>
      </c>
      <c r="U467" s="246"/>
      <c r="V467" s="246">
        <f t="shared" si="26"/>
        <v>0</v>
      </c>
      <c r="W467" s="246">
        <f t="shared" si="26"/>
        <v>294445</v>
      </c>
      <c r="X467" s="246">
        <f t="shared" si="26"/>
        <v>924937.90999999992</v>
      </c>
      <c r="Y467" s="66"/>
      <c r="Z467" s="66"/>
      <c r="AA467" s="66"/>
      <c r="AB467" s="66"/>
      <c r="AC467" s="66"/>
    </row>
    <row r="468" spans="1:29" x14ac:dyDescent="0.25">
      <c r="A468" s="229" t="s">
        <v>32</v>
      </c>
      <c r="B468" s="123">
        <f>SUM(B467,B461)</f>
        <v>528174</v>
      </c>
      <c r="C468" s="123"/>
      <c r="D468" s="123">
        <f t="shared" ref="D468:X468" si="27">SUM(D467,D461)</f>
        <v>486254.54399999999</v>
      </c>
      <c r="E468" s="123">
        <f t="shared" si="27"/>
        <v>59147</v>
      </c>
      <c r="F468" s="123"/>
      <c r="G468" s="123">
        <f t="shared" si="27"/>
        <v>25902.39</v>
      </c>
      <c r="H468" s="123">
        <f t="shared" si="27"/>
        <v>9804</v>
      </c>
      <c r="I468" s="123"/>
      <c r="J468" s="123">
        <f t="shared" si="27"/>
        <v>6588.2879999999996</v>
      </c>
      <c r="K468" s="238">
        <f t="shared" si="27"/>
        <v>34882</v>
      </c>
      <c r="L468" s="238"/>
      <c r="M468" s="238">
        <f t="shared" si="27"/>
        <v>19719.5</v>
      </c>
      <c r="N468" s="238">
        <f t="shared" si="27"/>
        <v>65742</v>
      </c>
      <c r="O468" s="238"/>
      <c r="P468" s="238">
        <f t="shared" si="27"/>
        <v>744378</v>
      </c>
      <c r="Q468" s="238">
        <f t="shared" si="27"/>
        <v>800</v>
      </c>
      <c r="R468" s="238"/>
      <c r="S468" s="238">
        <f t="shared" si="27"/>
        <v>640</v>
      </c>
      <c r="T468" s="238">
        <f t="shared" si="27"/>
        <v>860</v>
      </c>
      <c r="U468" s="238"/>
      <c r="V468" s="238">
        <f t="shared" si="27"/>
        <v>10575</v>
      </c>
      <c r="W468" s="238">
        <f t="shared" si="27"/>
        <v>699409</v>
      </c>
      <c r="X468" s="238">
        <f t="shared" si="27"/>
        <v>1294057.7220000001</v>
      </c>
      <c r="Y468" s="66"/>
      <c r="Z468" s="66"/>
      <c r="AA468" s="66"/>
      <c r="AB468" s="66"/>
      <c r="AC468" s="66"/>
    </row>
    <row r="469" spans="1:29" x14ac:dyDescent="0.25">
      <c r="A469" s="95" t="s">
        <v>58</v>
      </c>
      <c r="B469" s="96"/>
      <c r="C469" s="96"/>
      <c r="D469" s="95" t="s">
        <v>59</v>
      </c>
      <c r="E469" s="96"/>
      <c r="F469" s="96"/>
      <c r="G469" s="96"/>
      <c r="H469" s="96"/>
      <c r="I469" s="95" t="s">
        <v>60</v>
      </c>
      <c r="J469" s="96"/>
      <c r="K469" s="96"/>
      <c r="L469" s="96"/>
      <c r="M469" s="96"/>
      <c r="N469" s="96"/>
      <c r="O469" s="96"/>
      <c r="P469" s="96"/>
      <c r="Q469" s="96"/>
      <c r="R469" s="96"/>
      <c r="S469" s="96"/>
      <c r="T469" s="96"/>
      <c r="U469" s="96"/>
      <c r="V469" s="96"/>
      <c r="W469" s="96"/>
      <c r="X469" s="96"/>
      <c r="Y469" s="114"/>
      <c r="Z469" s="114"/>
      <c r="AA469" s="114"/>
      <c r="AB469" s="114"/>
      <c r="AC469" s="114"/>
    </row>
    <row r="470" spans="1:29" x14ac:dyDescent="0.25">
      <c r="A470" s="95"/>
      <c r="B470" s="96"/>
      <c r="C470" s="96"/>
      <c r="D470" s="95"/>
      <c r="E470" s="96"/>
      <c r="F470" s="96"/>
      <c r="G470" s="96"/>
      <c r="H470" s="96"/>
      <c r="I470" s="95"/>
      <c r="J470" s="96"/>
      <c r="K470" s="96"/>
      <c r="L470" s="96"/>
      <c r="M470" s="96"/>
      <c r="N470" s="96"/>
      <c r="O470" s="96"/>
      <c r="P470" s="96"/>
      <c r="Q470" s="96"/>
      <c r="R470" s="96"/>
      <c r="S470" s="96"/>
      <c r="T470" s="96"/>
      <c r="U470" s="96"/>
      <c r="V470" s="96"/>
      <c r="W470" s="96"/>
      <c r="X470" s="96"/>
      <c r="Y470" s="114"/>
      <c r="Z470" s="114"/>
      <c r="AA470" s="114"/>
      <c r="AB470" s="114"/>
      <c r="AC470" s="114"/>
    </row>
    <row r="471" spans="1:29" x14ac:dyDescent="0.25">
      <c r="A471" s="86"/>
      <c r="B471" s="65" t="s">
        <v>0</v>
      </c>
      <c r="C471" s="86"/>
      <c r="D471" s="86"/>
      <c r="E471" s="86"/>
      <c r="F471" s="86"/>
      <c r="G471" s="86"/>
      <c r="H471" s="86"/>
      <c r="I471" s="65" t="s">
        <v>99</v>
      </c>
      <c r="J471" s="86"/>
      <c r="K471" s="86"/>
      <c r="L471" s="86"/>
      <c r="M471" s="86"/>
      <c r="N471" s="86"/>
      <c r="O471" s="86"/>
      <c r="P471" s="86"/>
      <c r="Q471" s="86"/>
      <c r="R471" s="66"/>
      <c r="S471" s="66"/>
      <c r="T471" s="66"/>
      <c r="U471" s="66"/>
      <c r="V471" s="66"/>
      <c r="W471" s="66"/>
      <c r="X471" s="66"/>
      <c r="Y471" s="66"/>
      <c r="Z471" s="66"/>
      <c r="AA471" s="66"/>
      <c r="AB471" s="66"/>
      <c r="AC471" s="66"/>
    </row>
    <row r="472" spans="1:29" x14ac:dyDescent="0.25">
      <c r="A472" s="207" t="s">
        <v>2</v>
      </c>
      <c r="B472" s="88"/>
      <c r="C472" s="89" t="s">
        <v>3</v>
      </c>
      <c r="D472" s="90"/>
      <c r="E472" s="88"/>
      <c r="F472" s="91" t="s">
        <v>4</v>
      </c>
      <c r="G472" s="90"/>
      <c r="H472" s="88"/>
      <c r="I472" s="89" t="s">
        <v>5</v>
      </c>
      <c r="J472" s="90"/>
      <c r="K472" s="88"/>
      <c r="L472" s="89" t="s">
        <v>6</v>
      </c>
      <c r="M472" s="90"/>
      <c r="N472" s="88"/>
      <c r="O472" s="89" t="s">
        <v>7</v>
      </c>
      <c r="P472" s="146"/>
      <c r="Q472" s="117"/>
      <c r="R472" s="118" t="s">
        <v>8</v>
      </c>
      <c r="S472" s="119"/>
      <c r="T472" s="117"/>
      <c r="U472" s="118" t="s">
        <v>9</v>
      </c>
      <c r="V472" s="223"/>
      <c r="W472" s="247" t="s">
        <v>10</v>
      </c>
      <c r="X472" s="248"/>
      <c r="Y472" s="66"/>
      <c r="Z472" s="66"/>
      <c r="AA472" s="66"/>
      <c r="AB472" s="66"/>
      <c r="AC472" s="66"/>
    </row>
    <row r="473" spans="1:29" ht="15.75" thickBot="1" x14ac:dyDescent="0.3">
      <c r="A473" s="144" t="s">
        <v>11</v>
      </c>
      <c r="B473" s="208" t="s">
        <v>12</v>
      </c>
      <c r="C473" s="187" t="s">
        <v>13</v>
      </c>
      <c r="D473" s="187" t="s">
        <v>14</v>
      </c>
      <c r="E473" s="187" t="s">
        <v>12</v>
      </c>
      <c r="F473" s="187" t="s">
        <v>13</v>
      </c>
      <c r="G473" s="187" t="s">
        <v>14</v>
      </c>
      <c r="H473" s="187" t="s">
        <v>12</v>
      </c>
      <c r="I473" s="187" t="s">
        <v>13</v>
      </c>
      <c r="J473" s="187" t="s">
        <v>14</v>
      </c>
      <c r="K473" s="187" t="s">
        <v>12</v>
      </c>
      <c r="L473" s="187" t="s">
        <v>13</v>
      </c>
      <c r="M473" s="187" t="s">
        <v>14</v>
      </c>
      <c r="N473" s="187" t="s">
        <v>12</v>
      </c>
      <c r="O473" s="187" t="s">
        <v>13</v>
      </c>
      <c r="P473" s="187" t="s">
        <v>14</v>
      </c>
      <c r="Q473" s="187" t="s">
        <v>12</v>
      </c>
      <c r="R473" s="187" t="s">
        <v>13</v>
      </c>
      <c r="S473" s="187" t="s">
        <v>14</v>
      </c>
      <c r="T473" s="187" t="s">
        <v>12</v>
      </c>
      <c r="U473" s="187" t="s">
        <v>13</v>
      </c>
      <c r="V473" s="233" t="s">
        <v>14</v>
      </c>
      <c r="W473" s="249" t="s">
        <v>12</v>
      </c>
      <c r="X473" s="226" t="s">
        <v>14</v>
      </c>
      <c r="Y473" s="66"/>
      <c r="Z473" s="66"/>
      <c r="AA473" s="66"/>
      <c r="AB473" s="66"/>
      <c r="AC473" s="66"/>
    </row>
    <row r="474" spans="1:29" ht="15.75" thickTop="1" x14ac:dyDescent="0.25">
      <c r="A474" s="211" t="s">
        <v>15</v>
      </c>
      <c r="B474" s="131">
        <v>139147</v>
      </c>
      <c r="C474" s="131">
        <v>470</v>
      </c>
      <c r="D474" s="131">
        <f>B474*C474/1000</f>
        <v>65399.09</v>
      </c>
      <c r="E474" s="131">
        <v>65686</v>
      </c>
      <c r="F474" s="131">
        <v>400</v>
      </c>
      <c r="G474" s="131">
        <f>E474*F474/1000</f>
        <v>26274.400000000001</v>
      </c>
      <c r="H474" s="250" t="s">
        <v>18</v>
      </c>
      <c r="I474" s="250" t="s">
        <v>18</v>
      </c>
      <c r="J474" s="250" t="s">
        <v>18</v>
      </c>
      <c r="K474" s="250" t="s">
        <v>18</v>
      </c>
      <c r="L474" s="250" t="s">
        <v>18</v>
      </c>
      <c r="M474" s="250" t="s">
        <v>18</v>
      </c>
      <c r="N474" s="250" t="s">
        <v>18</v>
      </c>
      <c r="O474" s="250" t="s">
        <v>18</v>
      </c>
      <c r="P474" s="250" t="s">
        <v>18</v>
      </c>
      <c r="Q474" s="250" t="s">
        <v>18</v>
      </c>
      <c r="R474" s="250" t="s">
        <v>18</v>
      </c>
      <c r="S474" s="250" t="s">
        <v>18</v>
      </c>
      <c r="T474" s="250" t="s">
        <v>18</v>
      </c>
      <c r="U474" s="250" t="s">
        <v>18</v>
      </c>
      <c r="V474" s="251" t="s">
        <v>18</v>
      </c>
      <c r="W474" s="131">
        <f>SUM(B474+E474)</f>
        <v>204833</v>
      </c>
      <c r="X474" s="131">
        <f>SUM(D474+G474)</f>
        <v>91673.489999999991</v>
      </c>
      <c r="Y474" s="66"/>
      <c r="Z474" s="66"/>
      <c r="AA474" s="66"/>
      <c r="AB474" s="66"/>
      <c r="AC474" s="66"/>
    </row>
    <row r="475" spans="1:29" x14ac:dyDescent="0.25">
      <c r="A475" s="213" t="s">
        <v>16</v>
      </c>
      <c r="B475" s="250" t="s">
        <v>18</v>
      </c>
      <c r="C475" s="250" t="s">
        <v>18</v>
      </c>
      <c r="D475" s="250" t="s">
        <v>18</v>
      </c>
      <c r="E475" s="250" t="s">
        <v>18</v>
      </c>
      <c r="F475" s="250" t="s">
        <v>18</v>
      </c>
      <c r="G475" s="250" t="s">
        <v>18</v>
      </c>
      <c r="H475" s="250" t="s">
        <v>18</v>
      </c>
      <c r="I475" s="250" t="s">
        <v>18</v>
      </c>
      <c r="J475" s="250" t="s">
        <v>18</v>
      </c>
      <c r="K475" s="250" t="s">
        <v>18</v>
      </c>
      <c r="L475" s="250" t="s">
        <v>18</v>
      </c>
      <c r="M475" s="250" t="s">
        <v>18</v>
      </c>
      <c r="N475" s="250" t="s">
        <v>18</v>
      </c>
      <c r="O475" s="250" t="s">
        <v>18</v>
      </c>
      <c r="P475" s="250" t="s">
        <v>18</v>
      </c>
      <c r="Q475" s="250" t="s">
        <v>18</v>
      </c>
      <c r="R475" s="250" t="s">
        <v>18</v>
      </c>
      <c r="S475" s="250" t="s">
        <v>18</v>
      </c>
      <c r="T475" s="250" t="s">
        <v>18</v>
      </c>
      <c r="U475" s="250" t="s">
        <v>18</v>
      </c>
      <c r="V475" s="251" t="s">
        <v>18</v>
      </c>
      <c r="W475" s="250" t="s">
        <v>18</v>
      </c>
      <c r="X475" s="250" t="s">
        <v>18</v>
      </c>
      <c r="Y475" s="66"/>
      <c r="Z475" s="66"/>
      <c r="AA475" s="66"/>
      <c r="AB475" s="66"/>
      <c r="AC475" s="66"/>
    </row>
    <row r="476" spans="1:29" x14ac:dyDescent="0.25">
      <c r="A476" s="213" t="s">
        <v>17</v>
      </c>
      <c r="B476" s="123">
        <v>75719</v>
      </c>
      <c r="C476" s="123">
        <v>460</v>
      </c>
      <c r="D476" s="131">
        <f t="shared" ref="D476:D488" si="28">B476*C476/1000</f>
        <v>34830.74</v>
      </c>
      <c r="E476" s="123">
        <v>8358</v>
      </c>
      <c r="F476" s="123">
        <v>256</v>
      </c>
      <c r="G476" s="131">
        <f t="shared" ref="G476:G482" si="29">E476*F476/1000</f>
        <v>2139.6480000000001</v>
      </c>
      <c r="H476" s="250" t="s">
        <v>18</v>
      </c>
      <c r="I476" s="250" t="s">
        <v>18</v>
      </c>
      <c r="J476" s="250" t="s">
        <v>18</v>
      </c>
      <c r="K476" s="250" t="s">
        <v>18</v>
      </c>
      <c r="L476" s="250" t="s">
        <v>18</v>
      </c>
      <c r="M476" s="250" t="s">
        <v>18</v>
      </c>
      <c r="N476" s="250" t="s">
        <v>18</v>
      </c>
      <c r="O476" s="250" t="s">
        <v>18</v>
      </c>
      <c r="P476" s="250" t="s">
        <v>18</v>
      </c>
      <c r="Q476" s="250" t="s">
        <v>18</v>
      </c>
      <c r="R476" s="250" t="s">
        <v>18</v>
      </c>
      <c r="S476" s="250" t="s">
        <v>18</v>
      </c>
      <c r="T476" s="250" t="s">
        <v>18</v>
      </c>
      <c r="U476" s="250" t="s">
        <v>18</v>
      </c>
      <c r="V476" s="251" t="s">
        <v>18</v>
      </c>
      <c r="W476" s="123">
        <f>SUM(B476+E476)</f>
        <v>84077</v>
      </c>
      <c r="X476" s="123">
        <f>SUM(D476+G476)</f>
        <v>36970.387999999999</v>
      </c>
      <c r="Y476" s="66"/>
      <c r="Z476" s="66"/>
      <c r="AA476" s="66"/>
      <c r="AB476" s="66"/>
      <c r="AC476" s="66"/>
    </row>
    <row r="477" spans="1:29" x14ac:dyDescent="0.25">
      <c r="A477" s="213" t="s">
        <v>19</v>
      </c>
      <c r="B477" s="123">
        <v>176841</v>
      </c>
      <c r="C477" s="123">
        <v>754</v>
      </c>
      <c r="D477" s="131">
        <f t="shared" si="28"/>
        <v>133338.114</v>
      </c>
      <c r="E477" s="123">
        <v>195432</v>
      </c>
      <c r="F477" s="123">
        <v>890</v>
      </c>
      <c r="G477" s="131">
        <f t="shared" si="29"/>
        <v>173934.48</v>
      </c>
      <c r="H477" s="238">
        <v>39161</v>
      </c>
      <c r="I477" s="238">
        <v>745</v>
      </c>
      <c r="J477" s="123">
        <f t="shared" ref="J477:J482" si="30">H477*I477/1000</f>
        <v>29174.945</v>
      </c>
      <c r="K477" s="123">
        <v>1547</v>
      </c>
      <c r="L477" s="123">
        <v>3239</v>
      </c>
      <c r="M477" s="123">
        <f>K477*L477/1000</f>
        <v>5010.7330000000002</v>
      </c>
      <c r="N477" s="123">
        <v>31000</v>
      </c>
      <c r="O477" s="123">
        <v>800</v>
      </c>
      <c r="P477" s="123">
        <f>N477*O477/1000</f>
        <v>24800</v>
      </c>
      <c r="Q477" s="250" t="s">
        <v>18</v>
      </c>
      <c r="R477" s="250" t="s">
        <v>18</v>
      </c>
      <c r="S477" s="250" t="s">
        <v>18</v>
      </c>
      <c r="T477" s="250" t="s">
        <v>18</v>
      </c>
      <c r="U477" s="250" t="s">
        <v>18</v>
      </c>
      <c r="V477" s="251" t="s">
        <v>18</v>
      </c>
      <c r="W477" s="123">
        <f>SUM(B477+E477+H477+K477+N477)</f>
        <v>443981</v>
      </c>
      <c r="X477" s="123">
        <f>SUM(D477+G477+J477+M477+P477)</f>
        <v>366258.27200000006</v>
      </c>
      <c r="Y477" s="66"/>
      <c r="Z477" s="66"/>
      <c r="AA477" s="66"/>
      <c r="AB477" s="66"/>
      <c r="AC477" s="66"/>
    </row>
    <row r="478" spans="1:29" x14ac:dyDescent="0.25">
      <c r="A478" s="213" t="s">
        <v>20</v>
      </c>
      <c r="B478" s="123">
        <v>31235</v>
      </c>
      <c r="C478" s="123">
        <v>600</v>
      </c>
      <c r="D478" s="131">
        <f t="shared" si="28"/>
        <v>18741</v>
      </c>
      <c r="E478" s="123">
        <v>61307</v>
      </c>
      <c r="F478" s="123">
        <v>643</v>
      </c>
      <c r="G478" s="131">
        <f t="shared" si="29"/>
        <v>39420.400999999998</v>
      </c>
      <c r="H478" s="238">
        <v>762</v>
      </c>
      <c r="I478" s="238">
        <v>700</v>
      </c>
      <c r="J478" s="123">
        <f t="shared" si="30"/>
        <v>533.4</v>
      </c>
      <c r="K478" s="123">
        <v>276</v>
      </c>
      <c r="L478" s="123">
        <v>1480</v>
      </c>
      <c r="M478" s="123">
        <f>K478*L478/1000</f>
        <v>408.48</v>
      </c>
      <c r="N478" s="123">
        <v>29030</v>
      </c>
      <c r="O478" s="123">
        <v>790</v>
      </c>
      <c r="P478" s="123">
        <f>N478*O478/1000</f>
        <v>22933.7</v>
      </c>
      <c r="Q478" s="250" t="s">
        <v>18</v>
      </c>
      <c r="R478" s="250" t="s">
        <v>18</v>
      </c>
      <c r="S478" s="250" t="s">
        <v>18</v>
      </c>
      <c r="T478" s="250" t="s">
        <v>18</v>
      </c>
      <c r="U478" s="250" t="s">
        <v>18</v>
      </c>
      <c r="V478" s="251" t="s">
        <v>18</v>
      </c>
      <c r="W478" s="123">
        <f>SUM(B478+E478+H478+K478+N478)</f>
        <v>122610</v>
      </c>
      <c r="X478" s="123">
        <f>SUM(D478+G478+J478+M478+P478)</f>
        <v>82036.981</v>
      </c>
      <c r="Y478" s="66"/>
      <c r="Z478" s="66"/>
      <c r="AA478" s="66"/>
      <c r="AB478" s="66"/>
      <c r="AC478" s="66"/>
    </row>
    <row r="479" spans="1:29" x14ac:dyDescent="0.25">
      <c r="A479" s="213" t="s">
        <v>21</v>
      </c>
      <c r="B479" s="123">
        <v>39120</v>
      </c>
      <c r="C479" s="123">
        <v>200</v>
      </c>
      <c r="D479" s="131">
        <f t="shared" si="28"/>
        <v>7824</v>
      </c>
      <c r="E479" s="250" t="s">
        <v>18</v>
      </c>
      <c r="F479" s="250" t="s">
        <v>18</v>
      </c>
      <c r="G479" s="250" t="s">
        <v>18</v>
      </c>
      <c r="H479" s="238">
        <v>4750</v>
      </c>
      <c r="I479" s="238">
        <v>500</v>
      </c>
      <c r="J479" s="123">
        <f t="shared" si="30"/>
        <v>2375</v>
      </c>
      <c r="K479" s="250" t="s">
        <v>18</v>
      </c>
      <c r="L479" s="250" t="s">
        <v>18</v>
      </c>
      <c r="M479" s="250" t="s">
        <v>18</v>
      </c>
      <c r="N479" s="250" t="s">
        <v>18</v>
      </c>
      <c r="O479" s="250" t="s">
        <v>18</v>
      </c>
      <c r="P479" s="250" t="s">
        <v>18</v>
      </c>
      <c r="Q479" s="250" t="s">
        <v>18</v>
      </c>
      <c r="R479" s="250" t="s">
        <v>18</v>
      </c>
      <c r="S479" s="250" t="s">
        <v>18</v>
      </c>
      <c r="T479" s="250" t="s">
        <v>18</v>
      </c>
      <c r="U479" s="250" t="s">
        <v>18</v>
      </c>
      <c r="V479" s="251" t="s">
        <v>18</v>
      </c>
      <c r="W479" s="123">
        <f>SUM(B479+H479)</f>
        <v>43870</v>
      </c>
      <c r="X479" s="123">
        <f>SUM(D479+J479)</f>
        <v>10199</v>
      </c>
      <c r="Y479" s="66"/>
      <c r="Z479" s="66"/>
      <c r="AA479" s="66"/>
      <c r="AB479" s="66"/>
      <c r="AC479" s="66"/>
    </row>
    <row r="480" spans="1:29" x14ac:dyDescent="0.25">
      <c r="A480" s="213" t="s">
        <v>22</v>
      </c>
      <c r="B480" s="123">
        <v>70074</v>
      </c>
      <c r="C480" s="123">
        <v>500</v>
      </c>
      <c r="D480" s="131">
        <f t="shared" si="28"/>
        <v>35037</v>
      </c>
      <c r="E480" s="133">
        <v>20556</v>
      </c>
      <c r="F480" s="238">
        <v>1000</v>
      </c>
      <c r="G480" s="131">
        <f t="shared" si="29"/>
        <v>20556</v>
      </c>
      <c r="H480" s="238">
        <v>23084</v>
      </c>
      <c r="I480" s="238">
        <v>1500</v>
      </c>
      <c r="J480" s="123">
        <f t="shared" si="30"/>
        <v>34626</v>
      </c>
      <c r="K480" s="250" t="s">
        <v>18</v>
      </c>
      <c r="L480" s="250" t="s">
        <v>18</v>
      </c>
      <c r="M480" s="250" t="s">
        <v>18</v>
      </c>
      <c r="N480" s="250" t="s">
        <v>18</v>
      </c>
      <c r="O480" s="250" t="s">
        <v>18</v>
      </c>
      <c r="P480" s="250" t="s">
        <v>18</v>
      </c>
      <c r="Q480" s="133">
        <v>1865</v>
      </c>
      <c r="R480" s="133">
        <v>1000</v>
      </c>
      <c r="S480" s="123">
        <f>Q480*R480/1000</f>
        <v>1865</v>
      </c>
      <c r="T480" s="250" t="s">
        <v>18</v>
      </c>
      <c r="U480" s="250" t="s">
        <v>18</v>
      </c>
      <c r="V480" s="251" t="s">
        <v>18</v>
      </c>
      <c r="W480" s="123">
        <f>SUM(B480+E480+H480+Q480)</f>
        <v>115579</v>
      </c>
      <c r="X480" s="123">
        <f>SUM(D480+G480+J480+S480)</f>
        <v>92084</v>
      </c>
      <c r="Y480" s="66"/>
      <c r="Z480" s="66"/>
      <c r="AA480" s="66"/>
      <c r="AB480" s="66"/>
      <c r="AC480" s="66"/>
    </row>
    <row r="481" spans="1:29" x14ac:dyDescent="0.25">
      <c r="A481" s="213" t="s">
        <v>23</v>
      </c>
      <c r="B481" s="123">
        <v>127650</v>
      </c>
      <c r="C481" s="123">
        <v>640</v>
      </c>
      <c r="D481" s="131">
        <f t="shared" si="28"/>
        <v>81696</v>
      </c>
      <c r="E481" s="123">
        <v>63012</v>
      </c>
      <c r="F481" s="238">
        <v>767</v>
      </c>
      <c r="G481" s="131">
        <f t="shared" si="29"/>
        <v>48330.203999999998</v>
      </c>
      <c r="H481" s="252" t="s">
        <v>18</v>
      </c>
      <c r="I481" s="252" t="s">
        <v>18</v>
      </c>
      <c r="J481" s="253" t="s">
        <v>100</v>
      </c>
      <c r="K481" s="250" t="s">
        <v>18</v>
      </c>
      <c r="L481" s="250" t="s">
        <v>18</v>
      </c>
      <c r="M481" s="250" t="s">
        <v>18</v>
      </c>
      <c r="N481" s="250">
        <v>51650</v>
      </c>
      <c r="O481" s="250">
        <v>896</v>
      </c>
      <c r="P481" s="123">
        <f>N481*O481/1000</f>
        <v>46278.400000000001</v>
      </c>
      <c r="Q481" s="250" t="s">
        <v>18</v>
      </c>
      <c r="R481" s="250" t="s">
        <v>18</v>
      </c>
      <c r="S481" s="250" t="s">
        <v>18</v>
      </c>
      <c r="T481" s="250" t="s">
        <v>18</v>
      </c>
      <c r="U481" s="250" t="s">
        <v>18</v>
      </c>
      <c r="V481" s="251" t="s">
        <v>18</v>
      </c>
      <c r="W481" s="123">
        <f>SUM(B481+E481+N481)</f>
        <v>242312</v>
      </c>
      <c r="X481" s="254">
        <f>SUM(D481+G481+P481)</f>
        <v>176304.60399999999</v>
      </c>
      <c r="Y481" s="66"/>
      <c r="Z481" s="66"/>
      <c r="AA481" s="66"/>
      <c r="AB481" s="66"/>
      <c r="AC481" s="66"/>
    </row>
    <row r="482" spans="1:29" x14ac:dyDescent="0.25">
      <c r="A482" s="213" t="s">
        <v>24</v>
      </c>
      <c r="B482" s="123">
        <v>5740</v>
      </c>
      <c r="C482" s="123">
        <v>733</v>
      </c>
      <c r="D482" s="131">
        <f t="shared" si="28"/>
        <v>4207.42</v>
      </c>
      <c r="E482" s="123">
        <v>33981</v>
      </c>
      <c r="F482" s="123">
        <v>1500</v>
      </c>
      <c r="G482" s="131">
        <f t="shared" si="29"/>
        <v>50971.5</v>
      </c>
      <c r="H482" s="238">
        <v>13940</v>
      </c>
      <c r="I482" s="238">
        <v>1500</v>
      </c>
      <c r="J482" s="123">
        <f t="shared" si="30"/>
        <v>20910</v>
      </c>
      <c r="K482" s="123">
        <v>14780</v>
      </c>
      <c r="L482" s="123">
        <v>700</v>
      </c>
      <c r="M482" s="123">
        <f>K482*L482/1000</f>
        <v>10346</v>
      </c>
      <c r="N482" s="123">
        <v>258100</v>
      </c>
      <c r="O482" s="123">
        <v>1000</v>
      </c>
      <c r="P482" s="123">
        <f>N482*O482/1000</f>
        <v>258100</v>
      </c>
      <c r="Q482" s="250" t="s">
        <v>18</v>
      </c>
      <c r="R482" s="250" t="s">
        <v>18</v>
      </c>
      <c r="S482" s="250" t="s">
        <v>18</v>
      </c>
      <c r="T482" s="250" t="s">
        <v>18</v>
      </c>
      <c r="U482" s="250" t="s">
        <v>18</v>
      </c>
      <c r="V482" s="251" t="s">
        <v>18</v>
      </c>
      <c r="W482" s="123">
        <f>SUM(B482+E482+H482+K482+N482)</f>
        <v>326541</v>
      </c>
      <c r="X482" s="254">
        <f>SUM(D482+G482+J482+M482+P482)</f>
        <v>344534.92</v>
      </c>
      <c r="Y482" s="66"/>
      <c r="Z482" s="66"/>
      <c r="AA482" s="66"/>
      <c r="AB482" s="66"/>
      <c r="AC482" s="66"/>
    </row>
    <row r="483" spans="1:29" x14ac:dyDescent="0.25">
      <c r="A483" s="215" t="s">
        <v>85</v>
      </c>
      <c r="B483" s="135">
        <f>SUM(B474:B482)</f>
        <v>665526</v>
      </c>
      <c r="C483" s="135"/>
      <c r="D483" s="135">
        <f>SUM(D474:D482)</f>
        <v>381073.364</v>
      </c>
      <c r="E483" s="135">
        <f>SUM(E474:E482)</f>
        <v>448332</v>
      </c>
      <c r="F483" s="135"/>
      <c r="G483" s="135">
        <f>SUM(G474:G482)</f>
        <v>361626.63300000003</v>
      </c>
      <c r="H483" s="246">
        <f>SUM(H477:H482)</f>
        <v>81697</v>
      </c>
      <c r="I483" s="246"/>
      <c r="J483" s="135">
        <f>SUM(J477:J482)</f>
        <v>87619.345000000001</v>
      </c>
      <c r="K483" s="135">
        <f>SUM(K477:K482)</f>
        <v>16603</v>
      </c>
      <c r="L483" s="135"/>
      <c r="M483" s="135">
        <f>SUM(M477:M482)</f>
        <v>15765.213</v>
      </c>
      <c r="N483" s="135">
        <f>SUM(N474:N482)</f>
        <v>369780</v>
      </c>
      <c r="O483" s="135"/>
      <c r="P483" s="135">
        <f>SUM(P474:P482)</f>
        <v>352112.1</v>
      </c>
      <c r="Q483" s="216">
        <f>SUM(Q474:Q482)</f>
        <v>1865</v>
      </c>
      <c r="R483" s="216"/>
      <c r="S483" s="216">
        <f>SUM(S474:S482)</f>
        <v>1865</v>
      </c>
      <c r="T483" s="216"/>
      <c r="U483" s="216"/>
      <c r="V483" s="255"/>
      <c r="W483" s="135">
        <f>SUM(W474:W482)</f>
        <v>1583803</v>
      </c>
      <c r="X483" s="256">
        <f>SUM(X474:X482)</f>
        <v>1200061.655</v>
      </c>
      <c r="Y483" s="66"/>
      <c r="Z483" s="66"/>
      <c r="AA483" s="66"/>
      <c r="AB483" s="66"/>
      <c r="AC483" s="66"/>
    </row>
    <row r="484" spans="1:29" x14ac:dyDescent="0.25">
      <c r="A484" s="213" t="s">
        <v>26</v>
      </c>
      <c r="B484" s="123">
        <v>57122</v>
      </c>
      <c r="C484" s="123">
        <v>800</v>
      </c>
      <c r="D484" s="131">
        <f t="shared" si="28"/>
        <v>45697.599999999999</v>
      </c>
      <c r="E484" s="123">
        <v>178522</v>
      </c>
      <c r="F484" s="123">
        <v>926</v>
      </c>
      <c r="G484" s="131">
        <f>E484*F484/1000</f>
        <v>165311.372</v>
      </c>
      <c r="H484" s="238">
        <v>39132</v>
      </c>
      <c r="I484" s="238">
        <v>887</v>
      </c>
      <c r="J484" s="123">
        <f>H484*I484/1000</f>
        <v>34710.084000000003</v>
      </c>
      <c r="K484" s="123">
        <v>38876</v>
      </c>
      <c r="L484" s="123">
        <v>876</v>
      </c>
      <c r="M484" s="123">
        <f>K484*L484/1000</f>
        <v>34055.375999999997</v>
      </c>
      <c r="N484" s="123">
        <v>30000</v>
      </c>
      <c r="O484" s="123">
        <v>800</v>
      </c>
      <c r="P484" s="123">
        <f>N484*O484/1000</f>
        <v>24000</v>
      </c>
      <c r="Q484" s="250" t="s">
        <v>18</v>
      </c>
      <c r="R484" s="250" t="s">
        <v>18</v>
      </c>
      <c r="S484" s="250" t="s">
        <v>18</v>
      </c>
      <c r="T484" s="250" t="s">
        <v>18</v>
      </c>
      <c r="U484" s="250" t="s">
        <v>18</v>
      </c>
      <c r="V484" s="251" t="s">
        <v>18</v>
      </c>
      <c r="W484" s="123">
        <f>SUM(B484+E484+H484+K484+N484)</f>
        <v>343652</v>
      </c>
      <c r="X484" s="254">
        <f>SUM(D484+G484+J484+M484+P484)</f>
        <v>303774.43200000003</v>
      </c>
      <c r="Y484" s="66"/>
      <c r="Z484" s="66"/>
      <c r="AA484" s="66"/>
      <c r="AB484" s="66"/>
      <c r="AC484" s="66"/>
    </row>
    <row r="485" spans="1:29" x14ac:dyDescent="0.25">
      <c r="A485" s="213" t="s">
        <v>27</v>
      </c>
      <c r="B485" s="123">
        <v>41023</v>
      </c>
      <c r="C485" s="123">
        <v>580</v>
      </c>
      <c r="D485" s="131">
        <f t="shared" si="28"/>
        <v>23793.34</v>
      </c>
      <c r="E485" s="123">
        <v>61072</v>
      </c>
      <c r="F485" s="123">
        <v>720</v>
      </c>
      <c r="G485" s="131">
        <f>E485*F485/1000</f>
        <v>43971.839999999997</v>
      </c>
      <c r="H485" s="238">
        <v>13444</v>
      </c>
      <c r="I485" s="238">
        <v>900</v>
      </c>
      <c r="J485" s="123">
        <f>H485*I485/1000</f>
        <v>12099.6</v>
      </c>
      <c r="K485" s="123">
        <v>26148</v>
      </c>
      <c r="L485" s="123">
        <v>1200</v>
      </c>
      <c r="M485" s="123">
        <f>K485*L485/1000</f>
        <v>31377.599999999999</v>
      </c>
      <c r="N485" s="123">
        <v>8500</v>
      </c>
      <c r="O485" s="123">
        <v>800</v>
      </c>
      <c r="P485" s="123">
        <f>N485*O485/1000</f>
        <v>6800</v>
      </c>
      <c r="Q485" s="250" t="s">
        <v>18</v>
      </c>
      <c r="R485" s="250" t="s">
        <v>18</v>
      </c>
      <c r="S485" s="250" t="s">
        <v>18</v>
      </c>
      <c r="T485" s="250" t="s">
        <v>18</v>
      </c>
      <c r="U485" s="250" t="s">
        <v>18</v>
      </c>
      <c r="V485" s="251" t="s">
        <v>18</v>
      </c>
      <c r="W485" s="123">
        <f>SUM(B485+E485+H485+K485+N485)</f>
        <v>150187</v>
      </c>
      <c r="X485" s="254">
        <f>SUM(D485+G485+J485+M485+P485)</f>
        <v>118042.38</v>
      </c>
      <c r="Y485" s="66"/>
      <c r="Z485" s="66"/>
      <c r="AA485" s="66"/>
      <c r="AB485" s="66"/>
      <c r="AC485" s="66"/>
    </row>
    <row r="486" spans="1:29" x14ac:dyDescent="0.25">
      <c r="A486" s="78" t="s">
        <v>71</v>
      </c>
      <c r="B486" s="123">
        <v>31881</v>
      </c>
      <c r="C486" s="123">
        <v>565</v>
      </c>
      <c r="D486" s="131">
        <f t="shared" si="28"/>
        <v>18012.764999999999</v>
      </c>
      <c r="E486" s="123">
        <v>44750</v>
      </c>
      <c r="F486" s="123">
        <v>832</v>
      </c>
      <c r="G486" s="131">
        <f>E486*F486/1000</f>
        <v>37232</v>
      </c>
      <c r="H486" s="238">
        <v>9659</v>
      </c>
      <c r="I486" s="238">
        <v>1007</v>
      </c>
      <c r="J486" s="123">
        <f>H486*I486/1000</f>
        <v>9726.6129999999994</v>
      </c>
      <c r="K486" s="123">
        <v>11203</v>
      </c>
      <c r="L486" s="123">
        <v>1495</v>
      </c>
      <c r="M486" s="123">
        <f>K486*L486/1000</f>
        <v>16748.485000000001</v>
      </c>
      <c r="N486" s="250" t="s">
        <v>18</v>
      </c>
      <c r="O486" s="250" t="s">
        <v>18</v>
      </c>
      <c r="P486" s="250" t="s">
        <v>18</v>
      </c>
      <c r="Q486" s="250" t="s">
        <v>18</v>
      </c>
      <c r="R486" s="250" t="s">
        <v>18</v>
      </c>
      <c r="S486" s="250" t="s">
        <v>18</v>
      </c>
      <c r="T486" s="250" t="s">
        <v>18</v>
      </c>
      <c r="U486" s="250" t="s">
        <v>18</v>
      </c>
      <c r="V486" s="251" t="s">
        <v>18</v>
      </c>
      <c r="W486" s="123">
        <f>SUM(B486+E486+H486+K486)</f>
        <v>97493</v>
      </c>
      <c r="X486" s="254">
        <f>SUM(D486+G486+J486+M486)</f>
        <v>81719.862999999998</v>
      </c>
      <c r="Y486" s="66"/>
      <c r="Z486" s="66"/>
      <c r="AA486" s="66"/>
      <c r="AB486" s="66"/>
      <c r="AC486" s="66"/>
    </row>
    <row r="487" spans="1:29" x14ac:dyDescent="0.25">
      <c r="A487" s="78" t="s">
        <v>72</v>
      </c>
      <c r="B487" s="123">
        <v>26375</v>
      </c>
      <c r="C487" s="123">
        <v>704</v>
      </c>
      <c r="D487" s="131">
        <f t="shared" si="28"/>
        <v>18568</v>
      </c>
      <c r="E487" s="123">
        <v>76808</v>
      </c>
      <c r="F487" s="123">
        <v>999</v>
      </c>
      <c r="G487" s="131">
        <f>E487*F487/1000</f>
        <v>76731.191999999995</v>
      </c>
      <c r="H487" s="238">
        <v>19200</v>
      </c>
      <c r="I487" s="238">
        <v>825</v>
      </c>
      <c r="J487" s="123">
        <f>H487*I487/1000</f>
        <v>15840</v>
      </c>
      <c r="K487" s="123">
        <v>10972</v>
      </c>
      <c r="L487" s="123">
        <v>974</v>
      </c>
      <c r="M487" s="123">
        <f>K487*L487/1000</f>
        <v>10686.727999999999</v>
      </c>
      <c r="N487" s="250" t="s">
        <v>18</v>
      </c>
      <c r="O487" s="250" t="s">
        <v>18</v>
      </c>
      <c r="P487" s="250" t="s">
        <v>18</v>
      </c>
      <c r="Q487" s="250" t="s">
        <v>18</v>
      </c>
      <c r="R487" s="250" t="s">
        <v>18</v>
      </c>
      <c r="S487" s="250" t="s">
        <v>18</v>
      </c>
      <c r="T487" s="250" t="s">
        <v>18</v>
      </c>
      <c r="U487" s="250" t="s">
        <v>18</v>
      </c>
      <c r="V487" s="251" t="s">
        <v>18</v>
      </c>
      <c r="W487" s="123">
        <f>SUM(B487+E487+H487+K487)</f>
        <v>133355</v>
      </c>
      <c r="X487" s="254">
        <f>SUM(D487+G487+J487+M487)</f>
        <v>121825.92</v>
      </c>
      <c r="Y487" s="66"/>
      <c r="Z487" s="66"/>
      <c r="AA487" s="66"/>
      <c r="AB487" s="66"/>
      <c r="AC487" s="66"/>
    </row>
    <row r="488" spans="1:29" x14ac:dyDescent="0.25">
      <c r="A488" s="78" t="s">
        <v>73</v>
      </c>
      <c r="B488" s="123">
        <v>87439</v>
      </c>
      <c r="C488" s="123">
        <v>684</v>
      </c>
      <c r="D488" s="131">
        <f t="shared" si="28"/>
        <v>59808.275999999998</v>
      </c>
      <c r="E488" s="123">
        <v>143827</v>
      </c>
      <c r="F488" s="123">
        <v>610</v>
      </c>
      <c r="G488" s="131">
        <f>E488*F488/1000</f>
        <v>87734.47</v>
      </c>
      <c r="H488" s="238">
        <v>16296</v>
      </c>
      <c r="I488" s="238">
        <v>840</v>
      </c>
      <c r="J488" s="123">
        <f>H488*I488/1000</f>
        <v>13688.64</v>
      </c>
      <c r="K488" s="123">
        <v>5702</v>
      </c>
      <c r="L488" s="123">
        <v>657</v>
      </c>
      <c r="M488" s="123">
        <f>K488*L488/1000</f>
        <v>3746.2139999999999</v>
      </c>
      <c r="N488" s="123">
        <v>800</v>
      </c>
      <c r="O488" s="123">
        <v>900</v>
      </c>
      <c r="P488" s="123">
        <f>N488*O488/1000</f>
        <v>720</v>
      </c>
      <c r="Q488" s="250" t="s">
        <v>18</v>
      </c>
      <c r="R488" s="250" t="s">
        <v>18</v>
      </c>
      <c r="S488" s="250" t="s">
        <v>18</v>
      </c>
      <c r="T488" s="250" t="s">
        <v>18</v>
      </c>
      <c r="U488" s="250" t="s">
        <v>18</v>
      </c>
      <c r="V488" s="251" t="s">
        <v>18</v>
      </c>
      <c r="W488" s="123">
        <f>SUM(B488+E488+H488+K488+N488)</f>
        <v>254064</v>
      </c>
      <c r="X488" s="254">
        <f>SUM(D488+G488+J488+M488+P488)</f>
        <v>165697.60000000001</v>
      </c>
      <c r="Y488" s="66"/>
      <c r="Z488" s="66"/>
      <c r="AA488" s="66"/>
      <c r="AB488" s="66"/>
      <c r="AC488" s="66"/>
    </row>
    <row r="489" spans="1:29" x14ac:dyDescent="0.25">
      <c r="A489" s="218" t="s">
        <v>86</v>
      </c>
      <c r="B489" s="135">
        <f>SUM(B484:B488)</f>
        <v>243840</v>
      </c>
      <c r="C489" s="135"/>
      <c r="D489" s="219">
        <f>SUM(D484:D488)</f>
        <v>165879.981</v>
      </c>
      <c r="E489" s="135">
        <f>SUM(E484:E488)</f>
        <v>504979</v>
      </c>
      <c r="F489" s="135"/>
      <c r="G489" s="135">
        <f>SUM(G484:G488)</f>
        <v>410980.87399999995</v>
      </c>
      <c r="H489" s="135">
        <f>SUM(H484:H488)</f>
        <v>97731</v>
      </c>
      <c r="I489" s="135"/>
      <c r="J489" s="135">
        <f>SUM(J484:J488)</f>
        <v>86064.936999999991</v>
      </c>
      <c r="K489" s="135">
        <f>SUM(K484:K488)</f>
        <v>92901</v>
      </c>
      <c r="L489" s="135"/>
      <c r="M489" s="135">
        <f>SUM(M484:M488)</f>
        <v>96614.402999999991</v>
      </c>
      <c r="N489" s="135">
        <f>SUM(N484:N488)</f>
        <v>39300</v>
      </c>
      <c r="O489" s="135"/>
      <c r="P489" s="135">
        <f>SUM(P484:P488)</f>
        <v>31520</v>
      </c>
      <c r="Q489" s="216">
        <f>SUM(Q484:Q488)</f>
        <v>0</v>
      </c>
      <c r="R489" s="216"/>
      <c r="S489" s="216">
        <f>SUM(S484:S488)</f>
        <v>0</v>
      </c>
      <c r="T489" s="135"/>
      <c r="U489" s="216"/>
      <c r="V489" s="231"/>
      <c r="W489" s="135">
        <f>SUM(W484:W488)</f>
        <v>978751</v>
      </c>
      <c r="X489" s="256">
        <f>SUM(X484:X488)</f>
        <v>791060.19500000007</v>
      </c>
      <c r="Y489" s="66"/>
      <c r="Z489" s="66"/>
      <c r="AA489" s="66"/>
      <c r="AB489" s="66"/>
      <c r="AC489" s="66"/>
    </row>
    <row r="490" spans="1:29" x14ac:dyDescent="0.25">
      <c r="A490" s="213" t="s">
        <v>32</v>
      </c>
      <c r="B490" s="123">
        <f>B483+B489</f>
        <v>909366</v>
      </c>
      <c r="C490" s="123"/>
      <c r="D490" s="123">
        <f>D483+D489</f>
        <v>546953.34499999997</v>
      </c>
      <c r="E490" s="123">
        <f>E483+E489</f>
        <v>953311</v>
      </c>
      <c r="F490" s="123"/>
      <c r="G490" s="123">
        <f>G483+G489</f>
        <v>772607.50699999998</v>
      </c>
      <c r="H490" s="123">
        <f>H483+H489</f>
        <v>179428</v>
      </c>
      <c r="I490" s="123"/>
      <c r="J490" s="123">
        <f>J483+J489</f>
        <v>173684.28200000001</v>
      </c>
      <c r="K490" s="123">
        <f>K483+K489</f>
        <v>109504</v>
      </c>
      <c r="L490" s="123"/>
      <c r="M490" s="123">
        <f>M483+M489</f>
        <v>112379.61599999999</v>
      </c>
      <c r="N490" s="123">
        <f>N483+N489</f>
        <v>409080</v>
      </c>
      <c r="O490" s="123"/>
      <c r="P490" s="123">
        <f>P483+P489</f>
        <v>383632.1</v>
      </c>
      <c r="Q490" s="123">
        <f>Q483+Q489</f>
        <v>1865</v>
      </c>
      <c r="R490" s="214"/>
      <c r="S490" s="123">
        <f>S483+S489</f>
        <v>1865</v>
      </c>
      <c r="T490" s="123">
        <f>T483+T489</f>
        <v>0</v>
      </c>
      <c r="U490" s="214"/>
      <c r="V490" s="224">
        <f>V483+V489</f>
        <v>0</v>
      </c>
      <c r="W490" s="123">
        <f>SUM(B490+E490+H490+K490+N490+Q490)</f>
        <v>2562554</v>
      </c>
      <c r="X490" s="257">
        <f>SUM(D490+G490+J490+M490+P490+S490)</f>
        <v>1991121.85</v>
      </c>
      <c r="Y490" s="66"/>
      <c r="Z490" s="66"/>
      <c r="AA490" s="66"/>
      <c r="AB490" s="66"/>
      <c r="AC490" s="66"/>
    </row>
    <row r="491" spans="1:29" x14ac:dyDescent="0.25">
      <c r="A491" s="66"/>
      <c r="B491" s="66"/>
      <c r="C491" s="66"/>
      <c r="D491" s="66"/>
      <c r="E491" s="66"/>
      <c r="F491" s="66"/>
      <c r="G491" s="66"/>
      <c r="H491" s="66"/>
      <c r="I491" s="66"/>
      <c r="J491" s="66"/>
      <c r="K491" s="66"/>
      <c r="L491" s="66"/>
      <c r="M491" s="66"/>
      <c r="N491" s="66"/>
      <c r="O491" s="66"/>
      <c r="P491" s="66"/>
      <c r="Q491" s="66"/>
      <c r="R491" s="66"/>
      <c r="S491" s="66"/>
      <c r="T491" s="66"/>
      <c r="U491" s="66"/>
      <c r="V491" s="66"/>
      <c r="W491" s="66"/>
      <c r="X491" s="66"/>
      <c r="Y491" s="66"/>
      <c r="Z491" s="66"/>
      <c r="AA491" s="66"/>
      <c r="AB491" s="66"/>
      <c r="AC491" s="66"/>
    </row>
    <row r="492" spans="1:29" x14ac:dyDescent="0.25">
      <c r="A492" s="65" t="s">
        <v>101</v>
      </c>
      <c r="B492" s="66"/>
      <c r="C492" s="86"/>
      <c r="D492" s="86"/>
      <c r="E492" s="86"/>
      <c r="F492" s="86"/>
      <c r="G492" s="86"/>
      <c r="H492" s="86"/>
      <c r="I492" s="86"/>
      <c r="J492" s="86"/>
      <c r="K492" s="86"/>
      <c r="L492" s="66"/>
      <c r="M492" s="87" t="s">
        <v>34</v>
      </c>
      <c r="N492" s="66"/>
      <c r="O492" s="66"/>
      <c r="P492" s="87" t="s">
        <v>102</v>
      </c>
      <c r="Q492" s="66"/>
      <c r="R492" s="86"/>
      <c r="S492" s="66"/>
      <c r="T492" s="86"/>
      <c r="U492" s="87" t="s">
        <v>36</v>
      </c>
      <c r="V492" s="86"/>
      <c r="W492" s="66"/>
      <c r="X492" s="66"/>
      <c r="Y492" s="66"/>
      <c r="Z492" s="66"/>
      <c r="AA492" s="66"/>
      <c r="AB492" s="66"/>
      <c r="AC492" s="66"/>
    </row>
    <row r="493" spans="1:29" x14ac:dyDescent="0.25">
      <c r="A493" s="222" t="s">
        <v>2</v>
      </c>
      <c r="B493" s="117"/>
      <c r="C493" s="118" t="s">
        <v>37</v>
      </c>
      <c r="D493" s="223"/>
      <c r="E493" s="117"/>
      <c r="F493" s="118" t="s">
        <v>38</v>
      </c>
      <c r="G493" s="119"/>
      <c r="H493" s="117"/>
      <c r="I493" s="118" t="s">
        <v>39</v>
      </c>
      <c r="J493" s="119"/>
      <c r="K493" s="117"/>
      <c r="L493" s="121" t="s">
        <v>40</v>
      </c>
      <c r="M493" s="119"/>
      <c r="N493" s="117"/>
      <c r="O493" s="121" t="s">
        <v>41</v>
      </c>
      <c r="P493" s="119"/>
      <c r="Q493" s="117"/>
      <c r="R493" s="121" t="s">
        <v>43</v>
      </c>
      <c r="S493" s="119"/>
      <c r="T493" s="117"/>
      <c r="U493" s="118" t="s">
        <v>54</v>
      </c>
      <c r="V493" s="119"/>
      <c r="W493" s="958" t="s">
        <v>44</v>
      </c>
      <c r="X493" s="960"/>
      <c r="Y493" s="66"/>
      <c r="Z493" s="66"/>
      <c r="AA493" s="66"/>
      <c r="AB493" s="66"/>
      <c r="AC493" s="66"/>
    </row>
    <row r="494" spans="1:29" ht="15.75" thickBot="1" x14ac:dyDescent="0.3">
      <c r="A494" s="104" t="s">
        <v>11</v>
      </c>
      <c r="B494" s="225" t="s">
        <v>12</v>
      </c>
      <c r="C494" s="225" t="s">
        <v>13</v>
      </c>
      <c r="D494" s="225" t="s">
        <v>14</v>
      </c>
      <c r="E494" s="226" t="s">
        <v>12</v>
      </c>
      <c r="F494" s="226" t="s">
        <v>13</v>
      </c>
      <c r="G494" s="226" t="s">
        <v>14</v>
      </c>
      <c r="H494" s="226" t="s">
        <v>12</v>
      </c>
      <c r="I494" s="226" t="s">
        <v>13</v>
      </c>
      <c r="J494" s="226" t="s">
        <v>14</v>
      </c>
      <c r="K494" s="226" t="s">
        <v>12</v>
      </c>
      <c r="L494" s="226" t="s">
        <v>13</v>
      </c>
      <c r="M494" s="226" t="s">
        <v>14</v>
      </c>
      <c r="N494" s="226" t="s">
        <v>12</v>
      </c>
      <c r="O494" s="226" t="s">
        <v>13</v>
      </c>
      <c r="P494" s="226" t="s">
        <v>14</v>
      </c>
      <c r="Q494" s="226" t="s">
        <v>12</v>
      </c>
      <c r="R494" s="226" t="s">
        <v>13</v>
      </c>
      <c r="S494" s="226" t="s">
        <v>14</v>
      </c>
      <c r="T494" s="226" t="s">
        <v>12</v>
      </c>
      <c r="U494" s="226" t="s">
        <v>13</v>
      </c>
      <c r="V494" s="226" t="s">
        <v>14</v>
      </c>
      <c r="W494" s="240" t="s">
        <v>12</v>
      </c>
      <c r="X494" s="226" t="s">
        <v>14</v>
      </c>
      <c r="Y494" s="66"/>
      <c r="Z494" s="66"/>
      <c r="AA494" s="66"/>
      <c r="AB494" s="66"/>
      <c r="AC494" s="66"/>
    </row>
    <row r="495" spans="1:29" ht="15.75" thickTop="1" x14ac:dyDescent="0.25">
      <c r="A495" s="211" t="s">
        <v>15</v>
      </c>
      <c r="B495" s="241">
        <v>10000</v>
      </c>
      <c r="C495" s="131">
        <v>500</v>
      </c>
      <c r="D495" s="131">
        <f>B495*C495/1000</f>
        <v>5000</v>
      </c>
      <c r="E495" s="131">
        <v>2500</v>
      </c>
      <c r="F495" s="131">
        <v>200</v>
      </c>
      <c r="G495" s="131">
        <f>E495*F495/1000</f>
        <v>500</v>
      </c>
      <c r="H495" s="131"/>
      <c r="I495" s="131"/>
      <c r="J495" s="131"/>
      <c r="K495" s="242">
        <v>3000</v>
      </c>
      <c r="L495" s="242">
        <v>500</v>
      </c>
      <c r="M495" s="131">
        <f>K495*L495/1000</f>
        <v>1500</v>
      </c>
      <c r="N495" s="242"/>
      <c r="O495" s="242"/>
      <c r="P495" s="242"/>
      <c r="Q495" s="242"/>
      <c r="R495" s="242"/>
      <c r="S495" s="242"/>
      <c r="T495" s="238"/>
      <c r="U495" s="238"/>
      <c r="V495" s="242"/>
      <c r="W495" s="243">
        <f>SUM(B495+E495+H495+K495+N495+Q495+T495)</f>
        <v>15500</v>
      </c>
      <c r="X495" s="242">
        <f>SUM(D495+G495+J495+M495+P495+S495+V495)</f>
        <v>7000</v>
      </c>
      <c r="Y495" s="66"/>
      <c r="Z495" s="66"/>
      <c r="AA495" s="66"/>
      <c r="AB495" s="66"/>
      <c r="AC495" s="66"/>
    </row>
    <row r="496" spans="1:29" x14ac:dyDescent="0.25">
      <c r="A496" s="213" t="s">
        <v>89</v>
      </c>
      <c r="B496" s="258" t="s">
        <v>18</v>
      </c>
      <c r="C496" s="123"/>
      <c r="D496" s="131"/>
      <c r="E496" s="123"/>
      <c r="F496" s="123"/>
      <c r="G496" s="131"/>
      <c r="H496" s="123"/>
      <c r="I496" s="133"/>
      <c r="J496" s="131"/>
      <c r="K496" s="238"/>
      <c r="L496" s="238"/>
      <c r="M496" s="242"/>
      <c r="N496" s="238"/>
      <c r="O496" s="238"/>
      <c r="P496" s="242"/>
      <c r="Q496" s="238"/>
      <c r="R496" s="238"/>
      <c r="S496" s="242"/>
      <c r="T496" s="238"/>
      <c r="U496" s="238"/>
      <c r="V496" s="242"/>
      <c r="W496" s="243"/>
      <c r="X496" s="242"/>
      <c r="Y496" s="66"/>
      <c r="Z496" s="66"/>
      <c r="AA496" s="66"/>
      <c r="AB496" s="66"/>
      <c r="AC496" s="66"/>
    </row>
    <row r="497" spans="1:29" x14ac:dyDescent="0.25">
      <c r="A497" s="213" t="s">
        <v>17</v>
      </c>
      <c r="B497" s="232">
        <v>1012</v>
      </c>
      <c r="C497" s="123">
        <v>400</v>
      </c>
      <c r="D497" s="131">
        <f>B497*C497/1000</f>
        <v>404.8</v>
      </c>
      <c r="E497" s="123"/>
      <c r="F497" s="123"/>
      <c r="G497" s="131"/>
      <c r="H497" s="123"/>
      <c r="I497" s="123"/>
      <c r="J497" s="131"/>
      <c r="K497" s="238"/>
      <c r="L497" s="238"/>
      <c r="M497" s="242"/>
      <c r="N497" s="238"/>
      <c r="O497" s="238"/>
      <c r="P497" s="242"/>
      <c r="Q497" s="238"/>
      <c r="R497" s="238"/>
      <c r="S497" s="242"/>
      <c r="T497" s="238"/>
      <c r="U497" s="238"/>
      <c r="V497" s="242"/>
      <c r="W497" s="243">
        <f t="shared" ref="W497:W509" si="31">SUM(B497+E497+H497+K497+N497+Q497+T497)</f>
        <v>1012</v>
      </c>
      <c r="X497" s="242">
        <f t="shared" ref="X497:X509" si="32">SUM(D497+G497+J497+M497+P497+S497+V497)</f>
        <v>404.8</v>
      </c>
      <c r="Y497" s="66"/>
      <c r="Z497" s="66"/>
      <c r="AA497" s="66"/>
      <c r="AB497" s="66"/>
      <c r="AC497" s="66"/>
    </row>
    <row r="498" spans="1:29" x14ac:dyDescent="0.25">
      <c r="A498" s="213" t="s">
        <v>103</v>
      </c>
      <c r="B498" s="236">
        <v>75000</v>
      </c>
      <c r="C498" s="123">
        <v>750</v>
      </c>
      <c r="D498" s="131">
        <f>B498*C498/1000</f>
        <v>56250</v>
      </c>
      <c r="E498" s="238">
        <v>2000</v>
      </c>
      <c r="F498" s="238">
        <v>300</v>
      </c>
      <c r="G498" s="131">
        <f>E498*F498/1000</f>
        <v>600</v>
      </c>
      <c r="H498" s="133"/>
      <c r="I498" s="133"/>
      <c r="J498" s="131"/>
      <c r="K498" s="238">
        <v>19000</v>
      </c>
      <c r="L498" s="238">
        <v>500</v>
      </c>
      <c r="M498" s="131">
        <f>K498*L498/1000</f>
        <v>9500</v>
      </c>
      <c r="N498" s="238">
        <v>3000</v>
      </c>
      <c r="O498" s="238">
        <v>6000</v>
      </c>
      <c r="P498" s="131">
        <f>N498*O498/1000</f>
        <v>18000</v>
      </c>
      <c r="Q498" s="238"/>
      <c r="R498" s="238"/>
      <c r="S498" s="242"/>
      <c r="T498" s="238"/>
      <c r="U498" s="238"/>
      <c r="V498" s="242"/>
      <c r="W498" s="243">
        <f t="shared" si="31"/>
        <v>99000</v>
      </c>
      <c r="X498" s="242">
        <f t="shared" si="32"/>
        <v>84350</v>
      </c>
      <c r="Y498" s="66"/>
      <c r="Z498" s="66"/>
      <c r="AA498" s="66"/>
      <c r="AB498" s="66"/>
      <c r="AC498" s="66"/>
    </row>
    <row r="499" spans="1:29" x14ac:dyDescent="0.25">
      <c r="A499" s="213" t="s">
        <v>104</v>
      </c>
      <c r="B499" s="232">
        <v>15056</v>
      </c>
      <c r="C499" s="123">
        <v>790</v>
      </c>
      <c r="D499" s="131">
        <f>B499*C499/1000</f>
        <v>11894.24</v>
      </c>
      <c r="E499" s="123">
        <v>55412</v>
      </c>
      <c r="F499" s="123">
        <v>500</v>
      </c>
      <c r="G499" s="131">
        <f>E499*F499/1000</f>
        <v>27706</v>
      </c>
      <c r="H499" s="123"/>
      <c r="I499" s="123"/>
      <c r="J499" s="131"/>
      <c r="K499" s="238"/>
      <c r="L499" s="244"/>
      <c r="M499" s="242"/>
      <c r="N499" s="238">
        <v>13334</v>
      </c>
      <c r="O499" s="238">
        <v>4300</v>
      </c>
      <c r="P499" s="131">
        <f>N499*O499/1000</f>
        <v>57336.2</v>
      </c>
      <c r="Q499" s="238"/>
      <c r="R499" s="238"/>
      <c r="S499" s="242"/>
      <c r="T499" s="238"/>
      <c r="U499" s="238"/>
      <c r="V499" s="242"/>
      <c r="W499" s="243">
        <f t="shared" si="31"/>
        <v>83802</v>
      </c>
      <c r="X499" s="242">
        <f t="shared" si="32"/>
        <v>96936.44</v>
      </c>
      <c r="Y499" s="66"/>
      <c r="Z499" s="66"/>
      <c r="AA499" s="66"/>
      <c r="AB499" s="66"/>
      <c r="AC499" s="66"/>
    </row>
    <row r="500" spans="1:29" x14ac:dyDescent="0.25">
      <c r="A500" s="213" t="s">
        <v>21</v>
      </c>
      <c r="B500" s="245"/>
      <c r="C500" s="133"/>
      <c r="D500" s="131"/>
      <c r="E500" s="133"/>
      <c r="F500" s="133"/>
      <c r="G500" s="131"/>
      <c r="H500" s="123"/>
      <c r="I500" s="123"/>
      <c r="J500" s="131"/>
      <c r="K500" s="238"/>
      <c r="L500" s="238"/>
      <c r="M500" s="242"/>
      <c r="N500" s="238"/>
      <c r="O500" s="238"/>
      <c r="P500" s="242"/>
      <c r="Q500" s="238"/>
      <c r="R500" s="238"/>
      <c r="S500" s="242"/>
      <c r="T500" s="238"/>
      <c r="U500" s="238"/>
      <c r="V500" s="242"/>
      <c r="W500" s="243">
        <f t="shared" si="31"/>
        <v>0</v>
      </c>
      <c r="X500" s="242">
        <f t="shared" si="32"/>
        <v>0</v>
      </c>
      <c r="Y500" s="66"/>
      <c r="Z500" s="66"/>
      <c r="AA500" s="66"/>
      <c r="AB500" s="66"/>
      <c r="AC500" s="66"/>
    </row>
    <row r="501" spans="1:29" x14ac:dyDescent="0.25">
      <c r="A501" s="213" t="s">
        <v>22</v>
      </c>
      <c r="B501" s="232"/>
      <c r="C501" s="123"/>
      <c r="D501" s="131"/>
      <c r="E501" s="133"/>
      <c r="F501" s="133"/>
      <c r="G501" s="131"/>
      <c r="H501" s="123"/>
      <c r="I501" s="123"/>
      <c r="J501" s="131"/>
      <c r="K501" s="238"/>
      <c r="L501" s="244"/>
      <c r="M501" s="242"/>
      <c r="N501" s="238">
        <v>195</v>
      </c>
      <c r="O501" s="238">
        <v>8000</v>
      </c>
      <c r="P501" s="131">
        <f>N501*O501/1000</f>
        <v>1560</v>
      </c>
      <c r="Q501" s="238"/>
      <c r="R501" s="238"/>
      <c r="S501" s="242"/>
      <c r="T501" s="238"/>
      <c r="U501" s="238"/>
      <c r="V501" s="242"/>
      <c r="W501" s="243">
        <f t="shared" si="31"/>
        <v>195</v>
      </c>
      <c r="X501" s="242">
        <f t="shared" si="32"/>
        <v>1560</v>
      </c>
      <c r="Y501" s="66"/>
      <c r="Z501" s="66"/>
      <c r="AA501" s="66"/>
      <c r="AB501" s="66"/>
      <c r="AC501" s="66"/>
    </row>
    <row r="502" spans="1:29" x14ac:dyDescent="0.25">
      <c r="A502" s="213" t="s">
        <v>23</v>
      </c>
      <c r="B502" s="232">
        <v>124776</v>
      </c>
      <c r="C502" s="123">
        <v>1100</v>
      </c>
      <c r="D502" s="131">
        <f>B502*C502/1000</f>
        <v>137253.6</v>
      </c>
      <c r="E502" s="123">
        <v>9802</v>
      </c>
      <c r="F502" s="123">
        <v>350</v>
      </c>
      <c r="G502" s="131">
        <f>E502*F502/1000</f>
        <v>3430.7</v>
      </c>
      <c r="H502" s="123"/>
      <c r="I502" s="123"/>
      <c r="J502" s="131"/>
      <c r="K502" s="238"/>
      <c r="L502" s="238"/>
      <c r="M502" s="242"/>
      <c r="N502" s="238"/>
      <c r="O502" s="238"/>
      <c r="P502" s="242"/>
      <c r="Q502" s="238"/>
      <c r="R502" s="238"/>
      <c r="S502" s="242"/>
      <c r="T502" s="238"/>
      <c r="U502" s="238"/>
      <c r="V502" s="242"/>
      <c r="W502" s="243">
        <f t="shared" si="31"/>
        <v>134578</v>
      </c>
      <c r="X502" s="242">
        <f t="shared" si="32"/>
        <v>140684.30000000002</v>
      </c>
      <c r="Y502" s="66"/>
      <c r="Z502" s="66"/>
      <c r="AA502" s="66"/>
      <c r="AB502" s="66"/>
      <c r="AC502" s="66"/>
    </row>
    <row r="503" spans="1:29" x14ac:dyDescent="0.25">
      <c r="A503" s="213" t="s">
        <v>24</v>
      </c>
      <c r="B503" s="232">
        <v>9943</v>
      </c>
      <c r="C503" s="123">
        <v>900</v>
      </c>
      <c r="D503" s="131">
        <f>B503*C503/1000</f>
        <v>8948.7000000000007</v>
      </c>
      <c r="E503" s="123">
        <v>2245</v>
      </c>
      <c r="F503" s="123">
        <v>450</v>
      </c>
      <c r="G503" s="131">
        <f>E503*F503/1000</f>
        <v>1010.25</v>
      </c>
      <c r="H503" s="123"/>
      <c r="I503" s="123"/>
      <c r="J503" s="131"/>
      <c r="K503" s="238">
        <v>981</v>
      </c>
      <c r="L503" s="238">
        <v>600</v>
      </c>
      <c r="M503" s="131">
        <f>K503*L503/1000</f>
        <v>588.6</v>
      </c>
      <c r="N503" s="238">
        <v>358</v>
      </c>
      <c r="O503" s="238">
        <v>3500</v>
      </c>
      <c r="P503" s="131">
        <f>N503*O503/1000</f>
        <v>1253</v>
      </c>
      <c r="Q503" s="238"/>
      <c r="R503" s="238"/>
      <c r="S503" s="242"/>
      <c r="T503" s="238"/>
      <c r="U503" s="238"/>
      <c r="V503" s="242"/>
      <c r="W503" s="243">
        <f t="shared" si="31"/>
        <v>13527</v>
      </c>
      <c r="X503" s="242">
        <f t="shared" si="32"/>
        <v>11800.550000000001</v>
      </c>
      <c r="Y503" s="66"/>
      <c r="Z503" s="66"/>
      <c r="AA503" s="66"/>
      <c r="AB503" s="66"/>
      <c r="AC503" s="66"/>
    </row>
    <row r="504" spans="1:29" x14ac:dyDescent="0.25">
      <c r="A504" s="215" t="s">
        <v>90</v>
      </c>
      <c r="B504" s="135">
        <f>SUM(B495:B503)</f>
        <v>235787</v>
      </c>
      <c r="C504" s="135"/>
      <c r="D504" s="135">
        <f t="shared" ref="D504:X504" si="33">SUM(D495:D503)</f>
        <v>219751.34000000003</v>
      </c>
      <c r="E504" s="135">
        <f t="shared" si="33"/>
        <v>71959</v>
      </c>
      <c r="F504" s="135"/>
      <c r="G504" s="135">
        <f t="shared" si="33"/>
        <v>33246.949999999997</v>
      </c>
      <c r="H504" s="135">
        <f t="shared" si="33"/>
        <v>0</v>
      </c>
      <c r="I504" s="135"/>
      <c r="J504" s="135">
        <f t="shared" si="33"/>
        <v>0</v>
      </c>
      <c r="K504" s="135">
        <f t="shared" si="33"/>
        <v>22981</v>
      </c>
      <c r="L504" s="135"/>
      <c r="M504" s="135">
        <f t="shared" si="33"/>
        <v>11588.6</v>
      </c>
      <c r="N504" s="135">
        <f t="shared" si="33"/>
        <v>16887</v>
      </c>
      <c r="O504" s="135"/>
      <c r="P504" s="135">
        <f t="shared" si="33"/>
        <v>78149.2</v>
      </c>
      <c r="Q504" s="135">
        <f t="shared" si="33"/>
        <v>0</v>
      </c>
      <c r="R504" s="135">
        <f t="shared" si="33"/>
        <v>0</v>
      </c>
      <c r="S504" s="135">
        <f t="shared" si="33"/>
        <v>0</v>
      </c>
      <c r="T504" s="135">
        <f t="shared" si="33"/>
        <v>0</v>
      </c>
      <c r="U504" s="135">
        <f t="shared" si="33"/>
        <v>0</v>
      </c>
      <c r="V504" s="135">
        <f t="shared" si="33"/>
        <v>0</v>
      </c>
      <c r="W504" s="135">
        <f t="shared" si="33"/>
        <v>347614</v>
      </c>
      <c r="X504" s="135">
        <f t="shared" si="33"/>
        <v>342736.09</v>
      </c>
      <c r="Y504" s="66"/>
      <c r="Z504" s="66"/>
      <c r="AA504" s="66"/>
      <c r="AB504" s="66"/>
      <c r="AC504" s="66"/>
    </row>
    <row r="505" spans="1:29" x14ac:dyDescent="0.25">
      <c r="A505" s="213" t="s">
        <v>26</v>
      </c>
      <c r="B505" s="123">
        <v>61051</v>
      </c>
      <c r="C505" s="123">
        <v>950</v>
      </c>
      <c r="D505" s="131">
        <f>B505*C505/1000</f>
        <v>57998.45</v>
      </c>
      <c r="E505" s="123">
        <v>24327</v>
      </c>
      <c r="F505" s="123">
        <v>500</v>
      </c>
      <c r="G505" s="131">
        <f>E505*F505/1000</f>
        <v>12163.5</v>
      </c>
      <c r="H505" s="123"/>
      <c r="I505" s="123"/>
      <c r="J505" s="131"/>
      <c r="K505" s="238"/>
      <c r="L505" s="238"/>
      <c r="M505" s="242"/>
      <c r="N505" s="238">
        <v>19441</v>
      </c>
      <c r="O505" s="238">
        <v>7788</v>
      </c>
      <c r="P505" s="131">
        <f>N505*O505/1000</f>
        <v>151406.508</v>
      </c>
      <c r="Q505" s="238">
        <v>8000</v>
      </c>
      <c r="R505" s="238">
        <v>6000</v>
      </c>
      <c r="S505" s="131">
        <f>Q505*R505/1000</f>
        <v>48000</v>
      </c>
      <c r="T505" s="238"/>
      <c r="U505" s="238"/>
      <c r="V505" s="242"/>
      <c r="W505" s="243">
        <f t="shared" si="31"/>
        <v>112819</v>
      </c>
      <c r="X505" s="242">
        <f t="shared" si="32"/>
        <v>269568.45799999998</v>
      </c>
      <c r="Y505" s="66"/>
      <c r="Z505" s="66"/>
      <c r="AA505" s="66"/>
      <c r="AB505" s="66"/>
      <c r="AC505" s="66"/>
    </row>
    <row r="506" spans="1:29" x14ac:dyDescent="0.25">
      <c r="A506" s="213" t="s">
        <v>27</v>
      </c>
      <c r="B506" s="123">
        <v>50370</v>
      </c>
      <c r="C506" s="123">
        <v>760</v>
      </c>
      <c r="D506" s="131">
        <f>B506*C506/1000</f>
        <v>38281.199999999997</v>
      </c>
      <c r="E506" s="123">
        <v>16188</v>
      </c>
      <c r="F506" s="123">
        <v>270</v>
      </c>
      <c r="G506" s="131">
        <f>E506*F506/1000</f>
        <v>4370.76</v>
      </c>
      <c r="H506" s="123"/>
      <c r="I506" s="123"/>
      <c r="J506" s="131"/>
      <c r="K506" s="238">
        <v>3750</v>
      </c>
      <c r="L506" s="238">
        <v>500</v>
      </c>
      <c r="M506" s="131">
        <f>K506*L506/1000</f>
        <v>1875</v>
      </c>
      <c r="N506" s="238">
        <v>14966</v>
      </c>
      <c r="O506" s="238">
        <v>6000</v>
      </c>
      <c r="P506" s="131">
        <f>N506*O506/1000</f>
        <v>89796</v>
      </c>
      <c r="Q506" s="238">
        <v>195</v>
      </c>
      <c r="R506" s="238">
        <v>6000</v>
      </c>
      <c r="S506" s="131">
        <f>Q506*R506/1000</f>
        <v>1170</v>
      </c>
      <c r="T506" s="238" t="s">
        <v>105</v>
      </c>
      <c r="U506" s="238" t="s">
        <v>106</v>
      </c>
      <c r="V506" s="131">
        <f>T506*U506/1000</f>
        <v>1074</v>
      </c>
      <c r="W506" s="243">
        <f t="shared" si="31"/>
        <v>85648</v>
      </c>
      <c r="X506" s="242">
        <f t="shared" si="32"/>
        <v>136566.96</v>
      </c>
      <c r="Y506" s="66"/>
      <c r="Z506" s="66"/>
      <c r="AA506" s="66"/>
      <c r="AB506" s="66"/>
      <c r="AC506" s="66"/>
    </row>
    <row r="507" spans="1:29" x14ac:dyDescent="0.25">
      <c r="A507" s="78" t="s">
        <v>71</v>
      </c>
      <c r="B507" s="123">
        <v>35445</v>
      </c>
      <c r="C507" s="123">
        <v>980</v>
      </c>
      <c r="D507" s="131">
        <f>B507*C507/1000</f>
        <v>34736.1</v>
      </c>
      <c r="E507" s="123">
        <v>10422</v>
      </c>
      <c r="F507" s="123">
        <v>340</v>
      </c>
      <c r="G507" s="131">
        <f>E507*F507/1000</f>
        <v>3543.48</v>
      </c>
      <c r="H507" s="123"/>
      <c r="I507" s="123"/>
      <c r="J507" s="131"/>
      <c r="K507" s="238"/>
      <c r="L507" s="238"/>
      <c r="M507" s="242"/>
      <c r="N507" s="238">
        <v>16572</v>
      </c>
      <c r="O507" s="238">
        <v>6279</v>
      </c>
      <c r="P507" s="131">
        <f>N507*O507/1000</f>
        <v>104055.588</v>
      </c>
      <c r="Q507" s="238"/>
      <c r="R507" s="238"/>
      <c r="S507" s="242"/>
      <c r="T507" s="238"/>
      <c r="U507" s="238"/>
      <c r="V507" s="242"/>
      <c r="W507" s="243">
        <f t="shared" si="31"/>
        <v>62439</v>
      </c>
      <c r="X507" s="242">
        <f t="shared" si="32"/>
        <v>142335.16800000001</v>
      </c>
      <c r="Y507" s="66"/>
      <c r="Z507" s="66"/>
      <c r="AA507" s="66"/>
      <c r="AB507" s="66"/>
      <c r="AC507" s="66"/>
    </row>
    <row r="508" spans="1:29" x14ac:dyDescent="0.25">
      <c r="A508" s="78" t="s">
        <v>72</v>
      </c>
      <c r="B508" s="123">
        <v>41825</v>
      </c>
      <c r="C508" s="123">
        <v>950</v>
      </c>
      <c r="D508" s="131">
        <f>B508*C508/1000</f>
        <v>39733.75</v>
      </c>
      <c r="E508" s="123">
        <v>21448</v>
      </c>
      <c r="F508" s="123">
        <v>355</v>
      </c>
      <c r="G508" s="131">
        <f>E508*F508/1000</f>
        <v>7614.04</v>
      </c>
      <c r="H508" s="123"/>
      <c r="I508" s="123"/>
      <c r="J508" s="131"/>
      <c r="K508" s="238"/>
      <c r="L508" s="238"/>
      <c r="M508" s="242"/>
      <c r="N508" s="238">
        <v>8250</v>
      </c>
      <c r="O508" s="238">
        <v>3384</v>
      </c>
      <c r="P508" s="131">
        <f>N508*O508/1000</f>
        <v>27918</v>
      </c>
      <c r="Q508" s="238"/>
      <c r="R508" s="238"/>
      <c r="S508" s="242"/>
      <c r="T508" s="238"/>
      <c r="U508" s="238"/>
      <c r="V508" s="242"/>
      <c r="W508" s="243">
        <f t="shared" si="31"/>
        <v>71523</v>
      </c>
      <c r="X508" s="242">
        <f t="shared" si="32"/>
        <v>75265.790000000008</v>
      </c>
      <c r="Y508" s="66"/>
      <c r="Z508" s="66"/>
      <c r="AA508" s="66"/>
      <c r="AB508" s="66"/>
      <c r="AC508" s="66"/>
    </row>
    <row r="509" spans="1:29" x14ac:dyDescent="0.25">
      <c r="A509" s="78" t="s">
        <v>73</v>
      </c>
      <c r="B509" s="123">
        <v>61490</v>
      </c>
      <c r="C509" s="123">
        <v>480</v>
      </c>
      <c r="D509" s="131">
        <f>B509*C509/1000</f>
        <v>29515.200000000001</v>
      </c>
      <c r="E509" s="123">
        <v>4114</v>
      </c>
      <c r="F509" s="123">
        <v>270</v>
      </c>
      <c r="G509" s="131">
        <f>E509*F509/1000</f>
        <v>1110.78</v>
      </c>
      <c r="H509" s="123"/>
      <c r="I509" s="123"/>
      <c r="J509" s="131"/>
      <c r="K509" s="238"/>
      <c r="L509" s="238"/>
      <c r="M509" s="242"/>
      <c r="N509" s="238">
        <v>6816</v>
      </c>
      <c r="O509" s="238">
        <v>2770</v>
      </c>
      <c r="P509" s="131">
        <f>N509*O509/1000</f>
        <v>18880.32</v>
      </c>
      <c r="Q509" s="238"/>
      <c r="R509" s="238"/>
      <c r="S509" s="242"/>
      <c r="T509" s="238"/>
      <c r="U509" s="238"/>
      <c r="V509" s="242"/>
      <c r="W509" s="243">
        <f t="shared" si="31"/>
        <v>72420</v>
      </c>
      <c r="X509" s="242">
        <f t="shared" si="32"/>
        <v>49506.3</v>
      </c>
      <c r="Y509" s="66"/>
      <c r="Z509" s="66"/>
      <c r="AA509" s="66"/>
      <c r="AB509" s="66"/>
      <c r="AC509" s="66"/>
    </row>
    <row r="510" spans="1:29" x14ac:dyDescent="0.25">
      <c r="A510" s="215" t="s">
        <v>91</v>
      </c>
      <c r="B510" s="135">
        <f>SUM(B505:B509)</f>
        <v>250181</v>
      </c>
      <c r="C510" s="135"/>
      <c r="D510" s="135">
        <f t="shared" ref="D510:X510" si="34">SUM(D505:D509)</f>
        <v>200264.7</v>
      </c>
      <c r="E510" s="135">
        <f t="shared" si="34"/>
        <v>76499</v>
      </c>
      <c r="F510" s="135"/>
      <c r="G510" s="135">
        <f t="shared" si="34"/>
        <v>28802.560000000001</v>
      </c>
      <c r="H510" s="135">
        <f t="shared" si="34"/>
        <v>0</v>
      </c>
      <c r="I510" s="135"/>
      <c r="J510" s="135">
        <f t="shared" si="34"/>
        <v>0</v>
      </c>
      <c r="K510" s="135">
        <f t="shared" si="34"/>
        <v>3750</v>
      </c>
      <c r="L510" s="135"/>
      <c r="M510" s="135">
        <f t="shared" si="34"/>
        <v>1875</v>
      </c>
      <c r="N510" s="135">
        <f t="shared" si="34"/>
        <v>66045</v>
      </c>
      <c r="O510" s="135"/>
      <c r="P510" s="135">
        <f t="shared" si="34"/>
        <v>392056.41600000003</v>
      </c>
      <c r="Q510" s="135">
        <f t="shared" si="34"/>
        <v>8195</v>
      </c>
      <c r="R510" s="135"/>
      <c r="S510" s="135">
        <f t="shared" si="34"/>
        <v>49170</v>
      </c>
      <c r="T510" s="135">
        <v>179</v>
      </c>
      <c r="U510" s="135"/>
      <c r="V510" s="135">
        <f t="shared" si="34"/>
        <v>1074</v>
      </c>
      <c r="W510" s="135">
        <f t="shared" si="34"/>
        <v>404849</v>
      </c>
      <c r="X510" s="135">
        <f t="shared" si="34"/>
        <v>673242.67599999998</v>
      </c>
      <c r="Y510" s="66"/>
      <c r="Z510" s="66"/>
      <c r="AA510" s="66"/>
      <c r="AB510" s="66"/>
      <c r="AC510" s="66"/>
    </row>
    <row r="511" spans="1:29" x14ac:dyDescent="0.25">
      <c r="A511" s="229" t="s">
        <v>32</v>
      </c>
      <c r="B511" s="123">
        <f>SUM(B510,B504)</f>
        <v>485968</v>
      </c>
      <c r="C511" s="123"/>
      <c r="D511" s="123">
        <f t="shared" ref="D511:X511" si="35">SUM(D510,D504)</f>
        <v>420016.04000000004</v>
      </c>
      <c r="E511" s="123">
        <f t="shared" si="35"/>
        <v>148458</v>
      </c>
      <c r="F511" s="123"/>
      <c r="G511" s="123">
        <f t="shared" si="35"/>
        <v>62049.509999999995</v>
      </c>
      <c r="H511" s="123">
        <f t="shared" si="35"/>
        <v>0</v>
      </c>
      <c r="I511" s="123"/>
      <c r="J511" s="123">
        <f t="shared" si="35"/>
        <v>0</v>
      </c>
      <c r="K511" s="123">
        <f t="shared" si="35"/>
        <v>26731</v>
      </c>
      <c r="L511" s="123"/>
      <c r="M511" s="123">
        <f t="shared" si="35"/>
        <v>13463.6</v>
      </c>
      <c r="N511" s="123">
        <f t="shared" si="35"/>
        <v>82932</v>
      </c>
      <c r="O511" s="123"/>
      <c r="P511" s="123">
        <f t="shared" si="35"/>
        <v>470205.61600000004</v>
      </c>
      <c r="Q511" s="123">
        <f t="shared" si="35"/>
        <v>8195</v>
      </c>
      <c r="R511" s="123"/>
      <c r="S511" s="123">
        <f t="shared" si="35"/>
        <v>49170</v>
      </c>
      <c r="T511" s="123">
        <f t="shared" si="35"/>
        <v>179</v>
      </c>
      <c r="U511" s="123"/>
      <c r="V511" s="123">
        <f t="shared" si="35"/>
        <v>1074</v>
      </c>
      <c r="W511" s="123">
        <f t="shared" si="35"/>
        <v>752463</v>
      </c>
      <c r="X511" s="123">
        <f t="shared" si="35"/>
        <v>1015978.7660000001</v>
      </c>
      <c r="Y511" s="66"/>
      <c r="Z511" s="66"/>
      <c r="AA511" s="66"/>
      <c r="AB511" s="66"/>
      <c r="AC511" s="66"/>
    </row>
    <row r="512" spans="1:29" x14ac:dyDescent="0.25">
      <c r="A512" s="95" t="s">
        <v>58</v>
      </c>
      <c r="B512" s="96"/>
      <c r="C512" s="96"/>
      <c r="D512" s="95" t="s">
        <v>59</v>
      </c>
      <c r="E512" s="96"/>
      <c r="F512" s="96"/>
      <c r="G512" s="96"/>
      <c r="H512" s="96"/>
      <c r="I512" s="95" t="s">
        <v>60</v>
      </c>
      <c r="J512" s="96"/>
      <c r="K512" s="96"/>
      <c r="L512" s="114"/>
      <c r="M512" s="114"/>
      <c r="N512" s="114"/>
      <c r="O512" s="114"/>
      <c r="P512" s="96"/>
      <c r="Q512" s="96"/>
      <c r="R512" s="96"/>
      <c r="S512" s="259"/>
      <c r="T512" s="114"/>
      <c r="U512" s="114"/>
      <c r="V512" s="114"/>
      <c r="W512" s="114"/>
      <c r="X512" s="114"/>
      <c r="Y512" s="114"/>
      <c r="Z512" s="114"/>
      <c r="AA512" s="114"/>
      <c r="AB512" s="114"/>
      <c r="AC512" s="114"/>
    </row>
    <row r="513" spans="1:29" x14ac:dyDescent="0.25">
      <c r="A513" s="66"/>
      <c r="B513" s="66"/>
      <c r="C513" s="66"/>
      <c r="D513" s="66"/>
      <c r="E513" s="66"/>
      <c r="F513" s="66"/>
      <c r="G513" s="66"/>
      <c r="H513" s="66"/>
      <c r="I513" s="66"/>
      <c r="J513" s="66"/>
      <c r="K513" s="66"/>
      <c r="L513" s="66"/>
      <c r="M513" s="66"/>
      <c r="N513" s="66"/>
      <c r="O513" s="66"/>
      <c r="P513" s="86"/>
      <c r="Q513" s="86"/>
      <c r="R513" s="86"/>
      <c r="S513" s="138"/>
      <c r="T513" s="66"/>
      <c r="U513" s="66"/>
      <c r="V513" s="66"/>
      <c r="W513" s="66"/>
      <c r="X513" s="66"/>
      <c r="Y513" s="66"/>
      <c r="Z513" s="66"/>
      <c r="AA513" s="66"/>
      <c r="AB513" s="66"/>
      <c r="AC513" s="66"/>
    </row>
    <row r="514" spans="1:29" x14ac:dyDescent="0.25">
      <c r="A514" s="260"/>
      <c r="B514" s="261" t="s">
        <v>0</v>
      </c>
      <c r="C514" s="260"/>
      <c r="D514" s="260"/>
      <c r="E514" s="260"/>
      <c r="F514" s="260" t="s">
        <v>76</v>
      </c>
      <c r="G514" s="260" t="s">
        <v>77</v>
      </c>
      <c r="H514" s="260"/>
      <c r="I514" s="261" t="s">
        <v>107</v>
      </c>
      <c r="J514" s="260"/>
      <c r="K514" s="260"/>
      <c r="L514" s="260"/>
      <c r="M514" s="260"/>
      <c r="N514" s="260"/>
      <c r="O514" s="260"/>
      <c r="P514" s="260"/>
      <c r="Q514" s="260"/>
      <c r="R514" s="3"/>
      <c r="S514" s="3"/>
      <c r="T514" s="3"/>
      <c r="U514" s="3"/>
      <c r="V514" s="3"/>
      <c r="W514" s="3"/>
      <c r="X514" s="3"/>
      <c r="Y514" s="66"/>
      <c r="Z514" s="66"/>
      <c r="AA514" s="66"/>
      <c r="AB514" s="66"/>
      <c r="AC514" s="66"/>
    </row>
    <row r="515" spans="1:29" x14ac:dyDescent="0.25">
      <c r="A515" s="262" t="s">
        <v>2</v>
      </c>
      <c r="B515" s="263"/>
      <c r="C515" s="264" t="s">
        <v>66</v>
      </c>
      <c r="D515" s="265"/>
      <c r="E515" s="266"/>
      <c r="F515" s="267" t="s">
        <v>4</v>
      </c>
      <c r="G515" s="265"/>
      <c r="H515" s="266"/>
      <c r="I515" s="264" t="s">
        <v>5</v>
      </c>
      <c r="J515" s="265"/>
      <c r="K515" s="266"/>
      <c r="L515" s="264" t="s">
        <v>6</v>
      </c>
      <c r="M515" s="265"/>
      <c r="N515" s="266"/>
      <c r="O515" s="264" t="s">
        <v>7</v>
      </c>
      <c r="P515" s="265"/>
      <c r="Q515" s="266"/>
      <c r="R515" s="267" t="s">
        <v>8</v>
      </c>
      <c r="S515" s="265"/>
      <c r="T515" s="266"/>
      <c r="U515" s="267" t="s">
        <v>9</v>
      </c>
      <c r="V515" s="265"/>
      <c r="W515" s="268" t="s">
        <v>10</v>
      </c>
      <c r="X515" s="269"/>
      <c r="Y515" s="66"/>
      <c r="Z515" s="66"/>
      <c r="AA515" s="66"/>
      <c r="AB515" s="66"/>
      <c r="AC515" s="66"/>
    </row>
    <row r="516" spans="1:29" ht="15.75" thickBot="1" x14ac:dyDescent="0.3">
      <c r="A516" s="270" t="s">
        <v>11</v>
      </c>
      <c r="B516" s="271" t="s">
        <v>12</v>
      </c>
      <c r="C516" s="272" t="s">
        <v>13</v>
      </c>
      <c r="D516" s="272" t="s">
        <v>14</v>
      </c>
      <c r="E516" s="272" t="s">
        <v>12</v>
      </c>
      <c r="F516" s="272" t="s">
        <v>13</v>
      </c>
      <c r="G516" s="272" t="s">
        <v>14</v>
      </c>
      <c r="H516" s="272" t="s">
        <v>12</v>
      </c>
      <c r="I516" s="272" t="s">
        <v>13</v>
      </c>
      <c r="J516" s="272" t="s">
        <v>14</v>
      </c>
      <c r="K516" s="272" t="s">
        <v>12</v>
      </c>
      <c r="L516" s="272" t="s">
        <v>13</v>
      </c>
      <c r="M516" s="272" t="s">
        <v>14</v>
      </c>
      <c r="N516" s="272" t="s">
        <v>12</v>
      </c>
      <c r="O516" s="272" t="s">
        <v>13</v>
      </c>
      <c r="P516" s="272" t="s">
        <v>14</v>
      </c>
      <c r="Q516" s="272" t="s">
        <v>12</v>
      </c>
      <c r="R516" s="272" t="s">
        <v>13</v>
      </c>
      <c r="S516" s="272" t="s">
        <v>14</v>
      </c>
      <c r="T516" s="272" t="s">
        <v>12</v>
      </c>
      <c r="U516" s="272" t="s">
        <v>13</v>
      </c>
      <c r="V516" s="272" t="s">
        <v>14</v>
      </c>
      <c r="W516" s="273" t="s">
        <v>12</v>
      </c>
      <c r="X516" s="273" t="s">
        <v>14</v>
      </c>
      <c r="Y516" s="66"/>
      <c r="Z516" s="66"/>
      <c r="AA516" s="66"/>
      <c r="AB516" s="66"/>
      <c r="AC516" s="66"/>
    </row>
    <row r="517" spans="1:29" ht="15.75" thickTop="1" x14ac:dyDescent="0.25">
      <c r="A517" s="274" t="s">
        <v>15</v>
      </c>
      <c r="B517" s="275">
        <v>133000</v>
      </c>
      <c r="C517" s="276">
        <v>470</v>
      </c>
      <c r="D517" s="275">
        <f>B517*C517/1000</f>
        <v>62510</v>
      </c>
      <c r="E517" s="275">
        <v>59490</v>
      </c>
      <c r="F517" s="276">
        <v>400</v>
      </c>
      <c r="G517" s="275">
        <f t="shared" ref="G517:G531" si="36">E517*F517/1000</f>
        <v>23796</v>
      </c>
      <c r="H517" s="275"/>
      <c r="I517" s="277" t="s">
        <v>18</v>
      </c>
      <c r="J517" s="275"/>
      <c r="K517" s="278"/>
      <c r="L517" s="277" t="s">
        <v>18</v>
      </c>
      <c r="M517" s="275"/>
      <c r="N517" s="275">
        <v>12000</v>
      </c>
      <c r="O517" s="279" t="s">
        <v>18</v>
      </c>
      <c r="P517" s="275"/>
      <c r="Q517" s="280"/>
      <c r="R517" s="280"/>
      <c r="S517" s="275">
        <f t="shared" ref="S517:S525" si="37">Q517*R517/1000</f>
        <v>0</v>
      </c>
      <c r="T517" s="280"/>
      <c r="U517" s="280"/>
      <c r="V517" s="275">
        <f t="shared" ref="V517:V525" si="38">T517*U517/1000</f>
        <v>0</v>
      </c>
      <c r="W517" s="275">
        <f>SUM(B517+E517+H517+K517+N517+Q517+T517)</f>
        <v>204490</v>
      </c>
      <c r="X517" s="275">
        <f>SUM(D517+G517+J517+M517+P517+S517+V517)</f>
        <v>86306</v>
      </c>
      <c r="Y517" s="66"/>
      <c r="Z517" s="66"/>
      <c r="AA517" s="66"/>
      <c r="AB517" s="66"/>
      <c r="AC517" s="66"/>
    </row>
    <row r="518" spans="1:29" x14ac:dyDescent="0.25">
      <c r="A518" s="281" t="s">
        <v>49</v>
      </c>
      <c r="B518" s="3"/>
      <c r="C518" s="277" t="s">
        <v>18</v>
      </c>
      <c r="D518" s="277" t="s">
        <v>18</v>
      </c>
      <c r="E518" s="277" t="s">
        <v>18</v>
      </c>
      <c r="F518" s="277" t="s">
        <v>18</v>
      </c>
      <c r="G518" s="277" t="s">
        <v>18</v>
      </c>
      <c r="H518" s="277" t="s">
        <v>18</v>
      </c>
      <c r="I518" s="277" t="s">
        <v>18</v>
      </c>
      <c r="J518" s="277" t="s">
        <v>18</v>
      </c>
      <c r="K518" s="277" t="s">
        <v>18</v>
      </c>
      <c r="L518" s="277" t="s">
        <v>18</v>
      </c>
      <c r="M518" s="277" t="s">
        <v>18</v>
      </c>
      <c r="N518" s="277" t="s">
        <v>18</v>
      </c>
      <c r="O518" s="279" t="s">
        <v>18</v>
      </c>
      <c r="P518" s="277" t="s">
        <v>18</v>
      </c>
      <c r="Q518" s="277" t="s">
        <v>18</v>
      </c>
      <c r="R518" s="277" t="s">
        <v>18</v>
      </c>
      <c r="S518" s="277" t="s">
        <v>18</v>
      </c>
      <c r="T518" s="277" t="s">
        <v>18</v>
      </c>
      <c r="U518" s="277" t="s">
        <v>18</v>
      </c>
      <c r="V518" s="277" t="s">
        <v>18</v>
      </c>
      <c r="W518" s="277" t="s">
        <v>18</v>
      </c>
      <c r="X518" s="277" t="s">
        <v>18</v>
      </c>
      <c r="Y518" s="66"/>
      <c r="Z518" s="66"/>
      <c r="AA518" s="66"/>
      <c r="AB518" s="66"/>
      <c r="AC518" s="66"/>
    </row>
    <row r="519" spans="1:29" x14ac:dyDescent="0.25">
      <c r="A519" s="281" t="s">
        <v>17</v>
      </c>
      <c r="B519" s="282">
        <v>83530</v>
      </c>
      <c r="C519" s="283">
        <v>460</v>
      </c>
      <c r="D519" s="275">
        <f t="shared" ref="D519:D531" si="39">B519*C519/1000</f>
        <v>38423.800000000003</v>
      </c>
      <c r="E519" s="284">
        <v>20660</v>
      </c>
      <c r="F519" s="283">
        <v>256</v>
      </c>
      <c r="G519" s="275">
        <f t="shared" si="36"/>
        <v>5288.96</v>
      </c>
      <c r="H519" s="285"/>
      <c r="I519" s="277" t="s">
        <v>18</v>
      </c>
      <c r="J519" s="277">
        <v>0</v>
      </c>
      <c r="K519" s="285"/>
      <c r="L519" s="277" t="s">
        <v>18</v>
      </c>
      <c r="M519" s="275">
        <v>0</v>
      </c>
      <c r="N519" s="285">
        <v>6750</v>
      </c>
      <c r="O519" s="279">
        <v>700</v>
      </c>
      <c r="P519" s="275">
        <f>N519*O519/1000</f>
        <v>4725</v>
      </c>
      <c r="Q519" s="285"/>
      <c r="R519" s="285"/>
      <c r="S519" s="275">
        <f t="shared" si="37"/>
        <v>0</v>
      </c>
      <c r="T519" s="285"/>
      <c r="U519" s="285"/>
      <c r="V519" s="275">
        <f t="shared" si="38"/>
        <v>0</v>
      </c>
      <c r="W519" s="275">
        <f t="shared" ref="W519:W531" si="40">SUM(B519+E519+H519+K519+N519+Q519+T519)</f>
        <v>110940</v>
      </c>
      <c r="X519" s="275">
        <f t="shared" ref="X519:X525" si="41">SUM(D519+G519+J519+M519+P519+S519+V519)</f>
        <v>48437.760000000002</v>
      </c>
      <c r="Y519" s="66"/>
      <c r="Z519" s="66"/>
      <c r="AA519" s="66"/>
      <c r="AB519" s="66"/>
      <c r="AC519" s="66"/>
    </row>
    <row r="520" spans="1:29" x14ac:dyDescent="0.25">
      <c r="A520" s="281" t="s">
        <v>19</v>
      </c>
      <c r="B520" s="284">
        <v>107820</v>
      </c>
      <c r="C520" s="283">
        <v>527</v>
      </c>
      <c r="D520" s="275">
        <f t="shared" si="39"/>
        <v>56821.14</v>
      </c>
      <c r="E520" s="284">
        <v>64798</v>
      </c>
      <c r="F520" s="283">
        <v>890</v>
      </c>
      <c r="G520" s="275">
        <f t="shared" si="36"/>
        <v>57670.22</v>
      </c>
      <c r="H520" s="284">
        <v>19986</v>
      </c>
      <c r="I520" s="286">
        <v>745</v>
      </c>
      <c r="J520" s="275">
        <f t="shared" ref="J520:J531" si="42">H520*I520/1000</f>
        <v>14889.57</v>
      </c>
      <c r="K520" s="284">
        <v>50</v>
      </c>
      <c r="L520" s="283">
        <v>3150</v>
      </c>
      <c r="M520" s="275">
        <f>K520*L520/1000</f>
        <v>157.5</v>
      </c>
      <c r="N520" s="284">
        <v>37000</v>
      </c>
      <c r="O520" s="286">
        <v>800</v>
      </c>
      <c r="P520" s="275">
        <f t="shared" ref="P520:P525" si="43">N520*O520/1000</f>
        <v>29600</v>
      </c>
      <c r="Q520" s="285"/>
      <c r="R520" s="285"/>
      <c r="S520" s="275">
        <f t="shared" si="37"/>
        <v>0</v>
      </c>
      <c r="T520" s="285"/>
      <c r="U520" s="285"/>
      <c r="V520" s="275">
        <f t="shared" si="38"/>
        <v>0</v>
      </c>
      <c r="W520" s="275">
        <f t="shared" si="40"/>
        <v>229654</v>
      </c>
      <c r="X520" s="275">
        <f t="shared" si="41"/>
        <v>159138.43</v>
      </c>
      <c r="Y520" s="66"/>
      <c r="Z520" s="66"/>
      <c r="AA520" s="66"/>
      <c r="AB520" s="66"/>
      <c r="AC520" s="66"/>
    </row>
    <row r="521" spans="1:29" x14ac:dyDescent="0.25">
      <c r="A521" s="281" t="s">
        <v>20</v>
      </c>
      <c r="B521" s="284">
        <v>41100</v>
      </c>
      <c r="C521" s="283">
        <v>600</v>
      </c>
      <c r="D521" s="275">
        <f t="shared" si="39"/>
        <v>24660</v>
      </c>
      <c r="E521" s="284">
        <v>67850</v>
      </c>
      <c r="F521" s="283">
        <v>643</v>
      </c>
      <c r="G521" s="275">
        <f t="shared" si="36"/>
        <v>43627.55</v>
      </c>
      <c r="H521" s="284">
        <v>947</v>
      </c>
      <c r="I521" s="286">
        <v>700</v>
      </c>
      <c r="J521" s="275">
        <f t="shared" si="42"/>
        <v>662.9</v>
      </c>
      <c r="K521" s="284"/>
      <c r="L521" s="283"/>
      <c r="M521" s="275"/>
      <c r="N521" s="284">
        <v>20000</v>
      </c>
      <c r="O521" s="286">
        <v>790</v>
      </c>
      <c r="P521" s="275">
        <f t="shared" si="43"/>
        <v>15800</v>
      </c>
      <c r="Q521" s="285"/>
      <c r="R521" s="285"/>
      <c r="S521" s="275">
        <f t="shared" si="37"/>
        <v>0</v>
      </c>
      <c r="T521" s="285"/>
      <c r="U521" s="285"/>
      <c r="V521" s="275">
        <f t="shared" si="38"/>
        <v>0</v>
      </c>
      <c r="W521" s="275">
        <f t="shared" si="40"/>
        <v>129897</v>
      </c>
      <c r="X521" s="275">
        <f t="shared" si="41"/>
        <v>84750.45</v>
      </c>
      <c r="Y521" s="66"/>
      <c r="Z521" s="66"/>
      <c r="AA521" s="66"/>
      <c r="AB521" s="66"/>
      <c r="AC521" s="66"/>
    </row>
    <row r="522" spans="1:29" x14ac:dyDescent="0.25">
      <c r="A522" s="281" t="s">
        <v>21</v>
      </c>
      <c r="B522" s="284">
        <v>93360</v>
      </c>
      <c r="C522" s="283">
        <v>286</v>
      </c>
      <c r="D522" s="275">
        <f t="shared" si="39"/>
        <v>26700.959999999999</v>
      </c>
      <c r="E522" s="285"/>
      <c r="F522" s="277" t="s">
        <v>18</v>
      </c>
      <c r="G522" s="275"/>
      <c r="H522" s="282">
        <v>1600</v>
      </c>
      <c r="I522" s="287">
        <v>500</v>
      </c>
      <c r="J522" s="275">
        <f t="shared" si="42"/>
        <v>800</v>
      </c>
      <c r="K522" s="285"/>
      <c r="L522" s="277" t="s">
        <v>18</v>
      </c>
      <c r="M522" s="275"/>
      <c r="N522" s="3"/>
      <c r="O522" s="279" t="s">
        <v>18</v>
      </c>
      <c r="P522" s="275"/>
      <c r="Q522" s="285"/>
      <c r="R522" s="285"/>
      <c r="S522" s="275">
        <f t="shared" si="37"/>
        <v>0</v>
      </c>
      <c r="T522" s="285"/>
      <c r="U522" s="285"/>
      <c r="V522" s="275">
        <f t="shared" si="38"/>
        <v>0</v>
      </c>
      <c r="W522" s="275">
        <f t="shared" si="40"/>
        <v>94960</v>
      </c>
      <c r="X522" s="275">
        <f t="shared" si="41"/>
        <v>27500.959999999999</v>
      </c>
      <c r="Y522" s="66"/>
      <c r="Z522" s="66"/>
      <c r="AA522" s="66"/>
      <c r="AB522" s="66"/>
      <c r="AC522" s="66"/>
    </row>
    <row r="523" spans="1:29" x14ac:dyDescent="0.25">
      <c r="A523" s="281" t="s">
        <v>22</v>
      </c>
      <c r="B523" s="284">
        <v>79337</v>
      </c>
      <c r="C523" s="283">
        <v>500</v>
      </c>
      <c r="D523" s="275">
        <f t="shared" si="39"/>
        <v>39668.5</v>
      </c>
      <c r="E523" s="285">
        <v>3186</v>
      </c>
      <c r="F523" s="287">
        <v>1000</v>
      </c>
      <c r="G523" s="275">
        <f t="shared" si="36"/>
        <v>3186</v>
      </c>
      <c r="H523" s="284">
        <v>44710</v>
      </c>
      <c r="I523" s="286">
        <v>1500</v>
      </c>
      <c r="J523" s="275">
        <f t="shared" si="42"/>
        <v>67065</v>
      </c>
      <c r="K523" s="285"/>
      <c r="L523" s="277" t="s">
        <v>18</v>
      </c>
      <c r="M523" s="275"/>
      <c r="N523" s="285"/>
      <c r="O523" s="279" t="s">
        <v>18</v>
      </c>
      <c r="P523" s="275"/>
      <c r="Q523" s="284">
        <v>4500</v>
      </c>
      <c r="R523" s="284">
        <v>1865</v>
      </c>
      <c r="S523" s="275">
        <f t="shared" si="37"/>
        <v>8392.5</v>
      </c>
      <c r="T523" s="285"/>
      <c r="U523" s="285"/>
      <c r="V523" s="275">
        <f t="shared" si="38"/>
        <v>0</v>
      </c>
      <c r="W523" s="275">
        <f t="shared" si="40"/>
        <v>131733</v>
      </c>
      <c r="X523" s="275">
        <f t="shared" si="41"/>
        <v>118312</v>
      </c>
      <c r="Y523" s="66"/>
      <c r="Z523" s="66"/>
      <c r="AA523" s="66"/>
      <c r="AB523" s="66"/>
      <c r="AC523" s="66"/>
    </row>
    <row r="524" spans="1:29" x14ac:dyDescent="0.25">
      <c r="A524" s="281" t="s">
        <v>23</v>
      </c>
      <c r="B524" s="284">
        <v>112980</v>
      </c>
      <c r="C524" s="283">
        <v>640</v>
      </c>
      <c r="D524" s="275">
        <f t="shared" si="39"/>
        <v>72307.199999999997</v>
      </c>
      <c r="E524" s="284">
        <v>61790</v>
      </c>
      <c r="F524" s="286">
        <v>767</v>
      </c>
      <c r="G524" s="275">
        <f t="shared" si="36"/>
        <v>47392.93</v>
      </c>
      <c r="H524" s="282">
        <v>15660</v>
      </c>
      <c r="I524" s="288" t="s">
        <v>18</v>
      </c>
      <c r="J524" s="288">
        <v>0</v>
      </c>
      <c r="K524" s="284">
        <v>10000</v>
      </c>
      <c r="L524" s="277">
        <v>1500</v>
      </c>
      <c r="M524" s="275">
        <f>K524*L524/1000</f>
        <v>15000</v>
      </c>
      <c r="N524" s="3">
        <v>30750</v>
      </c>
      <c r="O524" s="279">
        <v>800</v>
      </c>
      <c r="P524" s="275">
        <f>N524*O524/1000</f>
        <v>24600</v>
      </c>
      <c r="Q524" s="285"/>
      <c r="R524" s="285"/>
      <c r="S524" s="275">
        <f t="shared" si="37"/>
        <v>0</v>
      </c>
      <c r="T524" s="285"/>
      <c r="U524" s="285"/>
      <c r="V524" s="275">
        <f t="shared" si="38"/>
        <v>0</v>
      </c>
      <c r="W524" s="275">
        <f t="shared" si="40"/>
        <v>231180</v>
      </c>
      <c r="X524" s="275">
        <f t="shared" si="41"/>
        <v>159300.13</v>
      </c>
      <c r="Y524" s="66"/>
      <c r="Z524" s="66"/>
      <c r="AA524" s="66"/>
      <c r="AB524" s="66"/>
      <c r="AC524" s="66"/>
    </row>
    <row r="525" spans="1:29" x14ac:dyDescent="0.25">
      <c r="A525" s="281" t="s">
        <v>24</v>
      </c>
      <c r="B525" s="284">
        <v>5469</v>
      </c>
      <c r="C525" s="283">
        <v>733</v>
      </c>
      <c r="D525" s="275">
        <f t="shared" si="39"/>
        <v>4008.777</v>
      </c>
      <c r="E525" s="284">
        <v>27434</v>
      </c>
      <c r="F525" s="283">
        <v>1500</v>
      </c>
      <c r="G525" s="275">
        <f t="shared" si="36"/>
        <v>41151</v>
      </c>
      <c r="H525" s="284">
        <v>18375</v>
      </c>
      <c r="I525" s="287">
        <v>1500</v>
      </c>
      <c r="J525" s="275">
        <f t="shared" si="42"/>
        <v>27562.5</v>
      </c>
      <c r="K525" s="284">
        <v>8260</v>
      </c>
      <c r="L525" s="283">
        <v>700</v>
      </c>
      <c r="M525" s="275">
        <f>K525*L525/1000</f>
        <v>5782</v>
      </c>
      <c r="N525" s="282">
        <v>318150</v>
      </c>
      <c r="O525" s="289">
        <v>1500</v>
      </c>
      <c r="P525" s="275">
        <f t="shared" si="43"/>
        <v>477225</v>
      </c>
      <c r="Q525" s="285"/>
      <c r="R525" s="285"/>
      <c r="S525" s="275">
        <f t="shared" si="37"/>
        <v>0</v>
      </c>
      <c r="T525" s="285"/>
      <c r="U525" s="285"/>
      <c r="V525" s="275">
        <f t="shared" si="38"/>
        <v>0</v>
      </c>
      <c r="W525" s="275">
        <f t="shared" si="40"/>
        <v>377688</v>
      </c>
      <c r="X525" s="275">
        <f t="shared" si="41"/>
        <v>555729.277</v>
      </c>
      <c r="Y525" s="66"/>
      <c r="Z525" s="66"/>
      <c r="AA525" s="66"/>
      <c r="AB525" s="66"/>
      <c r="AC525" s="66"/>
    </row>
    <row r="526" spans="1:29" x14ac:dyDescent="0.25">
      <c r="A526" s="20" t="s">
        <v>25</v>
      </c>
      <c r="B526" s="290">
        <f>SUM(B517:B525)</f>
        <v>656596</v>
      </c>
      <c r="C526" s="290"/>
      <c r="D526" s="290">
        <f t="shared" ref="D526:X526" si="44">SUM(D517:D525)</f>
        <v>325100.37699999998</v>
      </c>
      <c r="E526" s="290">
        <f t="shared" si="44"/>
        <v>305208</v>
      </c>
      <c r="F526" s="290"/>
      <c r="G526" s="290">
        <f t="shared" si="44"/>
        <v>222112.65999999997</v>
      </c>
      <c r="H526" s="290">
        <f t="shared" si="44"/>
        <v>101278</v>
      </c>
      <c r="I526" s="290"/>
      <c r="J526" s="290">
        <f t="shared" si="44"/>
        <v>110979.97</v>
      </c>
      <c r="K526" s="290">
        <f t="shared" si="44"/>
        <v>18310</v>
      </c>
      <c r="L526" s="290"/>
      <c r="M526" s="290">
        <f t="shared" si="44"/>
        <v>20939.5</v>
      </c>
      <c r="N526" s="290">
        <f>SUM(N517:N525)</f>
        <v>424650</v>
      </c>
      <c r="O526" s="290"/>
      <c r="P526" s="290">
        <f t="shared" si="44"/>
        <v>551950</v>
      </c>
      <c r="Q526" s="290">
        <f t="shared" si="44"/>
        <v>4500</v>
      </c>
      <c r="R526" s="290"/>
      <c r="S526" s="290">
        <f t="shared" si="44"/>
        <v>8392.5</v>
      </c>
      <c r="T526" s="290">
        <f t="shared" si="44"/>
        <v>0</v>
      </c>
      <c r="U526" s="290"/>
      <c r="V526" s="290">
        <f t="shared" si="44"/>
        <v>0</v>
      </c>
      <c r="W526" s="290">
        <f t="shared" si="44"/>
        <v>1510542</v>
      </c>
      <c r="X526" s="290">
        <f t="shared" si="44"/>
        <v>1239475.0070000002</v>
      </c>
      <c r="Y526" s="66"/>
      <c r="Z526" s="66"/>
      <c r="AA526" s="66"/>
      <c r="AB526" s="66"/>
      <c r="AC526" s="66"/>
    </row>
    <row r="527" spans="1:29" x14ac:dyDescent="0.25">
      <c r="A527" s="281" t="s">
        <v>26</v>
      </c>
      <c r="B527" s="284">
        <v>54495</v>
      </c>
      <c r="C527" s="284">
        <v>863</v>
      </c>
      <c r="D527" s="275">
        <f t="shared" si="39"/>
        <v>47029.184999999998</v>
      </c>
      <c r="E527" s="284">
        <v>173276</v>
      </c>
      <c r="F527" s="284">
        <v>750</v>
      </c>
      <c r="G527" s="275">
        <f t="shared" si="36"/>
        <v>129957</v>
      </c>
      <c r="H527" s="284">
        <v>47806</v>
      </c>
      <c r="I527" s="284">
        <v>1011</v>
      </c>
      <c r="J527" s="275">
        <f t="shared" si="42"/>
        <v>48331.866000000002</v>
      </c>
      <c r="K527" s="284">
        <v>27427</v>
      </c>
      <c r="L527" s="284">
        <v>1020</v>
      </c>
      <c r="M527" s="275">
        <f>K527*L527/1000</f>
        <v>27975.54</v>
      </c>
      <c r="N527" s="282">
        <v>32000</v>
      </c>
      <c r="O527" s="284">
        <v>1000</v>
      </c>
      <c r="P527" s="275">
        <f>N527*O527/1000</f>
        <v>32000</v>
      </c>
      <c r="Q527" s="285"/>
      <c r="R527" s="285"/>
      <c r="S527" s="275">
        <f>Q527*R527/1000</f>
        <v>0</v>
      </c>
      <c r="T527" s="285"/>
      <c r="U527" s="285"/>
      <c r="V527" s="275">
        <f>T527*U527/1000</f>
        <v>0</v>
      </c>
      <c r="W527" s="275">
        <f t="shared" si="40"/>
        <v>335004</v>
      </c>
      <c r="X527" s="275">
        <f>SUM(D527+G527+J527+M527+P527+S527+V527)</f>
        <v>285293.59100000001</v>
      </c>
      <c r="Y527" s="66"/>
      <c r="Z527" s="66"/>
      <c r="AA527" s="66"/>
      <c r="AB527" s="66"/>
      <c r="AC527" s="66"/>
    </row>
    <row r="528" spans="1:29" x14ac:dyDescent="0.25">
      <c r="A528" s="281" t="s">
        <v>27</v>
      </c>
      <c r="B528" s="284">
        <v>22760</v>
      </c>
      <c r="C528" s="284">
        <v>600</v>
      </c>
      <c r="D528" s="275">
        <f t="shared" si="39"/>
        <v>13656</v>
      </c>
      <c r="E528" s="284">
        <v>92714</v>
      </c>
      <c r="F528" s="284">
        <v>720</v>
      </c>
      <c r="G528" s="275">
        <f t="shared" si="36"/>
        <v>66754.080000000002</v>
      </c>
      <c r="H528" s="284">
        <v>7677</v>
      </c>
      <c r="I528" s="284">
        <v>900</v>
      </c>
      <c r="J528" s="275">
        <f t="shared" si="42"/>
        <v>6909.3</v>
      </c>
      <c r="K528" s="284">
        <v>28372</v>
      </c>
      <c r="L528" s="284">
        <v>1500</v>
      </c>
      <c r="M528" s="275">
        <f>K528*L528/1000</f>
        <v>42558</v>
      </c>
      <c r="N528" s="284"/>
      <c r="O528" s="284"/>
      <c r="P528" s="275">
        <f>N528*O528/1000</f>
        <v>0</v>
      </c>
      <c r="Q528" s="285"/>
      <c r="R528" s="285"/>
      <c r="S528" s="275">
        <f>Q528*R528/1000</f>
        <v>0</v>
      </c>
      <c r="T528" s="285"/>
      <c r="U528" s="285"/>
      <c r="V528" s="275">
        <f>T528*U528/1000</f>
        <v>0</v>
      </c>
      <c r="W528" s="275">
        <f t="shared" si="40"/>
        <v>151523</v>
      </c>
      <c r="X528" s="275">
        <f>SUM(D528+G528+J528+M528+P528+S528+V528)</f>
        <v>129877.38</v>
      </c>
      <c r="Y528" s="66"/>
      <c r="Z528" s="66"/>
      <c r="AA528" s="66"/>
      <c r="AB528" s="66"/>
      <c r="AC528" s="66"/>
    </row>
    <row r="529" spans="1:29" x14ac:dyDescent="0.25">
      <c r="A529" s="281" t="s">
        <v>71</v>
      </c>
      <c r="B529" s="284">
        <v>77805</v>
      </c>
      <c r="C529" s="284">
        <v>657</v>
      </c>
      <c r="D529" s="275">
        <f t="shared" si="39"/>
        <v>51117.885000000002</v>
      </c>
      <c r="E529" s="284">
        <v>42218</v>
      </c>
      <c r="F529" s="284">
        <v>432</v>
      </c>
      <c r="G529" s="275">
        <f t="shared" si="36"/>
        <v>18238.175999999999</v>
      </c>
      <c r="H529" s="284">
        <v>9113</v>
      </c>
      <c r="I529" s="284">
        <v>850</v>
      </c>
      <c r="J529" s="275">
        <f t="shared" si="42"/>
        <v>7746.05</v>
      </c>
      <c r="K529" s="284">
        <v>2273</v>
      </c>
      <c r="L529" s="284">
        <v>1850</v>
      </c>
      <c r="M529" s="275">
        <f>K529*L529/1000</f>
        <v>4205.05</v>
      </c>
      <c r="N529" s="282"/>
      <c r="O529" s="285"/>
      <c r="P529" s="275">
        <f>N529*O529/1000</f>
        <v>0</v>
      </c>
      <c r="Q529" s="285"/>
      <c r="R529" s="285"/>
      <c r="S529" s="275">
        <f>Q529*R529/1000</f>
        <v>0</v>
      </c>
      <c r="T529" s="284"/>
      <c r="U529" s="284"/>
      <c r="V529" s="275">
        <f>T529*U529/1000</f>
        <v>0</v>
      </c>
      <c r="W529" s="275">
        <f t="shared" si="40"/>
        <v>131409</v>
      </c>
      <c r="X529" s="275">
        <f>SUM(D529+G529+J529+M529+P529+S529+V529)</f>
        <v>81307.161000000007</v>
      </c>
      <c r="Y529" s="66"/>
      <c r="Z529" s="66"/>
      <c r="AA529" s="66"/>
      <c r="AB529" s="66"/>
      <c r="AC529" s="66"/>
    </row>
    <row r="530" spans="1:29" x14ac:dyDescent="0.25">
      <c r="A530" s="281" t="s">
        <v>72</v>
      </c>
      <c r="B530" s="284">
        <v>25272</v>
      </c>
      <c r="C530" s="284">
        <v>805</v>
      </c>
      <c r="D530" s="275">
        <f t="shared" si="39"/>
        <v>20343.96</v>
      </c>
      <c r="E530" s="284">
        <v>81912</v>
      </c>
      <c r="F530" s="284">
        <v>820</v>
      </c>
      <c r="G530" s="275">
        <f t="shared" si="36"/>
        <v>67167.839999999997</v>
      </c>
      <c r="H530" s="284">
        <v>16932</v>
      </c>
      <c r="I530" s="284">
        <v>890</v>
      </c>
      <c r="J530" s="275">
        <f t="shared" si="42"/>
        <v>15069.48</v>
      </c>
      <c r="K530" s="284">
        <v>1084</v>
      </c>
      <c r="L530" s="284">
        <v>2740</v>
      </c>
      <c r="M530" s="275">
        <f>K530*L530/1000</f>
        <v>2970.16</v>
      </c>
      <c r="N530" s="282"/>
      <c r="O530" s="285"/>
      <c r="P530" s="275">
        <f>N530*O530/1000</f>
        <v>0</v>
      </c>
      <c r="Q530" s="285"/>
      <c r="R530" s="285"/>
      <c r="S530" s="275">
        <f>Q530*R530/1000</f>
        <v>0</v>
      </c>
      <c r="T530" s="285"/>
      <c r="U530" s="285"/>
      <c r="V530" s="275">
        <f>T530*U530/1000</f>
        <v>0</v>
      </c>
      <c r="W530" s="275">
        <f t="shared" si="40"/>
        <v>125200</v>
      </c>
      <c r="X530" s="275">
        <f>SUM(D530+G530+J530+M530+P530+S530+V530)</f>
        <v>105551.43999999999</v>
      </c>
      <c r="Y530" s="66"/>
      <c r="Z530" s="66"/>
      <c r="AA530" s="66"/>
      <c r="AB530" s="66"/>
      <c r="AC530" s="66"/>
    </row>
    <row r="531" spans="1:29" x14ac:dyDescent="0.25">
      <c r="A531" s="281" t="s">
        <v>73</v>
      </c>
      <c r="B531" s="284">
        <v>60696</v>
      </c>
      <c r="C531" s="284">
        <v>630</v>
      </c>
      <c r="D531" s="275">
        <f t="shared" si="39"/>
        <v>38238.480000000003</v>
      </c>
      <c r="E531" s="284">
        <v>130816</v>
      </c>
      <c r="F531" s="284">
        <v>553</v>
      </c>
      <c r="G531" s="275">
        <f t="shared" si="36"/>
        <v>72341.248000000007</v>
      </c>
      <c r="H531" s="284">
        <v>14377</v>
      </c>
      <c r="I531" s="284">
        <v>850</v>
      </c>
      <c r="J531" s="275">
        <f t="shared" si="42"/>
        <v>12220.45</v>
      </c>
      <c r="K531" s="284">
        <v>7730</v>
      </c>
      <c r="L531" s="284">
        <v>1000</v>
      </c>
      <c r="M531" s="275">
        <f>K531*L531/1000</f>
        <v>7730</v>
      </c>
      <c r="N531" s="284"/>
      <c r="O531" s="284"/>
      <c r="P531" s="275">
        <f>N531*O531/1000</f>
        <v>0</v>
      </c>
      <c r="Q531" s="285"/>
      <c r="R531" s="285"/>
      <c r="S531" s="275">
        <f>Q531*R531/1000</f>
        <v>0</v>
      </c>
      <c r="T531" s="285"/>
      <c r="U531" s="285"/>
      <c r="V531" s="275">
        <f>T531*U531/1000</f>
        <v>0</v>
      </c>
      <c r="W531" s="275">
        <f t="shared" si="40"/>
        <v>213619</v>
      </c>
      <c r="X531" s="275">
        <f>SUM(D531+G531+J531+M531+P531+S531+V531)</f>
        <v>130530.178</v>
      </c>
      <c r="Y531" s="66"/>
      <c r="Z531" s="66"/>
      <c r="AA531" s="66"/>
      <c r="AB531" s="66"/>
      <c r="AC531" s="66"/>
    </row>
    <row r="532" spans="1:29" x14ac:dyDescent="0.25">
      <c r="A532" s="23" t="s">
        <v>31</v>
      </c>
      <c r="B532" s="290">
        <f>SUM(B527:B531)</f>
        <v>241028</v>
      </c>
      <c r="C532" s="290"/>
      <c r="D532" s="290">
        <f t="shared" ref="D532:X532" si="45">SUM(D527:D531)</f>
        <v>170385.51</v>
      </c>
      <c r="E532" s="290">
        <f t="shared" si="45"/>
        <v>520936</v>
      </c>
      <c r="F532" s="290"/>
      <c r="G532" s="290">
        <f t="shared" si="45"/>
        <v>354458.34400000004</v>
      </c>
      <c r="H532" s="290">
        <f t="shared" si="45"/>
        <v>95905</v>
      </c>
      <c r="I532" s="290"/>
      <c r="J532" s="290">
        <f t="shared" si="45"/>
        <v>90277.146000000008</v>
      </c>
      <c r="K532" s="290">
        <f t="shared" si="45"/>
        <v>66886</v>
      </c>
      <c r="L532" s="290"/>
      <c r="M532" s="290">
        <f t="shared" si="45"/>
        <v>85438.750000000015</v>
      </c>
      <c r="N532" s="290">
        <f>SUM(N527:N531)</f>
        <v>32000</v>
      </c>
      <c r="O532" s="290"/>
      <c r="P532" s="290">
        <f t="shared" si="45"/>
        <v>32000</v>
      </c>
      <c r="Q532" s="290">
        <f t="shared" si="45"/>
        <v>0</v>
      </c>
      <c r="R532" s="290"/>
      <c r="S532" s="290">
        <f t="shared" si="45"/>
        <v>0</v>
      </c>
      <c r="T532" s="290">
        <f t="shared" si="45"/>
        <v>0</v>
      </c>
      <c r="U532" s="290"/>
      <c r="V532" s="290">
        <f t="shared" si="45"/>
        <v>0</v>
      </c>
      <c r="W532" s="290">
        <f t="shared" si="45"/>
        <v>956755</v>
      </c>
      <c r="X532" s="290">
        <f t="shared" si="45"/>
        <v>732559.75</v>
      </c>
      <c r="Y532" s="66"/>
      <c r="Z532" s="66"/>
      <c r="AA532" s="66"/>
      <c r="AB532" s="66"/>
      <c r="AC532" s="66"/>
    </row>
    <row r="533" spans="1:29" x14ac:dyDescent="0.25">
      <c r="A533" s="281" t="s">
        <v>32</v>
      </c>
      <c r="B533" s="284">
        <f>SUM(B532,B526)</f>
        <v>897624</v>
      </c>
      <c r="C533" s="284"/>
      <c r="D533" s="284">
        <f t="shared" ref="D533:X533" si="46">SUM(D532,D526)</f>
        <v>495485.88699999999</v>
      </c>
      <c r="E533" s="284">
        <f t="shared" si="46"/>
        <v>826144</v>
      </c>
      <c r="F533" s="284"/>
      <c r="G533" s="284">
        <f t="shared" si="46"/>
        <v>576571.00399999996</v>
      </c>
      <c r="H533" s="284">
        <f t="shared" si="46"/>
        <v>197183</v>
      </c>
      <c r="I533" s="284"/>
      <c r="J533" s="284">
        <f t="shared" si="46"/>
        <v>201257.11600000001</v>
      </c>
      <c r="K533" s="284">
        <f t="shared" si="46"/>
        <v>85196</v>
      </c>
      <c r="L533" s="284"/>
      <c r="M533" s="284">
        <f t="shared" si="46"/>
        <v>106378.25000000001</v>
      </c>
      <c r="N533" s="284">
        <f t="shared" si="46"/>
        <v>456650</v>
      </c>
      <c r="O533" s="284"/>
      <c r="P533" s="284">
        <f t="shared" si="46"/>
        <v>583950</v>
      </c>
      <c r="Q533" s="284">
        <f t="shared" si="46"/>
        <v>4500</v>
      </c>
      <c r="R533" s="284">
        <f t="shared" si="46"/>
        <v>0</v>
      </c>
      <c r="S533" s="284">
        <f t="shared" si="46"/>
        <v>8392.5</v>
      </c>
      <c r="T533" s="284">
        <f t="shared" si="46"/>
        <v>0</v>
      </c>
      <c r="U533" s="284">
        <f t="shared" si="46"/>
        <v>0</v>
      </c>
      <c r="V533" s="284">
        <f t="shared" si="46"/>
        <v>0</v>
      </c>
      <c r="W533" s="284">
        <f t="shared" si="46"/>
        <v>2467297</v>
      </c>
      <c r="X533" s="284">
        <f t="shared" si="46"/>
        <v>1972034.7570000002</v>
      </c>
      <c r="Y533" s="66"/>
      <c r="Z533" s="66"/>
      <c r="AA533" s="66"/>
      <c r="AB533" s="66"/>
      <c r="AC533" s="66"/>
    </row>
    <row r="534" spans="1:29" x14ac:dyDescent="0.25">
      <c r="A534" s="291" t="s">
        <v>108</v>
      </c>
      <c r="B534" s="292"/>
      <c r="C534" s="292"/>
      <c r="D534" s="292"/>
      <c r="E534" s="292"/>
      <c r="F534" s="292"/>
      <c r="G534" s="292"/>
      <c r="H534" s="292"/>
      <c r="I534" s="292"/>
      <c r="J534" s="292"/>
      <c r="K534" s="292"/>
      <c r="L534" s="292"/>
      <c r="M534" s="292"/>
      <c r="N534" s="293" t="s">
        <v>34</v>
      </c>
      <c r="O534" s="3"/>
      <c r="P534" s="28"/>
      <c r="Q534" s="293" t="s">
        <v>35</v>
      </c>
      <c r="R534" s="292"/>
      <c r="S534" s="292"/>
      <c r="T534" s="292"/>
      <c r="U534" s="292" t="s">
        <v>109</v>
      </c>
      <c r="V534" s="292"/>
      <c r="W534" s="292"/>
      <c r="X534" s="292"/>
      <c r="Y534" s="66"/>
      <c r="Z534" s="66"/>
      <c r="AA534" s="66"/>
      <c r="AB534" s="66"/>
      <c r="AC534" s="66"/>
    </row>
    <row r="535" spans="1:29" x14ac:dyDescent="0.25">
      <c r="A535" s="291"/>
      <c r="B535" s="292"/>
      <c r="C535" s="292"/>
      <c r="D535" s="292"/>
      <c r="E535" s="292"/>
      <c r="F535" s="292"/>
      <c r="G535" s="292"/>
      <c r="H535" s="292"/>
      <c r="I535" s="292"/>
      <c r="J535" s="292"/>
      <c r="K535" s="292"/>
      <c r="L535" s="292"/>
      <c r="M535" s="292"/>
      <c r="N535" s="293"/>
      <c r="O535" s="3"/>
      <c r="P535" s="28"/>
      <c r="Q535" s="293"/>
      <c r="R535" s="292"/>
      <c r="S535" s="292"/>
      <c r="T535" s="292"/>
      <c r="U535" s="292"/>
      <c r="V535" s="292"/>
      <c r="W535" s="292"/>
      <c r="X535" s="292"/>
      <c r="Y535" s="66"/>
      <c r="Z535" s="66"/>
      <c r="AA535" s="66"/>
      <c r="AB535" s="66"/>
      <c r="AC535" s="66"/>
    </row>
    <row r="536" spans="1:29" x14ac:dyDescent="0.25">
      <c r="A536" s="260" t="s">
        <v>110</v>
      </c>
      <c r="B536" s="261" t="s">
        <v>111</v>
      </c>
      <c r="C536" s="292"/>
      <c r="D536" s="292"/>
      <c r="E536" s="292"/>
      <c r="F536" s="292"/>
      <c r="G536" s="292"/>
      <c r="H536" s="292"/>
      <c r="I536" s="292"/>
      <c r="J536" s="292"/>
      <c r="K536" s="292"/>
      <c r="L536" s="3"/>
      <c r="M536" s="292"/>
      <c r="N536" s="3"/>
      <c r="O536" s="3"/>
      <c r="P536" s="3"/>
      <c r="Q536" s="3"/>
      <c r="R536" s="3"/>
      <c r="S536" s="3"/>
      <c r="T536" s="3"/>
      <c r="U536" s="3"/>
      <c r="V536" s="3"/>
      <c r="W536" s="3"/>
      <c r="X536" s="3"/>
      <c r="Y536" s="66"/>
      <c r="Z536" s="66"/>
      <c r="AA536" s="66"/>
      <c r="AB536" s="66"/>
      <c r="AC536" s="66"/>
    </row>
    <row r="537" spans="1:29" x14ac:dyDescent="0.25">
      <c r="A537" s="294" t="s">
        <v>2</v>
      </c>
      <c r="B537" s="266"/>
      <c r="C537" s="264" t="s">
        <v>37</v>
      </c>
      <c r="D537" s="265"/>
      <c r="E537" s="266"/>
      <c r="F537" s="264" t="s">
        <v>38</v>
      </c>
      <c r="G537" s="265"/>
      <c r="H537" s="266"/>
      <c r="I537" s="264" t="s">
        <v>69</v>
      </c>
      <c r="J537" s="265"/>
      <c r="K537" s="266"/>
      <c r="L537" s="267" t="s">
        <v>70</v>
      </c>
      <c r="M537" s="265"/>
      <c r="N537" s="266"/>
      <c r="O537" s="267" t="s">
        <v>41</v>
      </c>
      <c r="P537" s="265"/>
      <c r="Q537" s="263"/>
      <c r="R537" s="267" t="s">
        <v>54</v>
      </c>
      <c r="S537" s="263"/>
      <c r="T537" s="263"/>
      <c r="U537" s="267" t="s">
        <v>43</v>
      </c>
      <c r="V537" s="263"/>
      <c r="W537" s="295"/>
      <c r="X537" s="296" t="s">
        <v>57</v>
      </c>
      <c r="Y537" s="66"/>
      <c r="Z537" s="66"/>
      <c r="AA537" s="66"/>
      <c r="AB537" s="66"/>
      <c r="AC537" s="66"/>
    </row>
    <row r="538" spans="1:29" ht="15.75" thickBot="1" x14ac:dyDescent="0.3">
      <c r="A538" s="297" t="s">
        <v>11</v>
      </c>
      <c r="B538" s="272" t="s">
        <v>12</v>
      </c>
      <c r="C538" s="272" t="s">
        <v>13</v>
      </c>
      <c r="D538" s="272" t="s">
        <v>14</v>
      </c>
      <c r="E538" s="272" t="s">
        <v>12</v>
      </c>
      <c r="F538" s="272" t="s">
        <v>13</v>
      </c>
      <c r="G538" s="272" t="s">
        <v>14</v>
      </c>
      <c r="H538" s="272" t="s">
        <v>12</v>
      </c>
      <c r="I538" s="272" t="s">
        <v>13</v>
      </c>
      <c r="J538" s="272" t="s">
        <v>14</v>
      </c>
      <c r="K538" s="272" t="s">
        <v>12</v>
      </c>
      <c r="L538" s="272" t="s">
        <v>13</v>
      </c>
      <c r="M538" s="272" t="s">
        <v>14</v>
      </c>
      <c r="N538" s="272" t="s">
        <v>12</v>
      </c>
      <c r="O538" s="272" t="s">
        <v>13</v>
      </c>
      <c r="P538" s="272" t="s">
        <v>14</v>
      </c>
      <c r="Q538" s="272" t="s">
        <v>12</v>
      </c>
      <c r="R538" s="272" t="s">
        <v>13</v>
      </c>
      <c r="S538" s="272" t="s">
        <v>14</v>
      </c>
      <c r="T538" s="272" t="s">
        <v>12</v>
      </c>
      <c r="U538" s="272" t="s">
        <v>13</v>
      </c>
      <c r="V538" s="298" t="s">
        <v>14</v>
      </c>
      <c r="W538" s="273" t="s">
        <v>12</v>
      </c>
      <c r="X538" s="299" t="s">
        <v>14</v>
      </c>
      <c r="Y538" s="66"/>
      <c r="Z538" s="66"/>
      <c r="AA538" s="66"/>
      <c r="AB538" s="66"/>
      <c r="AC538" s="66"/>
    </row>
    <row r="539" spans="1:29" ht="15.75" thickTop="1" x14ac:dyDescent="0.25">
      <c r="A539" s="274" t="s">
        <v>15</v>
      </c>
      <c r="B539" s="275">
        <v>19120</v>
      </c>
      <c r="C539" s="275">
        <v>500</v>
      </c>
      <c r="D539" s="275">
        <f t="shared" ref="D539:D547" si="47">B539*C539/1000</f>
        <v>9560</v>
      </c>
      <c r="E539" s="275">
        <v>5260</v>
      </c>
      <c r="F539" s="275">
        <v>250</v>
      </c>
      <c r="G539" s="275">
        <f t="shared" ref="G539:G547" si="48">E539*F539/1000</f>
        <v>1315</v>
      </c>
      <c r="H539" s="275">
        <v>180</v>
      </c>
      <c r="I539" s="300">
        <v>500</v>
      </c>
      <c r="J539" s="275">
        <f t="shared" ref="J539:J547" si="49">H539*I539/1000</f>
        <v>90</v>
      </c>
      <c r="K539" s="280"/>
      <c r="L539" s="280"/>
      <c r="M539" s="275">
        <f t="shared" ref="M539:M547" si="50">K539*L539/1000</f>
        <v>0</v>
      </c>
      <c r="N539" s="280"/>
      <c r="O539" s="280"/>
      <c r="P539" s="275">
        <f t="shared" ref="P539:P547" si="51">N539*O539/1000</f>
        <v>0</v>
      </c>
      <c r="Q539" s="280"/>
      <c r="R539" s="280"/>
      <c r="S539" s="275">
        <f t="shared" ref="S539:S547" si="52">Q539*R539/1000</f>
        <v>0</v>
      </c>
      <c r="T539" s="280"/>
      <c r="U539" s="280"/>
      <c r="V539" s="275">
        <f t="shared" ref="V539:V547" si="53">T539*U539/1000</f>
        <v>0</v>
      </c>
      <c r="W539" s="275">
        <f>SUM(B539+E539+H539+K539+N539+Q539+T539)</f>
        <v>24560</v>
      </c>
      <c r="X539" s="301">
        <f>SUM(D539+G539+J539+M539+P539+S539+V539)</f>
        <v>10965</v>
      </c>
      <c r="Y539" s="66"/>
      <c r="Z539" s="66"/>
      <c r="AA539" s="66"/>
      <c r="AB539" s="66"/>
      <c r="AC539" s="66"/>
    </row>
    <row r="540" spans="1:29" x14ac:dyDescent="0.25">
      <c r="A540" s="281" t="s">
        <v>49</v>
      </c>
      <c r="B540" s="285"/>
      <c r="C540" s="285"/>
      <c r="D540" s="275">
        <f t="shared" si="47"/>
        <v>0</v>
      </c>
      <c r="E540" s="285"/>
      <c r="F540" s="285"/>
      <c r="G540" s="275">
        <f t="shared" si="48"/>
        <v>0</v>
      </c>
      <c r="H540" s="285"/>
      <c r="I540" s="286"/>
      <c r="J540" s="275">
        <f t="shared" si="49"/>
        <v>0</v>
      </c>
      <c r="K540" s="285"/>
      <c r="L540" s="285"/>
      <c r="M540" s="275">
        <f t="shared" si="50"/>
        <v>0</v>
      </c>
      <c r="N540" s="285"/>
      <c r="O540" s="285"/>
      <c r="P540" s="275">
        <f t="shared" si="51"/>
        <v>0</v>
      </c>
      <c r="Q540" s="285"/>
      <c r="R540" s="285"/>
      <c r="S540" s="275">
        <f t="shared" si="52"/>
        <v>0</v>
      </c>
      <c r="T540" s="285"/>
      <c r="U540" s="285"/>
      <c r="V540" s="275">
        <f t="shared" si="53"/>
        <v>0</v>
      </c>
      <c r="W540" s="275">
        <f t="shared" ref="W540:W553" si="54">SUM(B540+E540+H540+K540+N540+Q540+T540)</f>
        <v>0</v>
      </c>
      <c r="X540" s="301">
        <f t="shared" ref="X540:X547" si="55">SUM(D540+G540+J540+M540+P540+S540+V540)</f>
        <v>0</v>
      </c>
      <c r="Y540" s="66"/>
      <c r="Z540" s="66"/>
      <c r="AA540" s="66"/>
      <c r="AB540" s="66"/>
      <c r="AC540" s="66"/>
    </row>
    <row r="541" spans="1:29" x14ac:dyDescent="0.25">
      <c r="A541" s="281" t="s">
        <v>17</v>
      </c>
      <c r="B541" s="284"/>
      <c r="C541" s="284"/>
      <c r="D541" s="275">
        <f t="shared" si="47"/>
        <v>0</v>
      </c>
      <c r="E541" s="284"/>
      <c r="F541" s="284"/>
      <c r="G541" s="275">
        <f t="shared" si="48"/>
        <v>0</v>
      </c>
      <c r="H541" s="284"/>
      <c r="I541" s="286"/>
      <c r="J541" s="275">
        <f t="shared" si="49"/>
        <v>0</v>
      </c>
      <c r="K541" s="285"/>
      <c r="L541" s="285"/>
      <c r="M541" s="275">
        <f t="shared" si="50"/>
        <v>0</v>
      </c>
      <c r="N541" s="285"/>
      <c r="O541" s="285"/>
      <c r="P541" s="275">
        <f t="shared" si="51"/>
        <v>0</v>
      </c>
      <c r="Q541" s="285"/>
      <c r="R541" s="285"/>
      <c r="S541" s="275">
        <f t="shared" si="52"/>
        <v>0</v>
      </c>
      <c r="T541" s="285"/>
      <c r="U541" s="285"/>
      <c r="V541" s="275">
        <f t="shared" si="53"/>
        <v>0</v>
      </c>
      <c r="W541" s="275">
        <f t="shared" si="54"/>
        <v>0</v>
      </c>
      <c r="X541" s="301">
        <f t="shared" si="55"/>
        <v>0</v>
      </c>
      <c r="Y541" s="66"/>
      <c r="Z541" s="66"/>
      <c r="AA541" s="66"/>
      <c r="AB541" s="66"/>
      <c r="AC541" s="66"/>
    </row>
    <row r="542" spans="1:29" x14ac:dyDescent="0.25">
      <c r="A542" s="281" t="s">
        <v>112</v>
      </c>
      <c r="B542" s="284">
        <v>19854</v>
      </c>
      <c r="C542" s="284">
        <v>857</v>
      </c>
      <c r="D542" s="275">
        <f t="shared" si="47"/>
        <v>17014.878000000001</v>
      </c>
      <c r="E542" s="282">
        <v>30</v>
      </c>
      <c r="F542" s="281">
        <v>260</v>
      </c>
      <c r="G542" s="275">
        <f t="shared" si="48"/>
        <v>7.8</v>
      </c>
      <c r="H542" s="282"/>
      <c r="I542" s="287"/>
      <c r="J542" s="275">
        <f t="shared" si="49"/>
        <v>0</v>
      </c>
      <c r="K542" s="285"/>
      <c r="L542" s="285"/>
      <c r="M542" s="275">
        <f t="shared" si="50"/>
        <v>0</v>
      </c>
      <c r="N542" s="284"/>
      <c r="O542" s="284"/>
      <c r="P542" s="275">
        <f t="shared" si="51"/>
        <v>0</v>
      </c>
      <c r="Q542" s="285"/>
      <c r="R542" s="285"/>
      <c r="S542" s="275">
        <f t="shared" si="52"/>
        <v>0</v>
      </c>
      <c r="T542" s="285"/>
      <c r="U542" s="285"/>
      <c r="V542" s="275">
        <f t="shared" si="53"/>
        <v>0</v>
      </c>
      <c r="W542" s="275">
        <f t="shared" si="54"/>
        <v>19884</v>
      </c>
      <c r="X542" s="301">
        <f t="shared" si="55"/>
        <v>17022.678</v>
      </c>
      <c r="Y542" s="66"/>
      <c r="Z542" s="66"/>
      <c r="AA542" s="66"/>
      <c r="AB542" s="66"/>
      <c r="AC542" s="66"/>
    </row>
    <row r="543" spans="1:29" x14ac:dyDescent="0.25">
      <c r="A543" s="281" t="s">
        <v>20</v>
      </c>
      <c r="B543" s="284">
        <v>6390</v>
      </c>
      <c r="C543" s="284">
        <v>1527</v>
      </c>
      <c r="D543" s="275">
        <f t="shared" si="47"/>
        <v>9757.5300000000007</v>
      </c>
      <c r="E543" s="284">
        <v>7690</v>
      </c>
      <c r="F543" s="284">
        <v>500</v>
      </c>
      <c r="G543" s="275">
        <f t="shared" si="48"/>
        <v>3845</v>
      </c>
      <c r="H543" s="284">
        <v>65</v>
      </c>
      <c r="I543" s="302">
        <v>600</v>
      </c>
      <c r="J543" s="275">
        <f t="shared" si="49"/>
        <v>39</v>
      </c>
      <c r="K543" s="285"/>
      <c r="L543" s="285"/>
      <c r="M543" s="275">
        <f t="shared" si="50"/>
        <v>0</v>
      </c>
      <c r="N543" s="285"/>
      <c r="O543" s="285"/>
      <c r="P543" s="275">
        <f t="shared" si="51"/>
        <v>0</v>
      </c>
      <c r="Q543" s="285"/>
      <c r="R543" s="285"/>
      <c r="S543" s="275">
        <f t="shared" si="52"/>
        <v>0</v>
      </c>
      <c r="T543" s="285"/>
      <c r="U543" s="285"/>
      <c r="V543" s="275">
        <f t="shared" si="53"/>
        <v>0</v>
      </c>
      <c r="W543" s="275">
        <f t="shared" si="54"/>
        <v>14145</v>
      </c>
      <c r="X543" s="301">
        <f t="shared" si="55"/>
        <v>13641.53</v>
      </c>
      <c r="Y543" s="66"/>
      <c r="Z543" s="66"/>
      <c r="AA543" s="66"/>
      <c r="AB543" s="66"/>
      <c r="AC543" s="66"/>
    </row>
    <row r="544" spans="1:29" x14ac:dyDescent="0.25">
      <c r="A544" s="281" t="s">
        <v>21</v>
      </c>
      <c r="B544" s="281"/>
      <c r="C544" s="281"/>
      <c r="D544" s="275">
        <f t="shared" si="47"/>
        <v>0</v>
      </c>
      <c r="E544" s="285"/>
      <c r="F544" s="285"/>
      <c r="G544" s="275">
        <f t="shared" si="48"/>
        <v>0</v>
      </c>
      <c r="H544" s="281"/>
      <c r="I544" s="286"/>
      <c r="J544" s="275">
        <f t="shared" si="49"/>
        <v>0</v>
      </c>
      <c r="K544" s="285"/>
      <c r="L544" s="285"/>
      <c r="M544" s="275">
        <f t="shared" si="50"/>
        <v>0</v>
      </c>
      <c r="N544" s="285"/>
      <c r="O544" s="285"/>
      <c r="P544" s="275">
        <f t="shared" si="51"/>
        <v>0</v>
      </c>
      <c r="Q544" s="285"/>
      <c r="R544" s="285"/>
      <c r="S544" s="275">
        <f t="shared" si="52"/>
        <v>0</v>
      </c>
      <c r="T544" s="285"/>
      <c r="U544" s="285"/>
      <c r="V544" s="275">
        <f t="shared" si="53"/>
        <v>0</v>
      </c>
      <c r="W544" s="275">
        <f t="shared" si="54"/>
        <v>0</v>
      </c>
      <c r="X544" s="301">
        <f t="shared" si="55"/>
        <v>0</v>
      </c>
      <c r="Y544" s="66"/>
      <c r="Z544" s="66"/>
      <c r="AA544" s="66"/>
      <c r="AB544" s="66"/>
      <c r="AC544" s="66"/>
    </row>
    <row r="545" spans="1:29" x14ac:dyDescent="0.25">
      <c r="A545" s="281" t="s">
        <v>22</v>
      </c>
      <c r="B545" s="281"/>
      <c r="C545" s="281"/>
      <c r="D545" s="275">
        <f t="shared" si="47"/>
        <v>0</v>
      </c>
      <c r="E545" s="285"/>
      <c r="F545" s="285"/>
      <c r="G545" s="275">
        <f t="shared" si="48"/>
        <v>0</v>
      </c>
      <c r="H545" s="285"/>
      <c r="I545" s="302"/>
      <c r="J545" s="275">
        <f t="shared" si="49"/>
        <v>0</v>
      </c>
      <c r="K545" s="285"/>
      <c r="L545" s="285"/>
      <c r="M545" s="275">
        <f t="shared" si="50"/>
        <v>0</v>
      </c>
      <c r="N545" s="284"/>
      <c r="O545" s="284"/>
      <c r="P545" s="275">
        <f t="shared" si="51"/>
        <v>0</v>
      </c>
      <c r="Q545" s="285"/>
      <c r="R545" s="285"/>
      <c r="S545" s="275">
        <f t="shared" si="52"/>
        <v>0</v>
      </c>
      <c r="T545" s="285"/>
      <c r="U545" s="285"/>
      <c r="V545" s="275">
        <f t="shared" si="53"/>
        <v>0</v>
      </c>
      <c r="W545" s="275">
        <f t="shared" si="54"/>
        <v>0</v>
      </c>
      <c r="X545" s="301">
        <f t="shared" si="55"/>
        <v>0</v>
      </c>
      <c r="Y545" s="66"/>
      <c r="Z545" s="66"/>
      <c r="AA545" s="66"/>
      <c r="AB545" s="66"/>
      <c r="AC545" s="66"/>
    </row>
    <row r="546" spans="1:29" x14ac:dyDescent="0.25">
      <c r="A546" s="281" t="s">
        <v>23</v>
      </c>
      <c r="B546" s="284">
        <v>113983</v>
      </c>
      <c r="C546" s="284">
        <v>950</v>
      </c>
      <c r="D546" s="275">
        <f t="shared" si="47"/>
        <v>108283.85</v>
      </c>
      <c r="E546" s="284">
        <v>11435</v>
      </c>
      <c r="F546" s="284">
        <v>510</v>
      </c>
      <c r="G546" s="275">
        <f t="shared" si="48"/>
        <v>5831.85</v>
      </c>
      <c r="H546" s="284">
        <v>39310</v>
      </c>
      <c r="I546" s="287">
        <v>700</v>
      </c>
      <c r="J546" s="275">
        <f t="shared" si="49"/>
        <v>27517</v>
      </c>
      <c r="K546" s="285"/>
      <c r="L546" s="285"/>
      <c r="M546" s="275">
        <f t="shared" si="50"/>
        <v>0</v>
      </c>
      <c r="N546" s="285"/>
      <c r="O546" s="285"/>
      <c r="P546" s="275">
        <f t="shared" si="51"/>
        <v>0</v>
      </c>
      <c r="Q546" s="285"/>
      <c r="R546" s="285"/>
      <c r="S546" s="275">
        <f t="shared" si="52"/>
        <v>0</v>
      </c>
      <c r="T546" s="285"/>
      <c r="U546" s="285"/>
      <c r="V546" s="275">
        <f t="shared" si="53"/>
        <v>0</v>
      </c>
      <c r="W546" s="275">
        <f t="shared" si="54"/>
        <v>164728</v>
      </c>
      <c r="X546" s="301">
        <f t="shared" si="55"/>
        <v>141632.70000000001</v>
      </c>
      <c r="Y546" s="66"/>
      <c r="Z546" s="66"/>
      <c r="AA546" s="66"/>
      <c r="AB546" s="66"/>
      <c r="AC546" s="66"/>
    </row>
    <row r="547" spans="1:29" x14ac:dyDescent="0.25">
      <c r="A547" s="281" t="s">
        <v>24</v>
      </c>
      <c r="B547" s="284">
        <v>7660</v>
      </c>
      <c r="C547" s="284">
        <v>900</v>
      </c>
      <c r="D547" s="275">
        <f t="shared" si="47"/>
        <v>6894</v>
      </c>
      <c r="E547" s="284">
        <v>1090</v>
      </c>
      <c r="F547" s="284">
        <v>400</v>
      </c>
      <c r="G547" s="275">
        <f t="shared" si="48"/>
        <v>436</v>
      </c>
      <c r="H547" s="284">
        <v>690</v>
      </c>
      <c r="I547" s="287">
        <v>600</v>
      </c>
      <c r="J547" s="275">
        <f t="shared" si="49"/>
        <v>414</v>
      </c>
      <c r="K547" s="285"/>
      <c r="L547" s="285"/>
      <c r="M547" s="275">
        <f t="shared" si="50"/>
        <v>0</v>
      </c>
      <c r="N547" s="284"/>
      <c r="O547" s="284"/>
      <c r="P547" s="275">
        <f t="shared" si="51"/>
        <v>0</v>
      </c>
      <c r="Q547" s="285"/>
      <c r="R547" s="285"/>
      <c r="S547" s="275">
        <f t="shared" si="52"/>
        <v>0</v>
      </c>
      <c r="T547" s="285"/>
      <c r="U547" s="285"/>
      <c r="V547" s="275">
        <f t="shared" si="53"/>
        <v>0</v>
      </c>
      <c r="W547" s="275">
        <f t="shared" si="54"/>
        <v>9440</v>
      </c>
      <c r="X547" s="301">
        <f t="shared" si="55"/>
        <v>7744</v>
      </c>
      <c r="Y547" s="66"/>
      <c r="Z547" s="66"/>
      <c r="AA547" s="66"/>
      <c r="AB547" s="66"/>
      <c r="AC547" s="66"/>
    </row>
    <row r="548" spans="1:29" x14ac:dyDescent="0.25">
      <c r="A548" s="20" t="s">
        <v>25</v>
      </c>
      <c r="B548" s="290">
        <f>SUM(B539:B547)</f>
        <v>167007</v>
      </c>
      <c r="C548" s="290"/>
      <c r="D548" s="290">
        <f t="shared" ref="D548:X548" si="56">SUM(D539:D547)</f>
        <v>151510.258</v>
      </c>
      <c r="E548" s="290">
        <f t="shared" si="56"/>
        <v>25505</v>
      </c>
      <c r="F548" s="290"/>
      <c r="G548" s="290">
        <f t="shared" si="56"/>
        <v>11435.650000000001</v>
      </c>
      <c r="H548" s="290">
        <f t="shared" si="56"/>
        <v>40245</v>
      </c>
      <c r="I548" s="290"/>
      <c r="J548" s="290">
        <f t="shared" si="56"/>
        <v>28060</v>
      </c>
      <c r="K548" s="290">
        <f t="shared" si="56"/>
        <v>0</v>
      </c>
      <c r="L548" s="290"/>
      <c r="M548" s="290">
        <f t="shared" si="56"/>
        <v>0</v>
      </c>
      <c r="N548" s="290">
        <f t="shared" si="56"/>
        <v>0</v>
      </c>
      <c r="O548" s="290"/>
      <c r="P548" s="290">
        <f t="shared" si="56"/>
        <v>0</v>
      </c>
      <c r="Q548" s="290">
        <f t="shared" si="56"/>
        <v>0</v>
      </c>
      <c r="R548" s="290"/>
      <c r="S548" s="290">
        <f t="shared" si="56"/>
        <v>0</v>
      </c>
      <c r="T548" s="290">
        <f t="shared" si="56"/>
        <v>0</v>
      </c>
      <c r="U548" s="290"/>
      <c r="V548" s="290">
        <f t="shared" si="56"/>
        <v>0</v>
      </c>
      <c r="W548" s="290">
        <f t="shared" si="56"/>
        <v>232757</v>
      </c>
      <c r="X548" s="290">
        <f t="shared" si="56"/>
        <v>191005.908</v>
      </c>
      <c r="Y548" s="66"/>
      <c r="Z548" s="66"/>
      <c r="AA548" s="66"/>
      <c r="AB548" s="66"/>
      <c r="AC548" s="66"/>
    </row>
    <row r="549" spans="1:29" x14ac:dyDescent="0.25">
      <c r="A549" s="281" t="s">
        <v>47</v>
      </c>
      <c r="B549" s="284">
        <v>101103</v>
      </c>
      <c r="C549" s="26">
        <v>950</v>
      </c>
      <c r="D549" s="275">
        <f>B549*C549/1000</f>
        <v>96047.85</v>
      </c>
      <c r="E549" s="284">
        <v>26880</v>
      </c>
      <c r="F549" s="283">
        <v>500</v>
      </c>
      <c r="G549" s="275">
        <f>E549*F549/1000</f>
        <v>13440</v>
      </c>
      <c r="H549" s="284">
        <v>56292</v>
      </c>
      <c r="I549" s="284">
        <v>600</v>
      </c>
      <c r="J549" s="275">
        <f>H549*I549/1000</f>
        <v>33775.199999999997</v>
      </c>
      <c r="K549" s="285"/>
      <c r="L549" s="285"/>
      <c r="M549" s="275">
        <f>K549*L549/1000</f>
        <v>0</v>
      </c>
      <c r="N549" s="284">
        <v>17817</v>
      </c>
      <c r="O549" s="284">
        <v>5620</v>
      </c>
      <c r="P549" s="275">
        <f>N549*O549/1000</f>
        <v>100131.54</v>
      </c>
      <c r="Q549" s="285">
        <v>1486</v>
      </c>
      <c r="R549" s="285">
        <v>5600</v>
      </c>
      <c r="S549" s="275">
        <f>Q549*R549/1000</f>
        <v>8321.6</v>
      </c>
      <c r="T549" s="285">
        <v>4655</v>
      </c>
      <c r="U549" s="285">
        <v>6000</v>
      </c>
      <c r="V549" s="275">
        <f>T549*U549/1000</f>
        <v>27930</v>
      </c>
      <c r="W549" s="275">
        <f t="shared" si="54"/>
        <v>208233</v>
      </c>
      <c r="X549" s="301">
        <f>SUM(D549+G549+J549+M549+P549+S549+V549)</f>
        <v>279646.18999999994</v>
      </c>
      <c r="Y549" s="66"/>
      <c r="Z549" s="66"/>
      <c r="AA549" s="66"/>
      <c r="AB549" s="66"/>
      <c r="AC549" s="66"/>
    </row>
    <row r="550" spans="1:29" x14ac:dyDescent="0.25">
      <c r="A550" s="281" t="s">
        <v>27</v>
      </c>
      <c r="B550" s="284">
        <v>24866</v>
      </c>
      <c r="C550" s="26">
        <v>760</v>
      </c>
      <c r="D550" s="275">
        <f>B550*C550/1000</f>
        <v>18898.16</v>
      </c>
      <c r="E550" s="284">
        <v>4227</v>
      </c>
      <c r="F550" s="283">
        <v>270</v>
      </c>
      <c r="G550" s="275">
        <f>E550*F550/1000</f>
        <v>1141.29</v>
      </c>
      <c r="H550" s="284">
        <v>3817</v>
      </c>
      <c r="I550" s="287">
        <v>500</v>
      </c>
      <c r="J550" s="275">
        <f>H550*I550/1000</f>
        <v>1908.5</v>
      </c>
      <c r="K550" s="285"/>
      <c r="L550" s="285"/>
      <c r="M550" s="275">
        <f>K550*L550/1000</f>
        <v>0</v>
      </c>
      <c r="N550" s="284">
        <v>3512</v>
      </c>
      <c r="O550" s="284">
        <v>5000</v>
      </c>
      <c r="P550" s="275">
        <f>N550*O550/1000</f>
        <v>17560</v>
      </c>
      <c r="Q550" s="285">
        <v>4904</v>
      </c>
      <c r="R550" s="285">
        <v>7230</v>
      </c>
      <c r="S550" s="275">
        <f>Q550*R550/1000</f>
        <v>35455.919999999998</v>
      </c>
      <c r="T550" s="285"/>
      <c r="U550" s="285"/>
      <c r="V550" s="275">
        <f>T550*U550/1000</f>
        <v>0</v>
      </c>
      <c r="W550" s="275">
        <f t="shared" si="54"/>
        <v>41326</v>
      </c>
      <c r="X550" s="301">
        <f>SUM(D550+G550+J550+M550+P550+S550+V550)</f>
        <v>74963.87</v>
      </c>
      <c r="Y550" s="66"/>
      <c r="Z550" s="66"/>
      <c r="AA550" s="66"/>
      <c r="AB550" s="66"/>
      <c r="AC550" s="66"/>
    </row>
    <row r="551" spans="1:29" x14ac:dyDescent="0.25">
      <c r="A551" s="281" t="s">
        <v>71</v>
      </c>
      <c r="B551" s="284">
        <v>47135</v>
      </c>
      <c r="C551" s="26">
        <v>1673</v>
      </c>
      <c r="D551" s="275">
        <f>B551*C551/1000</f>
        <v>78856.854999999996</v>
      </c>
      <c r="E551" s="284">
        <v>18306</v>
      </c>
      <c r="F551" s="283">
        <v>340</v>
      </c>
      <c r="G551" s="275">
        <f>E551*F551/1000</f>
        <v>6224.04</v>
      </c>
      <c r="H551" s="284">
        <v>4525</v>
      </c>
      <c r="I551" s="284">
        <v>450</v>
      </c>
      <c r="J551" s="275">
        <f>H551*I551/1000</f>
        <v>2036.25</v>
      </c>
      <c r="K551" s="285"/>
      <c r="L551" s="285"/>
      <c r="M551" s="275">
        <f>K551*L551/1000</f>
        <v>0</v>
      </c>
      <c r="N551" s="284">
        <v>7847</v>
      </c>
      <c r="O551" s="284">
        <v>4800</v>
      </c>
      <c r="P551" s="275">
        <f>N551*O551/1000</f>
        <v>37665.599999999999</v>
      </c>
      <c r="Q551" s="285">
        <v>2776</v>
      </c>
      <c r="R551" s="285">
        <v>5000</v>
      </c>
      <c r="S551" s="275">
        <f>Q551*R551/1000</f>
        <v>13880</v>
      </c>
      <c r="T551" s="285"/>
      <c r="U551" s="285"/>
      <c r="V551" s="275">
        <f>T551*U551/1000</f>
        <v>0</v>
      </c>
      <c r="W551" s="275">
        <f t="shared" si="54"/>
        <v>80589</v>
      </c>
      <c r="X551" s="301">
        <f>SUM(D551+G551+J551+M551+P551+S551+V551)</f>
        <v>138662.745</v>
      </c>
      <c r="Y551" s="66"/>
      <c r="Z551" s="66"/>
      <c r="AA551" s="66"/>
      <c r="AB551" s="66"/>
      <c r="AC551" s="66"/>
    </row>
    <row r="552" spans="1:29" x14ac:dyDescent="0.25">
      <c r="A552" s="281" t="s">
        <v>72</v>
      </c>
      <c r="B552" s="284">
        <v>50809</v>
      </c>
      <c r="C552" s="26">
        <v>850</v>
      </c>
      <c r="D552" s="275">
        <f>B552*C552/1000</f>
        <v>43187.65</v>
      </c>
      <c r="E552" s="284">
        <v>16472</v>
      </c>
      <c r="F552" s="283">
        <v>355</v>
      </c>
      <c r="G552" s="275">
        <f>E552*F552/1000</f>
        <v>5847.56</v>
      </c>
      <c r="H552" s="284">
        <v>5786</v>
      </c>
      <c r="I552" s="284">
        <v>450</v>
      </c>
      <c r="J552" s="275">
        <f>H552*I552/1000</f>
        <v>2603.6999999999998</v>
      </c>
      <c r="K552" s="285"/>
      <c r="L552" s="285"/>
      <c r="M552" s="275">
        <f>K552*L552/1000</f>
        <v>0</v>
      </c>
      <c r="N552" s="284">
        <v>7367</v>
      </c>
      <c r="O552" s="284">
        <v>4500</v>
      </c>
      <c r="P552" s="275">
        <f>N552*O552/1000</f>
        <v>33151.5</v>
      </c>
      <c r="Q552" s="285"/>
      <c r="R552" s="285"/>
      <c r="S552" s="275">
        <f>Q552*R552/1000</f>
        <v>0</v>
      </c>
      <c r="T552" s="285"/>
      <c r="U552" s="285"/>
      <c r="V552" s="275">
        <f>T552*U552/1000</f>
        <v>0</v>
      </c>
      <c r="W552" s="275">
        <f t="shared" si="54"/>
        <v>80434</v>
      </c>
      <c r="X552" s="301">
        <f>SUM(D552+G552+J552+M552+P552+S552+V552)</f>
        <v>84790.41</v>
      </c>
      <c r="Y552" s="66"/>
      <c r="Z552" s="66"/>
      <c r="AA552" s="66"/>
      <c r="AB552" s="66"/>
      <c r="AC552" s="66"/>
    </row>
    <row r="553" spans="1:29" x14ac:dyDescent="0.25">
      <c r="A553" s="281" t="s">
        <v>73</v>
      </c>
      <c r="B553" s="284">
        <v>62667</v>
      </c>
      <c r="C553" s="26">
        <v>1210</v>
      </c>
      <c r="D553" s="275">
        <f>B553*C553/1000</f>
        <v>75827.070000000007</v>
      </c>
      <c r="E553" s="284">
        <v>4881</v>
      </c>
      <c r="F553" s="283">
        <v>400</v>
      </c>
      <c r="G553" s="275">
        <f>E553*F553/1000</f>
        <v>1952.4</v>
      </c>
      <c r="H553" s="284"/>
      <c r="I553" s="284"/>
      <c r="J553" s="275">
        <f>H553*I553/1000</f>
        <v>0</v>
      </c>
      <c r="K553" s="285"/>
      <c r="L553" s="285"/>
      <c r="M553" s="275">
        <f>K553*L553/1000</f>
        <v>0</v>
      </c>
      <c r="N553" s="284">
        <v>14120</v>
      </c>
      <c r="O553" s="284">
        <v>4324</v>
      </c>
      <c r="P553" s="275">
        <f>N553*O553/1000</f>
        <v>61054.879999999997</v>
      </c>
      <c r="Q553" s="285"/>
      <c r="R553" s="285"/>
      <c r="S553" s="275">
        <f>Q553*R553/1000</f>
        <v>0</v>
      </c>
      <c r="T553" s="285"/>
      <c r="U553" s="285"/>
      <c r="V553" s="275">
        <f>T553*U553/1000</f>
        <v>0</v>
      </c>
      <c r="W553" s="275">
        <f t="shared" si="54"/>
        <v>81668</v>
      </c>
      <c r="X553" s="301">
        <f>SUM(D553+G553+J553+M553+P553+S553+V553)</f>
        <v>138834.35</v>
      </c>
      <c r="Y553" s="66"/>
      <c r="Z553" s="66"/>
      <c r="AA553" s="66"/>
      <c r="AB553" s="66"/>
      <c r="AC553" s="66"/>
    </row>
    <row r="554" spans="1:29" x14ac:dyDescent="0.25">
      <c r="A554" s="23" t="s">
        <v>31</v>
      </c>
      <c r="B554" s="290">
        <f>SUM(B549:B553)</f>
        <v>286580</v>
      </c>
      <c r="C554" s="290"/>
      <c r="D554" s="290">
        <f t="shared" ref="D554:X554" si="57">SUM(D549:D553)</f>
        <v>312817.58499999996</v>
      </c>
      <c r="E554" s="290">
        <f t="shared" si="57"/>
        <v>70766</v>
      </c>
      <c r="F554" s="290"/>
      <c r="G554" s="290">
        <f t="shared" si="57"/>
        <v>28605.290000000005</v>
      </c>
      <c r="H554" s="290">
        <f t="shared" si="57"/>
        <v>70420</v>
      </c>
      <c r="I554" s="290"/>
      <c r="J554" s="290">
        <f t="shared" si="57"/>
        <v>40323.649999999994</v>
      </c>
      <c r="K554" s="290">
        <f t="shared" si="57"/>
        <v>0</v>
      </c>
      <c r="L554" s="290"/>
      <c r="M554" s="290">
        <f t="shared" si="57"/>
        <v>0</v>
      </c>
      <c r="N554" s="290">
        <f t="shared" si="57"/>
        <v>50663</v>
      </c>
      <c r="O554" s="290"/>
      <c r="P554" s="290">
        <f t="shared" si="57"/>
        <v>249563.51999999999</v>
      </c>
      <c r="Q554" s="290">
        <f t="shared" si="57"/>
        <v>9166</v>
      </c>
      <c r="R554" s="290"/>
      <c r="S554" s="290">
        <f t="shared" si="57"/>
        <v>57657.52</v>
      </c>
      <c r="T554" s="290">
        <f t="shared" si="57"/>
        <v>4655</v>
      </c>
      <c r="U554" s="290"/>
      <c r="V554" s="290">
        <f t="shared" si="57"/>
        <v>27930</v>
      </c>
      <c r="W554" s="290">
        <f t="shared" si="57"/>
        <v>492250</v>
      </c>
      <c r="X554" s="290">
        <f t="shared" si="57"/>
        <v>716897.56499999994</v>
      </c>
      <c r="Y554" s="66"/>
      <c r="Z554" s="66"/>
      <c r="AA554" s="66"/>
      <c r="AB554" s="66"/>
      <c r="AC554" s="66"/>
    </row>
    <row r="555" spans="1:29" x14ac:dyDescent="0.25">
      <c r="A555" s="281" t="s">
        <v>32</v>
      </c>
      <c r="B555" s="284">
        <f>SUM(B554,B548)</f>
        <v>453587</v>
      </c>
      <c r="C555" s="284"/>
      <c r="D555" s="284">
        <f t="shared" ref="D555:X555" si="58">SUM(D554,D548)</f>
        <v>464327.84299999999</v>
      </c>
      <c r="E555" s="284">
        <f t="shared" si="58"/>
        <v>96271</v>
      </c>
      <c r="F555" s="284"/>
      <c r="G555" s="284">
        <f t="shared" si="58"/>
        <v>40040.94</v>
      </c>
      <c r="H555" s="284">
        <f t="shared" si="58"/>
        <v>110665</v>
      </c>
      <c r="I555" s="284"/>
      <c r="J555" s="284">
        <f t="shared" si="58"/>
        <v>68383.649999999994</v>
      </c>
      <c r="K555" s="284">
        <f t="shared" si="58"/>
        <v>0</v>
      </c>
      <c r="L555" s="284"/>
      <c r="M555" s="284">
        <f t="shared" si="58"/>
        <v>0</v>
      </c>
      <c r="N555" s="284">
        <f t="shared" si="58"/>
        <v>50663</v>
      </c>
      <c r="O555" s="284"/>
      <c r="P555" s="284">
        <f t="shared" si="58"/>
        <v>249563.51999999999</v>
      </c>
      <c r="Q555" s="284">
        <f t="shared" si="58"/>
        <v>9166</v>
      </c>
      <c r="R555" s="284"/>
      <c r="S555" s="284">
        <f t="shared" si="58"/>
        <v>57657.52</v>
      </c>
      <c r="T555" s="284">
        <f t="shared" si="58"/>
        <v>4655</v>
      </c>
      <c r="U555" s="284"/>
      <c r="V555" s="284">
        <f t="shared" si="58"/>
        <v>27930</v>
      </c>
      <c r="W555" s="284">
        <f t="shared" si="58"/>
        <v>725007</v>
      </c>
      <c r="X555" s="284">
        <f t="shared" si="58"/>
        <v>907903.473</v>
      </c>
      <c r="Y555" s="66"/>
      <c r="Z555" s="66"/>
      <c r="AA555" s="66"/>
      <c r="AB555" s="66"/>
      <c r="AC555" s="66"/>
    </row>
    <row r="556" spans="1:29" x14ac:dyDescent="0.25">
      <c r="A556" s="291" t="s">
        <v>108</v>
      </c>
      <c r="B556" s="303" t="s">
        <v>113</v>
      </c>
      <c r="C556" s="28"/>
      <c r="D556" s="28"/>
      <c r="E556" s="28"/>
      <c r="F556" s="28"/>
      <c r="G556" s="28"/>
      <c r="H556" s="28"/>
      <c r="I556" s="28"/>
      <c r="J556" s="28"/>
      <c r="K556" s="28"/>
      <c r="L556" s="28"/>
      <c r="M556" s="28"/>
      <c r="N556" s="293" t="s">
        <v>34</v>
      </c>
      <c r="O556" s="3"/>
      <c r="P556" s="28"/>
      <c r="Q556" s="293" t="s">
        <v>35</v>
      </c>
      <c r="R556" s="292"/>
      <c r="S556" s="292"/>
      <c r="T556" s="292"/>
      <c r="U556" s="292" t="s">
        <v>109</v>
      </c>
      <c r="V556" s="292"/>
      <c r="W556" s="292"/>
      <c r="X556" s="292"/>
      <c r="Y556" s="66"/>
      <c r="Z556" s="66"/>
      <c r="AA556" s="66"/>
      <c r="AB556" s="66"/>
      <c r="AC556" s="66"/>
    </row>
    <row r="557" spans="1:29" x14ac:dyDescent="0.25">
      <c r="A557" s="3"/>
      <c r="B557" s="3" t="s">
        <v>114</v>
      </c>
      <c r="C557" s="3"/>
      <c r="D557" s="3"/>
      <c r="E557" s="3"/>
      <c r="F557" s="3"/>
      <c r="G557" s="3"/>
      <c r="H557" s="3"/>
      <c r="I557" s="3"/>
      <c r="J557" s="3"/>
      <c r="K557" s="3"/>
      <c r="L557" s="3"/>
      <c r="M557" s="3"/>
      <c r="N557" s="3"/>
      <c r="O557" s="3"/>
      <c r="P557" s="3"/>
      <c r="Q557" s="3"/>
      <c r="R557" s="3"/>
      <c r="S557" s="3"/>
      <c r="T557" s="3"/>
      <c r="U557" s="3"/>
      <c r="V557" s="3"/>
      <c r="W557" s="3"/>
      <c r="X557" s="3"/>
      <c r="Y557" s="66"/>
      <c r="Z557" s="66"/>
      <c r="AA557" s="66"/>
      <c r="AB557" s="66"/>
      <c r="AC557" s="66"/>
    </row>
    <row r="558" spans="1:29" x14ac:dyDescent="0.25">
      <c r="A558" s="3"/>
      <c r="B558" s="3" t="s">
        <v>115</v>
      </c>
      <c r="C558" s="3"/>
      <c r="D558" s="3"/>
      <c r="E558" s="3"/>
      <c r="F558" s="3"/>
      <c r="G558" s="3"/>
      <c r="H558" s="3"/>
      <c r="I558" s="3"/>
      <c r="J558" s="3"/>
      <c r="K558" s="3"/>
      <c r="L558" s="3"/>
      <c r="M558" s="3"/>
      <c r="N558" s="3"/>
      <c r="O558" s="3"/>
      <c r="P558" s="3"/>
      <c r="Q558" s="3"/>
      <c r="R558" s="3"/>
      <c r="S558" s="3"/>
      <c r="T558" s="3"/>
      <c r="U558" s="3"/>
      <c r="V558" s="3"/>
      <c r="W558" s="3"/>
      <c r="X558" s="3"/>
      <c r="Y558" s="66"/>
      <c r="Z558" s="66"/>
      <c r="AA558" s="66"/>
      <c r="AB558" s="66"/>
      <c r="AC558" s="66"/>
    </row>
    <row r="559" spans="1:29" x14ac:dyDescent="0.25">
      <c r="A559" s="3"/>
      <c r="B559" s="304" t="s">
        <v>116</v>
      </c>
      <c r="C559" s="3"/>
      <c r="D559" s="3"/>
      <c r="E559" s="3"/>
      <c r="F559" s="3"/>
      <c r="G559" s="3"/>
      <c r="H559" s="3"/>
      <c r="I559" s="3"/>
      <c r="J559" s="3"/>
      <c r="K559" s="3"/>
      <c r="L559" s="3"/>
      <c r="M559" s="3"/>
      <c r="N559" s="3"/>
      <c r="O559" s="3"/>
      <c r="P559" s="3"/>
      <c r="Q559" s="3"/>
      <c r="R559" s="3"/>
      <c r="S559" s="3"/>
      <c r="T559" s="3"/>
      <c r="U559" s="3"/>
      <c r="V559" s="3"/>
      <c r="W559" s="3"/>
      <c r="X559" s="3"/>
      <c r="Y559" s="66"/>
      <c r="Z559" s="66"/>
      <c r="AA559" s="66"/>
      <c r="AB559" s="66"/>
      <c r="AC559" s="66"/>
    </row>
    <row r="560" spans="1:29" x14ac:dyDescent="0.25">
      <c r="A560" s="66"/>
      <c r="B560" s="66"/>
      <c r="C560" s="66"/>
      <c r="D560" s="66"/>
      <c r="E560" s="66"/>
      <c r="F560" s="66"/>
      <c r="G560" s="66"/>
      <c r="H560" s="66"/>
      <c r="I560" s="66"/>
      <c r="J560" s="66"/>
      <c r="K560" s="66"/>
      <c r="L560" s="66"/>
      <c r="M560" s="66"/>
      <c r="N560" s="66"/>
      <c r="O560" s="66"/>
      <c r="P560" s="66"/>
      <c r="Q560" s="66"/>
      <c r="R560" s="66"/>
      <c r="S560" s="66"/>
      <c r="T560" s="66"/>
      <c r="U560" s="66"/>
      <c r="V560" s="66"/>
      <c r="W560" s="66"/>
      <c r="X560" s="66"/>
      <c r="Y560" s="66"/>
      <c r="Z560" s="66"/>
      <c r="AA560" s="66"/>
      <c r="AB560" s="66"/>
      <c r="AC560" s="66"/>
    </row>
    <row r="561" spans="1:29" ht="18" x14ac:dyDescent="0.3">
      <c r="A561" s="305"/>
      <c r="B561" s="65" t="s">
        <v>0</v>
      </c>
      <c r="C561" s="86"/>
      <c r="D561" s="86"/>
      <c r="E561" s="86"/>
      <c r="F561" s="86"/>
      <c r="G561" s="86"/>
      <c r="H561" s="86"/>
      <c r="I561" s="65" t="s">
        <v>117</v>
      </c>
      <c r="J561" s="86"/>
      <c r="K561" s="86"/>
      <c r="L561" s="86"/>
      <c r="M561" s="86"/>
      <c r="N561" s="86"/>
      <c r="O561" s="86"/>
      <c r="P561" s="86"/>
      <c r="Q561" s="86"/>
      <c r="R561" s="66"/>
      <c r="S561" s="66"/>
      <c r="T561" s="66"/>
      <c r="U561" s="66"/>
      <c r="V561" s="66"/>
      <c r="W561" s="66"/>
      <c r="X561" s="66"/>
      <c r="Y561" s="66"/>
      <c r="Z561" s="66"/>
      <c r="AA561" s="66"/>
      <c r="AB561" s="66"/>
      <c r="AC561" s="66"/>
    </row>
    <row r="562" spans="1:29" x14ac:dyDescent="0.25">
      <c r="A562" s="207" t="s">
        <v>2</v>
      </c>
      <c r="B562" s="88"/>
      <c r="C562" s="89" t="s">
        <v>3</v>
      </c>
      <c r="D562" s="90"/>
      <c r="E562" s="88"/>
      <c r="F562" s="91" t="s">
        <v>4</v>
      </c>
      <c r="G562" s="90"/>
      <c r="H562" s="88"/>
      <c r="I562" s="89" t="s">
        <v>5</v>
      </c>
      <c r="J562" s="90"/>
      <c r="K562" s="88"/>
      <c r="L562" s="89" t="s">
        <v>6</v>
      </c>
      <c r="M562" s="90"/>
      <c r="N562" s="88"/>
      <c r="O562" s="89" t="s">
        <v>7</v>
      </c>
      <c r="P562" s="146"/>
      <c r="Q562" s="117"/>
      <c r="R562" s="118" t="s">
        <v>8</v>
      </c>
      <c r="S562" s="119"/>
      <c r="T562" s="117"/>
      <c r="U562" s="118" t="s">
        <v>9</v>
      </c>
      <c r="V562" s="223"/>
      <c r="W562" s="247" t="s">
        <v>10</v>
      </c>
      <c r="X562" s="248"/>
      <c r="Y562" s="66"/>
      <c r="Z562" s="66"/>
      <c r="AA562" s="66"/>
      <c r="AB562" s="66"/>
      <c r="AC562" s="66"/>
    </row>
    <row r="563" spans="1:29" ht="15.75" thickBot="1" x14ac:dyDescent="0.3">
      <c r="A563" s="144" t="s">
        <v>11</v>
      </c>
      <c r="B563" s="208" t="s">
        <v>12</v>
      </c>
      <c r="C563" s="187" t="s">
        <v>13</v>
      </c>
      <c r="D563" s="187" t="s">
        <v>14</v>
      </c>
      <c r="E563" s="187" t="s">
        <v>12</v>
      </c>
      <c r="F563" s="187" t="s">
        <v>13</v>
      </c>
      <c r="G563" s="187" t="s">
        <v>14</v>
      </c>
      <c r="H563" s="187" t="s">
        <v>12</v>
      </c>
      <c r="I563" s="306" t="s">
        <v>13</v>
      </c>
      <c r="J563" s="187" t="s">
        <v>14</v>
      </c>
      <c r="K563" s="187" t="s">
        <v>12</v>
      </c>
      <c r="L563" s="187" t="s">
        <v>13</v>
      </c>
      <c r="M563" s="187" t="s">
        <v>14</v>
      </c>
      <c r="N563" s="187" t="s">
        <v>12</v>
      </c>
      <c r="O563" s="187" t="s">
        <v>13</v>
      </c>
      <c r="P563" s="187" t="s">
        <v>14</v>
      </c>
      <c r="Q563" s="187" t="s">
        <v>12</v>
      </c>
      <c r="R563" s="187" t="s">
        <v>13</v>
      </c>
      <c r="S563" s="187" t="s">
        <v>14</v>
      </c>
      <c r="T563" s="187" t="s">
        <v>12</v>
      </c>
      <c r="U563" s="187" t="s">
        <v>13</v>
      </c>
      <c r="V563" s="233" t="s">
        <v>14</v>
      </c>
      <c r="W563" s="249" t="s">
        <v>12</v>
      </c>
      <c r="X563" s="226" t="s">
        <v>14</v>
      </c>
      <c r="Y563" s="66"/>
      <c r="Z563" s="66"/>
      <c r="AA563" s="66"/>
      <c r="AB563" s="66"/>
      <c r="AC563" s="66"/>
    </row>
    <row r="564" spans="1:29" ht="15.75" thickTop="1" x14ac:dyDescent="0.25">
      <c r="A564" s="211" t="s">
        <v>15</v>
      </c>
      <c r="B564" s="131">
        <v>99000</v>
      </c>
      <c r="C564" s="131">
        <v>224</v>
      </c>
      <c r="D564" s="131">
        <f>B564*C564/1000</f>
        <v>22176</v>
      </c>
      <c r="E564" s="131">
        <v>38417</v>
      </c>
      <c r="F564" s="131">
        <v>400</v>
      </c>
      <c r="G564" s="131">
        <f>E564*F564/1000</f>
        <v>15366.8</v>
      </c>
      <c r="H564" s="250"/>
      <c r="I564" s="307"/>
      <c r="J564" s="131">
        <f t="shared" ref="J564:J572" si="59">H564*I564/1000</f>
        <v>0</v>
      </c>
      <c r="K564" s="250"/>
      <c r="L564" s="250"/>
      <c r="M564" s="131">
        <f t="shared" ref="M564:M572" si="60">K564*L564/1000</f>
        <v>0</v>
      </c>
      <c r="N564" s="252">
        <v>12000</v>
      </c>
      <c r="O564" s="250">
        <v>800</v>
      </c>
      <c r="P564" s="131">
        <f t="shared" ref="P564:P572" si="61">N564*O564/1000</f>
        <v>9600</v>
      </c>
      <c r="Q564" s="250"/>
      <c r="R564" s="250"/>
      <c r="S564" s="131">
        <f t="shared" ref="S564:S572" si="62">Q564*R564/1000</f>
        <v>0</v>
      </c>
      <c r="T564" s="250"/>
      <c r="U564" s="250"/>
      <c r="V564" s="131">
        <f t="shared" ref="V564:V572" si="63">T564*U564/1000</f>
        <v>0</v>
      </c>
      <c r="W564" s="131">
        <f>B564+E564+H564+K564+N564+Q564+T564</f>
        <v>149417</v>
      </c>
      <c r="X564" s="131">
        <f>D564+G564+J564+M564+P564+S564+V564</f>
        <v>47142.8</v>
      </c>
      <c r="Y564" s="66"/>
      <c r="Z564" s="66"/>
      <c r="AA564" s="66"/>
      <c r="AB564" s="66"/>
      <c r="AC564" s="66"/>
    </row>
    <row r="565" spans="1:29" x14ac:dyDescent="0.25">
      <c r="A565" s="213" t="s">
        <v>16</v>
      </c>
      <c r="B565" s="250"/>
      <c r="C565" s="250"/>
      <c r="D565" s="131">
        <f t="shared" ref="D565:D572" si="64">B565*C565/1000</f>
        <v>0</v>
      </c>
      <c r="E565" s="250"/>
      <c r="F565" s="250"/>
      <c r="G565" s="131">
        <f t="shared" ref="G565:G572" si="65">E565*F565/1000</f>
        <v>0</v>
      </c>
      <c r="H565" s="250"/>
      <c r="I565" s="307"/>
      <c r="J565" s="131">
        <f t="shared" si="59"/>
        <v>0</v>
      </c>
      <c r="K565" s="250"/>
      <c r="L565" s="250"/>
      <c r="M565" s="131">
        <f t="shared" si="60"/>
        <v>0</v>
      </c>
      <c r="N565" s="252"/>
      <c r="O565" s="250"/>
      <c r="P565" s="131">
        <f t="shared" si="61"/>
        <v>0</v>
      </c>
      <c r="Q565" s="250"/>
      <c r="R565" s="250"/>
      <c r="S565" s="131">
        <f t="shared" si="62"/>
        <v>0</v>
      </c>
      <c r="T565" s="250"/>
      <c r="U565" s="250"/>
      <c r="V565" s="131">
        <f t="shared" si="63"/>
        <v>0</v>
      </c>
      <c r="W565" s="131">
        <f t="shared" ref="W565:W572" si="66">B565+E565+H565+K565+N565+Q565+T565</f>
        <v>0</v>
      </c>
      <c r="X565" s="131">
        <f t="shared" ref="X565:X572" si="67">D565+G565+J565+M565+P565+S565+V565</f>
        <v>0</v>
      </c>
      <c r="Y565" s="66"/>
      <c r="Z565" s="66"/>
      <c r="AA565" s="66"/>
      <c r="AB565" s="66"/>
      <c r="AC565" s="66"/>
    </row>
    <row r="566" spans="1:29" x14ac:dyDescent="0.25">
      <c r="A566" s="213" t="s">
        <v>17</v>
      </c>
      <c r="B566" s="123">
        <v>40000</v>
      </c>
      <c r="C566" s="123">
        <v>287</v>
      </c>
      <c r="D566" s="131">
        <f t="shared" si="64"/>
        <v>11480</v>
      </c>
      <c r="E566" s="123">
        <v>12000</v>
      </c>
      <c r="F566" s="123">
        <v>500</v>
      </c>
      <c r="G566" s="131">
        <f t="shared" si="65"/>
        <v>6000</v>
      </c>
      <c r="H566" s="250"/>
      <c r="I566" s="307"/>
      <c r="J566" s="131">
        <f t="shared" si="59"/>
        <v>0</v>
      </c>
      <c r="K566" s="250"/>
      <c r="L566" s="250"/>
      <c r="M566" s="131">
        <f t="shared" si="60"/>
        <v>0</v>
      </c>
      <c r="N566" s="252"/>
      <c r="O566" s="250"/>
      <c r="P566" s="131">
        <f t="shared" si="61"/>
        <v>0</v>
      </c>
      <c r="Q566" s="250"/>
      <c r="R566" s="250"/>
      <c r="S566" s="131">
        <f t="shared" si="62"/>
        <v>0</v>
      </c>
      <c r="T566" s="250"/>
      <c r="U566" s="250"/>
      <c r="V566" s="131">
        <f t="shared" si="63"/>
        <v>0</v>
      </c>
      <c r="W566" s="131">
        <f t="shared" si="66"/>
        <v>52000</v>
      </c>
      <c r="X566" s="131">
        <f t="shared" si="67"/>
        <v>17480</v>
      </c>
      <c r="Y566" s="66"/>
      <c r="Z566" s="66"/>
      <c r="AA566" s="66"/>
      <c r="AB566" s="66"/>
      <c r="AC566" s="66"/>
    </row>
    <row r="567" spans="1:29" x14ac:dyDescent="0.25">
      <c r="A567" s="213" t="s">
        <v>19</v>
      </c>
      <c r="B567" s="123">
        <v>166110</v>
      </c>
      <c r="C567" s="123">
        <v>538</v>
      </c>
      <c r="D567" s="131">
        <f t="shared" si="64"/>
        <v>89367.18</v>
      </c>
      <c r="E567" s="123">
        <v>195851</v>
      </c>
      <c r="F567" s="123">
        <v>600</v>
      </c>
      <c r="G567" s="131">
        <f t="shared" si="65"/>
        <v>117510.6</v>
      </c>
      <c r="H567" s="238">
        <v>61582</v>
      </c>
      <c r="I567" s="252">
        <v>740</v>
      </c>
      <c r="J567" s="131">
        <f t="shared" si="59"/>
        <v>45570.68</v>
      </c>
      <c r="K567" s="123">
        <v>5821</v>
      </c>
      <c r="L567" s="123">
        <v>3500</v>
      </c>
      <c r="M567" s="131">
        <f t="shared" si="60"/>
        <v>20373.5</v>
      </c>
      <c r="N567" s="238">
        <v>30000</v>
      </c>
      <c r="O567" s="123">
        <v>800</v>
      </c>
      <c r="P567" s="131">
        <f t="shared" si="61"/>
        <v>24000</v>
      </c>
      <c r="Q567" s="250"/>
      <c r="R567" s="250"/>
      <c r="S567" s="131">
        <f t="shared" si="62"/>
        <v>0</v>
      </c>
      <c r="T567" s="250"/>
      <c r="U567" s="250"/>
      <c r="V567" s="131">
        <f t="shared" si="63"/>
        <v>0</v>
      </c>
      <c r="W567" s="131">
        <f t="shared" si="66"/>
        <v>459364</v>
      </c>
      <c r="X567" s="131">
        <f t="shared" si="67"/>
        <v>296821.95999999996</v>
      </c>
      <c r="Y567" s="66"/>
      <c r="Z567" s="66"/>
      <c r="AA567" s="66"/>
      <c r="AB567" s="66"/>
      <c r="AC567" s="66"/>
    </row>
    <row r="568" spans="1:29" x14ac:dyDescent="0.25">
      <c r="A568" s="213" t="s">
        <v>20</v>
      </c>
      <c r="B568" s="123">
        <v>45000</v>
      </c>
      <c r="C568" s="123">
        <v>615</v>
      </c>
      <c r="D568" s="131">
        <f t="shared" si="64"/>
        <v>27675</v>
      </c>
      <c r="E568" s="123">
        <v>70000</v>
      </c>
      <c r="F568" s="123">
        <v>634</v>
      </c>
      <c r="G568" s="131">
        <f t="shared" si="65"/>
        <v>44380</v>
      </c>
      <c r="H568" s="238">
        <v>7324</v>
      </c>
      <c r="I568" s="252">
        <v>700</v>
      </c>
      <c r="J568" s="131">
        <f t="shared" si="59"/>
        <v>5126.8</v>
      </c>
      <c r="K568" s="123">
        <v>5965</v>
      </c>
      <c r="L568" s="123">
        <v>1500</v>
      </c>
      <c r="M568" s="131">
        <f t="shared" si="60"/>
        <v>8947.5</v>
      </c>
      <c r="N568" s="238">
        <v>20000</v>
      </c>
      <c r="O568" s="123">
        <v>790</v>
      </c>
      <c r="P568" s="131">
        <f t="shared" si="61"/>
        <v>15800</v>
      </c>
      <c r="Q568" s="250"/>
      <c r="R568" s="250"/>
      <c r="S568" s="131">
        <f t="shared" si="62"/>
        <v>0</v>
      </c>
      <c r="T568" s="250"/>
      <c r="U568" s="250"/>
      <c r="V568" s="131">
        <f t="shared" si="63"/>
        <v>0</v>
      </c>
      <c r="W568" s="131">
        <f t="shared" si="66"/>
        <v>148289</v>
      </c>
      <c r="X568" s="131">
        <f t="shared" si="67"/>
        <v>101929.3</v>
      </c>
      <c r="Y568" s="66"/>
      <c r="Z568" s="66"/>
      <c r="AA568" s="66"/>
      <c r="AB568" s="66"/>
      <c r="AC568" s="66"/>
    </row>
    <row r="569" spans="1:29" x14ac:dyDescent="0.25">
      <c r="A569" s="213" t="s">
        <v>21</v>
      </c>
      <c r="B569" s="123">
        <v>97043</v>
      </c>
      <c r="C569" s="123">
        <v>278</v>
      </c>
      <c r="D569" s="131">
        <f t="shared" si="64"/>
        <v>26977.954000000002</v>
      </c>
      <c r="E569" s="252">
        <v>240</v>
      </c>
      <c r="F569" s="252">
        <v>300</v>
      </c>
      <c r="G569" s="131">
        <f t="shared" si="65"/>
        <v>72</v>
      </c>
      <c r="H569" s="238">
        <v>1235</v>
      </c>
      <c r="I569" s="252">
        <v>500</v>
      </c>
      <c r="J569" s="131">
        <f t="shared" si="59"/>
        <v>617.5</v>
      </c>
      <c r="K569" s="250"/>
      <c r="L569" s="250"/>
      <c r="M569" s="131">
        <f t="shared" si="60"/>
        <v>0</v>
      </c>
      <c r="N569" s="252"/>
      <c r="O569" s="250"/>
      <c r="P569" s="131">
        <f t="shared" si="61"/>
        <v>0</v>
      </c>
      <c r="Q569" s="250"/>
      <c r="R569" s="250"/>
      <c r="S569" s="131">
        <f t="shared" si="62"/>
        <v>0</v>
      </c>
      <c r="T569" s="250"/>
      <c r="U569" s="250"/>
      <c r="V569" s="131">
        <f t="shared" si="63"/>
        <v>0</v>
      </c>
      <c r="W569" s="131">
        <f t="shared" si="66"/>
        <v>98518</v>
      </c>
      <c r="X569" s="131">
        <f t="shared" si="67"/>
        <v>27667.454000000002</v>
      </c>
      <c r="Y569" s="66"/>
      <c r="Z569" s="66"/>
      <c r="AA569" s="66"/>
      <c r="AB569" s="66"/>
      <c r="AC569" s="66"/>
    </row>
    <row r="570" spans="1:29" x14ac:dyDescent="0.25">
      <c r="A570" s="213" t="s">
        <v>22</v>
      </c>
      <c r="B570" s="123">
        <v>69439</v>
      </c>
      <c r="C570" s="123">
        <v>224</v>
      </c>
      <c r="D570" s="131">
        <f t="shared" si="64"/>
        <v>15554.335999999999</v>
      </c>
      <c r="E570" s="238">
        <v>1554</v>
      </c>
      <c r="F570" s="238">
        <v>800</v>
      </c>
      <c r="G570" s="131">
        <f t="shared" si="65"/>
        <v>1243.2</v>
      </c>
      <c r="H570" s="238">
        <v>33642</v>
      </c>
      <c r="I570" s="238">
        <v>1359</v>
      </c>
      <c r="J570" s="131">
        <f t="shared" si="59"/>
        <v>45719.478000000003</v>
      </c>
      <c r="K570" s="250"/>
      <c r="L570" s="250"/>
      <c r="M570" s="131">
        <f t="shared" si="60"/>
        <v>0</v>
      </c>
      <c r="N570" s="252"/>
      <c r="O570" s="250"/>
      <c r="P570" s="131">
        <f t="shared" si="61"/>
        <v>0</v>
      </c>
      <c r="Q570" s="238">
        <v>4500</v>
      </c>
      <c r="R570" s="133">
        <v>1800</v>
      </c>
      <c r="S570" s="131">
        <f t="shared" si="62"/>
        <v>8100</v>
      </c>
      <c r="T570" s="250"/>
      <c r="U570" s="250"/>
      <c r="V570" s="131">
        <f t="shared" si="63"/>
        <v>0</v>
      </c>
      <c r="W570" s="131">
        <f t="shared" si="66"/>
        <v>109135</v>
      </c>
      <c r="X570" s="131">
        <f t="shared" si="67"/>
        <v>70617.013999999996</v>
      </c>
      <c r="Y570" s="66"/>
      <c r="Z570" s="66"/>
      <c r="AA570" s="66"/>
      <c r="AB570" s="66"/>
      <c r="AC570" s="66"/>
    </row>
    <row r="571" spans="1:29" x14ac:dyDescent="0.25">
      <c r="A571" s="213" t="s">
        <v>23</v>
      </c>
      <c r="B571" s="123">
        <v>114000</v>
      </c>
      <c r="C571" s="123">
        <v>640</v>
      </c>
      <c r="D571" s="131">
        <f t="shared" si="64"/>
        <v>72960</v>
      </c>
      <c r="E571" s="123">
        <v>165000</v>
      </c>
      <c r="F571" s="238">
        <v>767</v>
      </c>
      <c r="G571" s="131">
        <f t="shared" si="65"/>
        <v>126555</v>
      </c>
      <c r="H571" s="252">
        <v>19000</v>
      </c>
      <c r="I571" s="238">
        <v>800</v>
      </c>
      <c r="J571" s="131">
        <f t="shared" si="59"/>
        <v>15200</v>
      </c>
      <c r="K571" s="252">
        <v>12000</v>
      </c>
      <c r="L571" s="252">
        <v>1200</v>
      </c>
      <c r="M571" s="131">
        <f t="shared" si="60"/>
        <v>14400</v>
      </c>
      <c r="N571" s="252">
        <v>30000</v>
      </c>
      <c r="O571" s="250">
        <v>800</v>
      </c>
      <c r="P571" s="131">
        <f t="shared" si="61"/>
        <v>24000</v>
      </c>
      <c r="Q571" s="250"/>
      <c r="R571" s="250"/>
      <c r="S571" s="131">
        <f t="shared" si="62"/>
        <v>0</v>
      </c>
      <c r="T571" s="250"/>
      <c r="U571" s="250"/>
      <c r="V571" s="131">
        <f t="shared" si="63"/>
        <v>0</v>
      </c>
      <c r="W571" s="131">
        <f t="shared" si="66"/>
        <v>340000</v>
      </c>
      <c r="X571" s="131">
        <f t="shared" si="67"/>
        <v>253115</v>
      </c>
      <c r="Y571" s="66"/>
      <c r="Z571" s="66"/>
      <c r="AA571" s="66"/>
      <c r="AB571" s="66"/>
      <c r="AC571" s="66"/>
    </row>
    <row r="572" spans="1:29" x14ac:dyDescent="0.25">
      <c r="A572" s="213" t="s">
        <v>24</v>
      </c>
      <c r="B572" s="123">
        <v>3281</v>
      </c>
      <c r="C572" s="123">
        <v>713</v>
      </c>
      <c r="D572" s="131">
        <f t="shared" si="64"/>
        <v>2339.3530000000001</v>
      </c>
      <c r="E572" s="123">
        <v>48663</v>
      </c>
      <c r="F572" s="123">
        <v>680</v>
      </c>
      <c r="G572" s="131">
        <f t="shared" si="65"/>
        <v>33090.839999999997</v>
      </c>
      <c r="H572" s="238">
        <v>25324</v>
      </c>
      <c r="I572" s="238">
        <v>1500</v>
      </c>
      <c r="J572" s="131">
        <f t="shared" si="59"/>
        <v>37986</v>
      </c>
      <c r="K572" s="123">
        <v>4455</v>
      </c>
      <c r="L572" s="123">
        <v>1500</v>
      </c>
      <c r="M572" s="131">
        <f t="shared" si="60"/>
        <v>6682.5</v>
      </c>
      <c r="N572" s="123">
        <v>200000</v>
      </c>
      <c r="O572" s="123">
        <v>1035</v>
      </c>
      <c r="P572" s="131">
        <f t="shared" si="61"/>
        <v>207000</v>
      </c>
      <c r="Q572" s="250"/>
      <c r="R572" s="250"/>
      <c r="S572" s="131">
        <f t="shared" si="62"/>
        <v>0</v>
      </c>
      <c r="T572" s="250"/>
      <c r="U572" s="250"/>
      <c r="V572" s="131">
        <f t="shared" si="63"/>
        <v>0</v>
      </c>
      <c r="W572" s="131">
        <f t="shared" si="66"/>
        <v>281723</v>
      </c>
      <c r="X572" s="131">
        <f t="shared" si="67"/>
        <v>287098.69299999997</v>
      </c>
      <c r="Y572" s="66"/>
      <c r="Z572" s="66"/>
      <c r="AA572" s="66"/>
      <c r="AB572" s="66"/>
      <c r="AC572" s="66"/>
    </row>
    <row r="573" spans="1:29" x14ac:dyDescent="0.25">
      <c r="A573" s="215" t="s">
        <v>85</v>
      </c>
      <c r="B573" s="135">
        <f>SUM(B564:B572)</f>
        <v>633873</v>
      </c>
      <c r="C573" s="135"/>
      <c r="D573" s="135">
        <f>SUM(D564:D572)</f>
        <v>268529.82299999997</v>
      </c>
      <c r="E573" s="135">
        <f>SUM(E564:E572)</f>
        <v>531725</v>
      </c>
      <c r="F573" s="135"/>
      <c r="G573" s="135">
        <f>SUM(G564:G572)</f>
        <v>344218.43999999994</v>
      </c>
      <c r="H573" s="135">
        <f>SUM(H564:H572)</f>
        <v>148107</v>
      </c>
      <c r="I573" s="246"/>
      <c r="J573" s="135">
        <f>SUM(J564:J572)</f>
        <v>150220.45800000001</v>
      </c>
      <c r="K573" s="135">
        <f>SUM(K564:K572)</f>
        <v>28241</v>
      </c>
      <c r="L573" s="135"/>
      <c r="M573" s="135">
        <f>SUM(M564:M572)</f>
        <v>50403.5</v>
      </c>
      <c r="N573" s="135">
        <f>SUM(N564:N572)</f>
        <v>292000</v>
      </c>
      <c r="O573" s="135"/>
      <c r="P573" s="135">
        <f>SUM(P564:P572)</f>
        <v>280400</v>
      </c>
      <c r="Q573" s="135">
        <f>SUM(Q564:Q572)</f>
        <v>4500</v>
      </c>
      <c r="R573" s="216"/>
      <c r="S573" s="135">
        <f>SUM(S564:S572)</f>
        <v>8100</v>
      </c>
      <c r="T573" s="135">
        <f>SUM(T564:T572)</f>
        <v>0</v>
      </c>
      <c r="U573" s="216"/>
      <c r="V573" s="135">
        <f>SUM(V564:V572)</f>
        <v>0</v>
      </c>
      <c r="W573" s="135">
        <f>SUM(W564:W572)</f>
        <v>1638446</v>
      </c>
      <c r="X573" s="256">
        <f>SUM(X564:X572)</f>
        <v>1101872.2209999999</v>
      </c>
      <c r="Y573" s="66"/>
      <c r="Z573" s="66"/>
      <c r="AA573" s="66"/>
      <c r="AB573" s="66"/>
      <c r="AC573" s="66"/>
    </row>
    <row r="574" spans="1:29" x14ac:dyDescent="0.25">
      <c r="A574" s="213" t="s">
        <v>26</v>
      </c>
      <c r="B574" s="123">
        <v>22700</v>
      </c>
      <c r="C574" s="123">
        <v>620</v>
      </c>
      <c r="D574" s="131">
        <f>B574*C574/1000</f>
        <v>14074</v>
      </c>
      <c r="E574" s="123">
        <v>107400</v>
      </c>
      <c r="F574" s="123">
        <v>755</v>
      </c>
      <c r="G574" s="131">
        <f>E574*F574/1000</f>
        <v>81087</v>
      </c>
      <c r="H574" s="238">
        <v>42700</v>
      </c>
      <c r="I574" s="238">
        <v>821</v>
      </c>
      <c r="J574" s="131">
        <f>H574*I574/1000</f>
        <v>35056.699999999997</v>
      </c>
      <c r="K574" s="123">
        <v>53400</v>
      </c>
      <c r="L574" s="123">
        <v>1527</v>
      </c>
      <c r="M574" s="131">
        <f>K574*L574/1000</f>
        <v>81541.8</v>
      </c>
      <c r="N574" s="123">
        <v>34000</v>
      </c>
      <c r="O574" s="123">
        <v>800</v>
      </c>
      <c r="P574" s="131">
        <f>N574*O574/1000</f>
        <v>27200</v>
      </c>
      <c r="Q574" s="250"/>
      <c r="R574" s="250"/>
      <c r="S574" s="131">
        <f>Q574*R574/1000</f>
        <v>0</v>
      </c>
      <c r="T574" s="250"/>
      <c r="U574" s="250"/>
      <c r="V574" s="131">
        <f>T574*U574/1000</f>
        <v>0</v>
      </c>
      <c r="W574" s="131">
        <f>B574+E574+H574+K574+N574+Q574+T574</f>
        <v>260200</v>
      </c>
      <c r="X574" s="131">
        <f>D574+G574+J574+M574+P574+S574+V574</f>
        <v>238959.5</v>
      </c>
      <c r="Y574" s="66"/>
      <c r="Z574" s="66"/>
      <c r="AA574" s="66"/>
      <c r="AB574" s="66"/>
      <c r="AC574" s="66"/>
    </row>
    <row r="575" spans="1:29" x14ac:dyDescent="0.25">
      <c r="A575" s="213" t="s">
        <v>27</v>
      </c>
      <c r="B575" s="123">
        <v>174000</v>
      </c>
      <c r="C575" s="123">
        <v>681</v>
      </c>
      <c r="D575" s="131">
        <f>B575*C575/1000</f>
        <v>118494</v>
      </c>
      <c r="E575" s="123">
        <v>31470</v>
      </c>
      <c r="F575" s="123">
        <v>720</v>
      </c>
      <c r="G575" s="131">
        <f>E575*F575/1000</f>
        <v>22658.400000000001</v>
      </c>
      <c r="H575" s="238">
        <v>5745</v>
      </c>
      <c r="I575" s="238">
        <v>791</v>
      </c>
      <c r="J575" s="131">
        <f>H575*I575/1000</f>
        <v>4544.2950000000001</v>
      </c>
      <c r="K575" s="123">
        <v>12573</v>
      </c>
      <c r="L575" s="123">
        <v>1592</v>
      </c>
      <c r="M575" s="131">
        <f>K575*L575/1000</f>
        <v>20016.216</v>
      </c>
      <c r="N575" s="123">
        <v>7000</v>
      </c>
      <c r="O575" s="123">
        <v>800</v>
      </c>
      <c r="P575" s="131">
        <f>N575*O575/1000</f>
        <v>5600</v>
      </c>
      <c r="Q575" s="250"/>
      <c r="R575" s="250"/>
      <c r="S575" s="131">
        <f>Q575*R575/1000</f>
        <v>0</v>
      </c>
      <c r="T575" s="250"/>
      <c r="U575" s="250"/>
      <c r="V575" s="131">
        <f>T575*U575/1000</f>
        <v>0</v>
      </c>
      <c r="W575" s="131">
        <f>B575+E575+H575+K575+N575+Q575+T575</f>
        <v>230788</v>
      </c>
      <c r="X575" s="131">
        <f>D575+G575+J575+M575+P575+S575+V575</f>
        <v>171312.91100000002</v>
      </c>
      <c r="Y575" s="66"/>
      <c r="Z575" s="66"/>
      <c r="AA575" s="66"/>
      <c r="AB575" s="66"/>
      <c r="AC575" s="66"/>
    </row>
    <row r="576" spans="1:29" x14ac:dyDescent="0.25">
      <c r="A576" s="78" t="s">
        <v>71</v>
      </c>
      <c r="B576" s="123">
        <v>16700</v>
      </c>
      <c r="C576" s="123">
        <v>820</v>
      </c>
      <c r="D576" s="131">
        <f>B576*C576/1000</f>
        <v>13694</v>
      </c>
      <c r="E576" s="123">
        <v>25300</v>
      </c>
      <c r="F576" s="123">
        <v>504</v>
      </c>
      <c r="G576" s="131">
        <f>E576*F576/1000</f>
        <v>12751.2</v>
      </c>
      <c r="H576" s="238">
        <v>11400</v>
      </c>
      <c r="I576" s="238">
        <v>658</v>
      </c>
      <c r="J576" s="131">
        <f>H576*I576/1000</f>
        <v>7501.2</v>
      </c>
      <c r="K576" s="123">
        <v>5000</v>
      </c>
      <c r="L576" s="123">
        <v>1872</v>
      </c>
      <c r="M576" s="131">
        <f>K576*L576/1000</f>
        <v>9360</v>
      </c>
      <c r="N576" s="250"/>
      <c r="O576" s="250"/>
      <c r="P576" s="131">
        <f>N576*O576/1000</f>
        <v>0</v>
      </c>
      <c r="Q576" s="250"/>
      <c r="R576" s="250"/>
      <c r="S576" s="131">
        <f>Q576*R576/1000</f>
        <v>0</v>
      </c>
      <c r="T576" s="250"/>
      <c r="U576" s="250"/>
      <c r="V576" s="131">
        <f>T576*U576/1000</f>
        <v>0</v>
      </c>
      <c r="W576" s="131">
        <f>B576+E576+H576+K576+N576+Q576+T576</f>
        <v>58400</v>
      </c>
      <c r="X576" s="131">
        <f>D576+G576+J576+M576+P576+S576+V576</f>
        <v>43306.400000000001</v>
      </c>
      <c r="Y576" s="66"/>
      <c r="Z576" s="66"/>
      <c r="AA576" s="66"/>
      <c r="AB576" s="66"/>
      <c r="AC576" s="66"/>
    </row>
    <row r="577" spans="1:29" x14ac:dyDescent="0.25">
      <c r="A577" s="78" t="s">
        <v>72</v>
      </c>
      <c r="B577" s="123">
        <v>20800</v>
      </c>
      <c r="C577" s="123">
        <v>769</v>
      </c>
      <c r="D577" s="131">
        <f>B577*C577/1000</f>
        <v>15995.2</v>
      </c>
      <c r="E577" s="123">
        <v>63400</v>
      </c>
      <c r="F577" s="123">
        <v>768</v>
      </c>
      <c r="G577" s="131">
        <f>E577*F577/1000</f>
        <v>48691.199999999997</v>
      </c>
      <c r="H577" s="238">
        <v>12900</v>
      </c>
      <c r="I577" s="238">
        <v>831</v>
      </c>
      <c r="J577" s="131">
        <f>H577*I577/1000</f>
        <v>10719.9</v>
      </c>
      <c r="K577" s="123">
        <v>10300</v>
      </c>
      <c r="L577" s="123">
        <v>1100</v>
      </c>
      <c r="M577" s="131">
        <f>K577*L577/1000</f>
        <v>11330</v>
      </c>
      <c r="N577" s="250"/>
      <c r="O577" s="250"/>
      <c r="P577" s="131">
        <f>N577*O577/1000</f>
        <v>0</v>
      </c>
      <c r="Q577" s="250"/>
      <c r="R577" s="250"/>
      <c r="S577" s="131">
        <f>Q577*R577/1000</f>
        <v>0</v>
      </c>
      <c r="T577" s="250"/>
      <c r="U577" s="250"/>
      <c r="V577" s="131">
        <f>T577*U577/1000</f>
        <v>0</v>
      </c>
      <c r="W577" s="131">
        <f>B577+E577+H577+K577+N577+Q577+T577</f>
        <v>107400</v>
      </c>
      <c r="X577" s="131">
        <f>D577+G577+J577+M577+P577+S577+V577</f>
        <v>86736.299999999988</v>
      </c>
      <c r="Y577" s="66"/>
      <c r="Z577" s="66"/>
      <c r="AA577" s="66"/>
      <c r="AB577" s="66"/>
      <c r="AC577" s="66"/>
    </row>
    <row r="578" spans="1:29" x14ac:dyDescent="0.25">
      <c r="A578" s="78" t="s">
        <v>73</v>
      </c>
      <c r="B578" s="123">
        <v>61900</v>
      </c>
      <c r="C578" s="123">
        <v>660</v>
      </c>
      <c r="D578" s="131">
        <f>B578*C578/1000</f>
        <v>40854</v>
      </c>
      <c r="E578" s="123">
        <v>114000</v>
      </c>
      <c r="F578" s="123">
        <v>709</v>
      </c>
      <c r="G578" s="131">
        <f>E578*F578/1000</f>
        <v>80826</v>
      </c>
      <c r="H578" s="238">
        <v>14230</v>
      </c>
      <c r="I578" s="284">
        <v>957</v>
      </c>
      <c r="J578" s="131">
        <f>H578*I578/1000</f>
        <v>13618.11</v>
      </c>
      <c r="K578" s="123">
        <v>1340</v>
      </c>
      <c r="L578" s="123">
        <v>1000</v>
      </c>
      <c r="M578" s="131">
        <f>K578*L578/1000</f>
        <v>1340</v>
      </c>
      <c r="N578" s="123"/>
      <c r="O578" s="123"/>
      <c r="P578" s="131">
        <f>N578*O578/1000</f>
        <v>0</v>
      </c>
      <c r="Q578" s="250"/>
      <c r="R578" s="250"/>
      <c r="S578" s="131">
        <f>Q578*R578/1000</f>
        <v>0</v>
      </c>
      <c r="T578" s="250"/>
      <c r="U578" s="250"/>
      <c r="V578" s="131">
        <f>T578*U578/1000</f>
        <v>0</v>
      </c>
      <c r="W578" s="131">
        <f>B578+E578+H578+K578+N578+Q578+T578</f>
        <v>191470</v>
      </c>
      <c r="X578" s="131">
        <f>D578+G578+J578+M578+P578+S578+V578</f>
        <v>136638.10999999999</v>
      </c>
      <c r="Y578" s="66"/>
      <c r="Z578" s="66"/>
      <c r="AA578" s="66"/>
      <c r="AB578" s="66"/>
      <c r="AC578" s="66"/>
    </row>
    <row r="579" spans="1:29" x14ac:dyDescent="0.25">
      <c r="A579" s="218" t="s">
        <v>86</v>
      </c>
      <c r="B579" s="135">
        <f>SUM(B574:B578)</f>
        <v>296100</v>
      </c>
      <c r="C579" s="135"/>
      <c r="D579" s="135">
        <f>SUM(D574:D578)</f>
        <v>203111.2</v>
      </c>
      <c r="E579" s="135">
        <f>SUM(E574:E578)</f>
        <v>341570</v>
      </c>
      <c r="F579" s="135"/>
      <c r="G579" s="135">
        <f>SUM(G574:G578)</f>
        <v>246013.8</v>
      </c>
      <c r="H579" s="135">
        <f>SUM(H574:H578)</f>
        <v>86975</v>
      </c>
      <c r="I579" s="135"/>
      <c r="J579" s="135">
        <f>SUM(J574:J578)</f>
        <v>71440.204999999987</v>
      </c>
      <c r="K579" s="135">
        <f>SUM(K574:K578)</f>
        <v>82613</v>
      </c>
      <c r="L579" s="135"/>
      <c r="M579" s="135">
        <f>SUM(M574:M578)</f>
        <v>123588.016</v>
      </c>
      <c r="N579" s="135">
        <f>SUM(N574:N578)</f>
        <v>41000</v>
      </c>
      <c r="O579" s="135"/>
      <c r="P579" s="135">
        <f>SUM(P574:P578)</f>
        <v>32800</v>
      </c>
      <c r="Q579" s="135">
        <f>SUM(Q574:Q578)</f>
        <v>0</v>
      </c>
      <c r="R579" s="216"/>
      <c r="S579" s="135">
        <f>SUM(S574:S578)</f>
        <v>0</v>
      </c>
      <c r="T579" s="135">
        <f>SUM(T574:T578)</f>
        <v>0</v>
      </c>
      <c r="U579" s="216"/>
      <c r="V579" s="135">
        <f>SUM(V574:V578)</f>
        <v>0</v>
      </c>
      <c r="W579" s="135">
        <f>SUM(W574:W578)</f>
        <v>848258</v>
      </c>
      <c r="X579" s="256">
        <f>SUM(X574:X578)</f>
        <v>676953.22100000002</v>
      </c>
      <c r="Y579" s="66"/>
      <c r="Z579" s="66"/>
      <c r="AA579" s="66"/>
      <c r="AB579" s="66"/>
      <c r="AC579" s="66"/>
    </row>
    <row r="580" spans="1:29" x14ac:dyDescent="0.25">
      <c r="A580" s="213" t="s">
        <v>32</v>
      </c>
      <c r="B580" s="123">
        <f>B573+B579</f>
        <v>929973</v>
      </c>
      <c r="C580" s="123"/>
      <c r="D580" s="123">
        <f>D573+D579</f>
        <v>471641.02299999999</v>
      </c>
      <c r="E580" s="123">
        <f>E573+E579</f>
        <v>873295</v>
      </c>
      <c r="F580" s="123"/>
      <c r="G580" s="123">
        <f>G573+G579</f>
        <v>590232.24</v>
      </c>
      <c r="H580" s="123">
        <f>H573+H579</f>
        <v>235082</v>
      </c>
      <c r="I580" s="123"/>
      <c r="J580" s="123">
        <f>J573+J579</f>
        <v>221660.663</v>
      </c>
      <c r="K580" s="123">
        <f>K573+K579</f>
        <v>110854</v>
      </c>
      <c r="L580" s="123"/>
      <c r="M580" s="123">
        <f>M573+M579</f>
        <v>173991.516</v>
      </c>
      <c r="N580" s="123">
        <f>N573+N579</f>
        <v>333000</v>
      </c>
      <c r="O580" s="123"/>
      <c r="P580" s="123">
        <f>P573+P579</f>
        <v>313200</v>
      </c>
      <c r="Q580" s="123">
        <f>Q573+Q579</f>
        <v>4500</v>
      </c>
      <c r="R580" s="214"/>
      <c r="S580" s="123">
        <f>S573+S579</f>
        <v>8100</v>
      </c>
      <c r="T580" s="123">
        <f>T573+T579</f>
        <v>0</v>
      </c>
      <c r="U580" s="214"/>
      <c r="V580" s="123">
        <f>V573+V579</f>
        <v>0</v>
      </c>
      <c r="W580" s="123">
        <f>W573+W579</f>
        <v>2486704</v>
      </c>
      <c r="X580" s="257">
        <f>X573+X579</f>
        <v>1778825.4419999998</v>
      </c>
      <c r="Y580" s="66"/>
      <c r="Z580" s="66"/>
      <c r="AA580" s="66"/>
      <c r="AB580" s="66"/>
      <c r="AC580" s="66"/>
    </row>
    <row r="581" spans="1:29" x14ac:dyDescent="0.25">
      <c r="A581" s="95" t="s">
        <v>58</v>
      </c>
      <c r="B581" s="96"/>
      <c r="C581" s="96"/>
      <c r="D581" s="95" t="s">
        <v>59</v>
      </c>
      <c r="E581" s="96"/>
      <c r="F581" s="96"/>
      <c r="G581" s="96"/>
      <c r="H581" s="96"/>
      <c r="I581" s="95" t="s">
        <v>60</v>
      </c>
      <c r="J581" s="96"/>
      <c r="K581" s="96"/>
      <c r="L581" s="138"/>
      <c r="M581" s="138"/>
      <c r="N581" s="138"/>
      <c r="O581" s="138"/>
      <c r="P581" s="138"/>
      <c r="Q581" s="138"/>
      <c r="R581" s="308"/>
      <c r="S581" s="138"/>
      <c r="T581" s="138"/>
      <c r="U581" s="308"/>
      <c r="V581" s="138"/>
      <c r="W581" s="138"/>
      <c r="X581" s="309"/>
      <c r="Y581" s="66"/>
      <c r="Z581" s="66"/>
      <c r="AA581" s="66"/>
      <c r="AB581" s="66"/>
      <c r="AC581" s="66"/>
    </row>
    <row r="582" spans="1:29" ht="15.75" x14ac:dyDescent="0.25">
      <c r="A582" s="310" t="s">
        <v>118</v>
      </c>
      <c r="B582" s="96"/>
      <c r="C582" s="96"/>
      <c r="D582" s="95"/>
      <c r="E582" s="96"/>
      <c r="F582" s="96"/>
      <c r="G582" s="96"/>
      <c r="H582" s="96"/>
      <c r="I582" s="95"/>
      <c r="J582" s="96"/>
      <c r="K582" s="96"/>
      <c r="L582" s="138"/>
      <c r="M582" s="138"/>
      <c r="N582" s="138"/>
      <c r="O582" s="138"/>
      <c r="P582" s="138"/>
      <c r="Q582" s="138"/>
      <c r="R582" s="308"/>
      <c r="S582" s="138"/>
      <c r="T582" s="138"/>
      <c r="U582" s="308"/>
      <c r="V582" s="138"/>
      <c r="W582" s="138"/>
      <c r="X582" s="309"/>
      <c r="Y582" s="66"/>
      <c r="Z582" s="66"/>
      <c r="AA582" s="66"/>
      <c r="AB582" s="66"/>
      <c r="AC582" s="66"/>
    </row>
    <row r="583" spans="1:29" ht="15.75" x14ac:dyDescent="0.25">
      <c r="A583" s="311" t="s">
        <v>119</v>
      </c>
      <c r="B583" s="66"/>
      <c r="C583" s="66"/>
      <c r="D583" s="66"/>
      <c r="E583" s="66"/>
      <c r="F583" s="66"/>
      <c r="G583" s="66"/>
      <c r="H583" s="66"/>
      <c r="J583" s="66"/>
      <c r="K583" s="66"/>
      <c r="L583" s="66"/>
      <c r="M583" s="66"/>
      <c r="N583" s="66"/>
      <c r="O583" s="66"/>
      <c r="P583" s="66"/>
      <c r="Q583" s="66"/>
      <c r="R583" s="66"/>
      <c r="T583" s="66"/>
      <c r="U583" s="66"/>
      <c r="V583" s="66"/>
      <c r="W583" s="66"/>
      <c r="X583" s="66"/>
      <c r="Y583" s="66"/>
      <c r="Z583" s="66"/>
      <c r="AA583" s="66"/>
      <c r="AB583" s="66"/>
      <c r="AC583" s="66"/>
    </row>
    <row r="584" spans="1:29" ht="18" x14ac:dyDescent="0.3">
      <c r="A584" s="305"/>
      <c r="B584" s="66"/>
      <c r="C584" s="66"/>
      <c r="D584" s="66"/>
      <c r="E584" s="66"/>
      <c r="F584" s="66"/>
      <c r="G584" s="66"/>
      <c r="H584" s="66"/>
      <c r="J584" s="66"/>
      <c r="K584" s="66"/>
      <c r="L584" s="66"/>
      <c r="M584" s="66"/>
      <c r="N584" s="66"/>
      <c r="O584" s="66"/>
      <c r="P584" s="66"/>
      <c r="Q584" s="66"/>
      <c r="R584" s="66"/>
      <c r="T584" s="66"/>
      <c r="U584" s="66"/>
      <c r="V584" s="66"/>
      <c r="W584" s="66"/>
      <c r="X584" s="66"/>
      <c r="Y584" s="66"/>
      <c r="Z584" s="66"/>
      <c r="AA584" s="66"/>
      <c r="AB584" s="66"/>
      <c r="AC584" s="66"/>
    </row>
    <row r="585" spans="1:29" x14ac:dyDescent="0.25">
      <c r="A585" s="65" t="s">
        <v>120</v>
      </c>
      <c r="B585" s="66"/>
      <c r="C585" s="86"/>
      <c r="D585" s="86"/>
      <c r="E585" s="86"/>
      <c r="F585" s="86"/>
      <c r="G585" s="86"/>
      <c r="H585" s="86"/>
      <c r="I585" s="86"/>
      <c r="J585" s="86"/>
      <c r="K585" s="86"/>
      <c r="L585" s="66"/>
      <c r="M585" s="87" t="s">
        <v>34</v>
      </c>
      <c r="N585" s="66"/>
      <c r="O585" s="66"/>
      <c r="P585" s="87" t="s">
        <v>102</v>
      </c>
      <c r="Q585" s="66"/>
      <c r="R585" s="86"/>
      <c r="S585" s="66"/>
      <c r="T585" s="86"/>
      <c r="U585" s="87" t="s">
        <v>36</v>
      </c>
      <c r="V585" s="86"/>
      <c r="W585" s="66"/>
      <c r="X585" s="66"/>
      <c r="Y585" s="66"/>
      <c r="Z585" s="66"/>
      <c r="AA585" s="66"/>
      <c r="AB585" s="66"/>
      <c r="AC585" s="66"/>
    </row>
    <row r="586" spans="1:29" x14ac:dyDescent="0.25">
      <c r="A586" s="222" t="s">
        <v>2</v>
      </c>
      <c r="B586" s="117"/>
      <c r="C586" s="118" t="s">
        <v>37</v>
      </c>
      <c r="D586" s="223"/>
      <c r="E586" s="117"/>
      <c r="F586" s="118" t="s">
        <v>38</v>
      </c>
      <c r="G586" s="119"/>
      <c r="H586" s="117"/>
      <c r="I586" s="118" t="s">
        <v>40</v>
      </c>
      <c r="J586" s="119"/>
      <c r="K586" s="117"/>
      <c r="L586" s="118" t="s">
        <v>39</v>
      </c>
      <c r="M586" s="119"/>
      <c r="N586" s="117"/>
      <c r="O586" s="121" t="s">
        <v>41</v>
      </c>
      <c r="P586" s="119"/>
      <c r="Q586" s="117"/>
      <c r="R586" s="118" t="s">
        <v>54</v>
      </c>
      <c r="S586" s="119"/>
      <c r="T586" s="117"/>
      <c r="U586" s="118" t="s">
        <v>43</v>
      </c>
      <c r="V586" s="119"/>
      <c r="W586" s="958" t="s">
        <v>44</v>
      </c>
      <c r="X586" s="960"/>
      <c r="Y586" s="66"/>
      <c r="Z586" s="66"/>
      <c r="AA586" s="66"/>
      <c r="AB586" s="66"/>
      <c r="AC586" s="66"/>
    </row>
    <row r="587" spans="1:29" ht="15.75" thickBot="1" x14ac:dyDescent="0.3">
      <c r="A587" s="104" t="s">
        <v>11</v>
      </c>
      <c r="B587" s="225" t="s">
        <v>12</v>
      </c>
      <c r="C587" s="225" t="s">
        <v>13</v>
      </c>
      <c r="D587" s="225" t="s">
        <v>14</v>
      </c>
      <c r="E587" s="226" t="s">
        <v>12</v>
      </c>
      <c r="F587" s="226" t="s">
        <v>13</v>
      </c>
      <c r="G587" s="226" t="s">
        <v>14</v>
      </c>
      <c r="H587" s="226" t="s">
        <v>12</v>
      </c>
      <c r="I587" s="226" t="s">
        <v>13</v>
      </c>
      <c r="J587" s="226" t="s">
        <v>14</v>
      </c>
      <c r="K587" s="226" t="s">
        <v>12</v>
      </c>
      <c r="L587" s="226" t="s">
        <v>13</v>
      </c>
      <c r="M587" s="226" t="s">
        <v>14</v>
      </c>
      <c r="N587" s="226" t="s">
        <v>12</v>
      </c>
      <c r="O587" s="226" t="s">
        <v>13</v>
      </c>
      <c r="P587" s="226" t="s">
        <v>14</v>
      </c>
      <c r="Q587" s="226" t="s">
        <v>12</v>
      </c>
      <c r="R587" s="226" t="s">
        <v>13</v>
      </c>
      <c r="S587" s="226" t="s">
        <v>14</v>
      </c>
      <c r="T587" s="226" t="s">
        <v>12</v>
      </c>
      <c r="U587" s="226" t="s">
        <v>13</v>
      </c>
      <c r="V587" s="226" t="s">
        <v>14</v>
      </c>
      <c r="W587" s="240" t="s">
        <v>12</v>
      </c>
      <c r="X587" s="226" t="s">
        <v>14</v>
      </c>
      <c r="Y587" s="66"/>
      <c r="Z587" s="66"/>
      <c r="AA587" s="66"/>
      <c r="AB587" s="66"/>
      <c r="AC587" s="66"/>
    </row>
    <row r="588" spans="1:29" ht="15.75" thickTop="1" x14ac:dyDescent="0.25">
      <c r="A588" s="211" t="s">
        <v>15</v>
      </c>
      <c r="B588" s="241">
        <v>18140</v>
      </c>
      <c r="C588" s="131">
        <v>500</v>
      </c>
      <c r="D588" s="131">
        <f t="shared" ref="D588:D596" si="68">B588*C588/1000</f>
        <v>9070</v>
      </c>
      <c r="E588" s="131">
        <v>1610</v>
      </c>
      <c r="F588" s="131">
        <v>250</v>
      </c>
      <c r="G588" s="131">
        <f t="shared" ref="G588:G596" si="69">E588*F588/1000</f>
        <v>402.5</v>
      </c>
      <c r="H588" s="131">
        <v>13235</v>
      </c>
      <c r="I588" s="131">
        <v>500</v>
      </c>
      <c r="J588" s="131">
        <f t="shared" ref="J588:J596" si="70">H588*I588/1000</f>
        <v>6617.5</v>
      </c>
      <c r="K588" s="242"/>
      <c r="L588" s="242"/>
      <c r="M588" s="131">
        <f t="shared" ref="M588:M596" si="71">K588*L588/1000</f>
        <v>0</v>
      </c>
      <c r="N588" s="242"/>
      <c r="O588" s="242"/>
      <c r="P588" s="131">
        <f t="shared" ref="P588:P596" si="72">N588*O588/1000</f>
        <v>0</v>
      </c>
      <c r="Q588" s="242"/>
      <c r="R588" s="242"/>
      <c r="S588" s="131">
        <f t="shared" ref="S588:S596" si="73">Q588*R588/1000</f>
        <v>0</v>
      </c>
      <c r="T588" s="238"/>
      <c r="U588" s="238"/>
      <c r="V588" s="131">
        <f t="shared" ref="V588:V596" si="74">T588*U588/1000</f>
        <v>0</v>
      </c>
      <c r="W588" s="131">
        <f t="shared" ref="W588:W596" si="75">B588+E588+H588+K588+N588+Q588+T588</f>
        <v>32985</v>
      </c>
      <c r="X588" s="131">
        <f t="shared" ref="X588:X596" si="76">D588+G588+J588+M588+P588+S588+V588</f>
        <v>16090</v>
      </c>
      <c r="Y588" s="66"/>
      <c r="Z588" s="66"/>
      <c r="AA588" s="66"/>
      <c r="AB588" s="66"/>
      <c r="AC588" s="66"/>
    </row>
    <row r="589" spans="1:29" x14ac:dyDescent="0.25">
      <c r="A589" s="213" t="s">
        <v>89</v>
      </c>
      <c r="B589" s="258"/>
      <c r="C589" s="123"/>
      <c r="D589" s="131">
        <f t="shared" si="68"/>
        <v>0</v>
      </c>
      <c r="E589" s="123"/>
      <c r="F589" s="123"/>
      <c r="G589" s="131">
        <f t="shared" si="69"/>
        <v>0</v>
      </c>
      <c r="H589" s="123"/>
      <c r="I589" s="133"/>
      <c r="J589" s="131">
        <f t="shared" si="70"/>
        <v>0</v>
      </c>
      <c r="K589" s="238"/>
      <c r="L589" s="238"/>
      <c r="M589" s="131">
        <f t="shared" si="71"/>
        <v>0</v>
      </c>
      <c r="N589" s="238"/>
      <c r="O589" s="238"/>
      <c r="P589" s="131">
        <f t="shared" si="72"/>
        <v>0</v>
      </c>
      <c r="Q589" s="238"/>
      <c r="R589" s="238"/>
      <c r="S589" s="131">
        <f t="shared" si="73"/>
        <v>0</v>
      </c>
      <c r="T589" s="238"/>
      <c r="U589" s="238"/>
      <c r="V589" s="131">
        <f t="shared" si="74"/>
        <v>0</v>
      </c>
      <c r="W589" s="131">
        <f t="shared" si="75"/>
        <v>0</v>
      </c>
      <c r="X589" s="131">
        <f t="shared" si="76"/>
        <v>0</v>
      </c>
      <c r="Y589" s="66"/>
      <c r="Z589" s="66"/>
      <c r="AA589" s="66"/>
      <c r="AB589" s="66"/>
      <c r="AC589" s="66"/>
    </row>
    <row r="590" spans="1:29" x14ac:dyDescent="0.25">
      <c r="A590" s="213" t="s">
        <v>17</v>
      </c>
      <c r="B590" s="232">
        <v>18000</v>
      </c>
      <c r="C590" s="123">
        <v>1160</v>
      </c>
      <c r="D590" s="131">
        <f t="shared" si="68"/>
        <v>20880</v>
      </c>
      <c r="E590" s="123"/>
      <c r="F590" s="123"/>
      <c r="G590" s="131">
        <f t="shared" si="69"/>
        <v>0</v>
      </c>
      <c r="H590" s="123"/>
      <c r="I590" s="123"/>
      <c r="J590" s="131">
        <f t="shared" si="70"/>
        <v>0</v>
      </c>
      <c r="K590" s="238"/>
      <c r="L590" s="238"/>
      <c r="M590" s="131">
        <f t="shared" si="71"/>
        <v>0</v>
      </c>
      <c r="N590" s="238"/>
      <c r="O590" s="238"/>
      <c r="P590" s="131">
        <f t="shared" si="72"/>
        <v>0</v>
      </c>
      <c r="Q590" s="238"/>
      <c r="R590" s="238"/>
      <c r="S590" s="131">
        <f t="shared" si="73"/>
        <v>0</v>
      </c>
      <c r="T590" s="238"/>
      <c r="U590" s="238"/>
      <c r="V590" s="131">
        <f t="shared" si="74"/>
        <v>0</v>
      </c>
      <c r="W590" s="131">
        <f t="shared" si="75"/>
        <v>18000</v>
      </c>
      <c r="X590" s="131">
        <f t="shared" si="76"/>
        <v>20880</v>
      </c>
      <c r="Y590" s="66"/>
      <c r="Z590" s="66"/>
      <c r="AA590" s="66"/>
      <c r="AB590" s="66"/>
      <c r="AC590" s="66"/>
    </row>
    <row r="591" spans="1:29" x14ac:dyDescent="0.25">
      <c r="A591" s="213" t="s">
        <v>103</v>
      </c>
      <c r="B591" s="236">
        <v>120973</v>
      </c>
      <c r="C591" s="123">
        <v>600</v>
      </c>
      <c r="D591" s="131">
        <f t="shared" si="68"/>
        <v>72583.8</v>
      </c>
      <c r="E591" s="238">
        <v>7754</v>
      </c>
      <c r="F591" s="238">
        <v>300</v>
      </c>
      <c r="G591" s="131">
        <f t="shared" si="69"/>
        <v>2326.1999999999998</v>
      </c>
      <c r="H591" s="238">
        <v>28233</v>
      </c>
      <c r="I591" s="133">
        <v>500</v>
      </c>
      <c r="J591" s="131">
        <f t="shared" si="70"/>
        <v>14116.5</v>
      </c>
      <c r="K591" s="238"/>
      <c r="L591" s="238"/>
      <c r="M591" s="131">
        <f t="shared" si="71"/>
        <v>0</v>
      </c>
      <c r="N591" s="238"/>
      <c r="O591" s="238"/>
      <c r="P591" s="131">
        <f t="shared" si="72"/>
        <v>0</v>
      </c>
      <c r="Q591" s="238"/>
      <c r="R591" s="238"/>
      <c r="S591" s="131">
        <f t="shared" si="73"/>
        <v>0</v>
      </c>
      <c r="T591" s="238"/>
      <c r="U591" s="238"/>
      <c r="V591" s="131">
        <f t="shared" si="74"/>
        <v>0</v>
      </c>
      <c r="W591" s="131">
        <f t="shared" si="75"/>
        <v>156960</v>
      </c>
      <c r="X591" s="131">
        <f t="shared" si="76"/>
        <v>89026.5</v>
      </c>
      <c r="Y591" s="66"/>
      <c r="Z591" s="66"/>
      <c r="AA591" s="66"/>
      <c r="AB591" s="66"/>
      <c r="AC591" s="66"/>
    </row>
    <row r="592" spans="1:29" x14ac:dyDescent="0.25">
      <c r="A592" s="213" t="s">
        <v>104</v>
      </c>
      <c r="B592" s="232">
        <v>46000</v>
      </c>
      <c r="C592" s="123">
        <v>1073</v>
      </c>
      <c r="D592" s="131">
        <f t="shared" si="68"/>
        <v>49358</v>
      </c>
      <c r="E592" s="123">
        <v>11000</v>
      </c>
      <c r="F592" s="123">
        <v>658</v>
      </c>
      <c r="G592" s="131">
        <f t="shared" si="69"/>
        <v>7238</v>
      </c>
      <c r="H592" s="123">
        <v>18000</v>
      </c>
      <c r="I592" s="123">
        <v>600</v>
      </c>
      <c r="J592" s="131">
        <f t="shared" si="70"/>
        <v>10800</v>
      </c>
      <c r="K592" s="238"/>
      <c r="L592" s="244"/>
      <c r="M592" s="131">
        <f t="shared" si="71"/>
        <v>0</v>
      </c>
      <c r="N592" s="238"/>
      <c r="O592" s="238"/>
      <c r="P592" s="131">
        <f t="shared" si="72"/>
        <v>0</v>
      </c>
      <c r="Q592" s="238"/>
      <c r="R592" s="238"/>
      <c r="S592" s="131">
        <f t="shared" si="73"/>
        <v>0</v>
      </c>
      <c r="T592" s="238"/>
      <c r="U592" s="238"/>
      <c r="V592" s="131">
        <f t="shared" si="74"/>
        <v>0</v>
      </c>
      <c r="W592" s="131">
        <f t="shared" si="75"/>
        <v>75000</v>
      </c>
      <c r="X592" s="131">
        <f t="shared" si="76"/>
        <v>67396</v>
      </c>
      <c r="Y592" s="66"/>
      <c r="Z592" s="66"/>
      <c r="AA592" s="66"/>
      <c r="AB592" s="66"/>
      <c r="AC592" s="66"/>
    </row>
    <row r="593" spans="1:29" x14ac:dyDescent="0.25">
      <c r="A593" s="213" t="s">
        <v>21</v>
      </c>
      <c r="B593" s="245"/>
      <c r="C593" s="133"/>
      <c r="D593" s="131">
        <f t="shared" si="68"/>
        <v>0</v>
      </c>
      <c r="E593" s="133"/>
      <c r="F593" s="133"/>
      <c r="G593" s="131">
        <f t="shared" si="69"/>
        <v>0</v>
      </c>
      <c r="H593" s="123">
        <v>7750</v>
      </c>
      <c r="I593" s="123">
        <v>250</v>
      </c>
      <c r="J593" s="131">
        <f t="shared" si="70"/>
        <v>1937.5</v>
      </c>
      <c r="K593" s="238"/>
      <c r="L593" s="238"/>
      <c r="M593" s="131">
        <f t="shared" si="71"/>
        <v>0</v>
      </c>
      <c r="N593" s="238"/>
      <c r="O593" s="238"/>
      <c r="P593" s="131">
        <f t="shared" si="72"/>
        <v>0</v>
      </c>
      <c r="Q593" s="238"/>
      <c r="R593" s="238"/>
      <c r="S593" s="131">
        <f t="shared" si="73"/>
        <v>0</v>
      </c>
      <c r="T593" s="238"/>
      <c r="U593" s="238"/>
      <c r="V593" s="131">
        <f t="shared" si="74"/>
        <v>0</v>
      </c>
      <c r="W593" s="131">
        <f t="shared" si="75"/>
        <v>7750</v>
      </c>
      <c r="X593" s="131">
        <f t="shared" si="76"/>
        <v>1937.5</v>
      </c>
      <c r="Y593" s="66"/>
      <c r="Z593" s="66"/>
      <c r="AA593" s="66"/>
      <c r="AB593" s="66"/>
      <c r="AC593" s="66"/>
    </row>
    <row r="594" spans="1:29" x14ac:dyDescent="0.25">
      <c r="A594" s="213" t="s">
        <v>22</v>
      </c>
      <c r="B594" s="232">
        <v>1311</v>
      </c>
      <c r="C594" s="123">
        <v>700</v>
      </c>
      <c r="D594" s="131">
        <f t="shared" si="68"/>
        <v>917.7</v>
      </c>
      <c r="E594" s="133"/>
      <c r="F594" s="133"/>
      <c r="G594" s="131">
        <f t="shared" si="69"/>
        <v>0</v>
      </c>
      <c r="H594" s="123"/>
      <c r="I594" s="123"/>
      <c r="J594" s="131">
        <f t="shared" si="70"/>
        <v>0</v>
      </c>
      <c r="K594" s="238"/>
      <c r="L594" s="244"/>
      <c r="M594" s="131">
        <f t="shared" si="71"/>
        <v>0</v>
      </c>
      <c r="N594" s="238">
        <v>356</v>
      </c>
      <c r="O594" s="238">
        <v>7000</v>
      </c>
      <c r="P594" s="131">
        <f t="shared" si="72"/>
        <v>2492</v>
      </c>
      <c r="Q594" s="238">
        <v>157</v>
      </c>
      <c r="R594" s="238">
        <v>6000</v>
      </c>
      <c r="S594" s="131">
        <f t="shared" si="73"/>
        <v>942</v>
      </c>
      <c r="T594" s="238"/>
      <c r="U594" s="238"/>
      <c r="V594" s="131">
        <f t="shared" si="74"/>
        <v>0</v>
      </c>
      <c r="W594" s="131">
        <f t="shared" si="75"/>
        <v>1824</v>
      </c>
      <c r="X594" s="131">
        <f t="shared" si="76"/>
        <v>4351.7</v>
      </c>
      <c r="Y594" s="66"/>
      <c r="Z594" s="66"/>
      <c r="AA594" s="66"/>
      <c r="AB594" s="66"/>
      <c r="AC594" s="66"/>
    </row>
    <row r="595" spans="1:29" x14ac:dyDescent="0.25">
      <c r="A595" s="213" t="s">
        <v>23</v>
      </c>
      <c r="B595" s="232">
        <v>120000</v>
      </c>
      <c r="C595" s="123">
        <v>700</v>
      </c>
      <c r="D595" s="131">
        <f t="shared" si="68"/>
        <v>84000</v>
      </c>
      <c r="E595" s="123">
        <v>15000</v>
      </c>
      <c r="F595" s="123">
        <v>300</v>
      </c>
      <c r="G595" s="131">
        <f t="shared" si="69"/>
        <v>4500</v>
      </c>
      <c r="H595" s="123">
        <v>12600</v>
      </c>
      <c r="I595" s="123">
        <v>600</v>
      </c>
      <c r="J595" s="131">
        <f t="shared" si="70"/>
        <v>7560</v>
      </c>
      <c r="K595" s="238"/>
      <c r="L595" s="238"/>
      <c r="M595" s="131">
        <f t="shared" si="71"/>
        <v>0</v>
      </c>
      <c r="N595" s="238">
        <v>195</v>
      </c>
      <c r="O595" s="238">
        <v>6000</v>
      </c>
      <c r="P595" s="131">
        <f t="shared" si="72"/>
        <v>1170</v>
      </c>
      <c r="Q595" s="238"/>
      <c r="R595" s="238"/>
      <c r="S595" s="131">
        <f t="shared" si="73"/>
        <v>0</v>
      </c>
      <c r="T595" s="238"/>
      <c r="U595" s="238"/>
      <c r="V595" s="131">
        <f t="shared" si="74"/>
        <v>0</v>
      </c>
      <c r="W595" s="131">
        <f t="shared" si="75"/>
        <v>147795</v>
      </c>
      <c r="X595" s="131">
        <f t="shared" si="76"/>
        <v>97230</v>
      </c>
      <c r="Y595" s="66"/>
      <c r="Z595" s="66"/>
      <c r="AA595" s="66"/>
      <c r="AB595" s="66"/>
      <c r="AC595" s="66"/>
    </row>
    <row r="596" spans="1:29" x14ac:dyDescent="0.25">
      <c r="A596" s="213" t="s">
        <v>24</v>
      </c>
      <c r="B596" s="232">
        <v>9501</v>
      </c>
      <c r="C596" s="123">
        <v>596</v>
      </c>
      <c r="D596" s="131">
        <f t="shared" si="68"/>
        <v>5662.5959999999995</v>
      </c>
      <c r="E596" s="123">
        <v>2047</v>
      </c>
      <c r="F596" s="123">
        <v>400</v>
      </c>
      <c r="G596" s="131">
        <f t="shared" si="69"/>
        <v>818.8</v>
      </c>
      <c r="H596" s="123">
        <v>2968</v>
      </c>
      <c r="I596" s="123">
        <v>600</v>
      </c>
      <c r="J596" s="131">
        <f t="shared" si="70"/>
        <v>1780.8</v>
      </c>
      <c r="K596" s="238">
        <v>61</v>
      </c>
      <c r="L596" s="238">
        <v>1000</v>
      </c>
      <c r="M596" s="131">
        <f t="shared" si="71"/>
        <v>61</v>
      </c>
      <c r="N596" s="238">
        <v>490</v>
      </c>
      <c r="O596" s="238">
        <v>6000</v>
      </c>
      <c r="P596" s="131">
        <f t="shared" si="72"/>
        <v>2940</v>
      </c>
      <c r="Q596" s="238"/>
      <c r="R596" s="238"/>
      <c r="S596" s="131">
        <f t="shared" si="73"/>
        <v>0</v>
      </c>
      <c r="T596" s="238"/>
      <c r="U596" s="238"/>
      <c r="V596" s="131">
        <f t="shared" si="74"/>
        <v>0</v>
      </c>
      <c r="W596" s="131">
        <f t="shared" si="75"/>
        <v>15067</v>
      </c>
      <c r="X596" s="131">
        <f t="shared" si="76"/>
        <v>11263.196</v>
      </c>
      <c r="Y596" s="66"/>
      <c r="Z596" s="66"/>
      <c r="AA596" s="66"/>
      <c r="AB596" s="66"/>
      <c r="AC596" s="66"/>
    </row>
    <row r="597" spans="1:29" x14ac:dyDescent="0.25">
      <c r="A597" s="215" t="s">
        <v>90</v>
      </c>
      <c r="B597" s="135">
        <f>SUM(B588:B596)</f>
        <v>333925</v>
      </c>
      <c r="C597" s="135"/>
      <c r="D597" s="135">
        <f>SUM(D588:D596)</f>
        <v>242472.09599999999</v>
      </c>
      <c r="E597" s="135">
        <f>SUM(E588:E596)</f>
        <v>37411</v>
      </c>
      <c r="F597" s="135"/>
      <c r="G597" s="135">
        <f>SUM(G588:G596)</f>
        <v>15285.5</v>
      </c>
      <c r="H597" s="135">
        <f>SUM(H588:H596)</f>
        <v>82786</v>
      </c>
      <c r="I597" s="135"/>
      <c r="J597" s="135">
        <f>SUM(J588:J596)</f>
        <v>42812.3</v>
      </c>
      <c r="K597" s="135">
        <f>SUM(K588:K596)</f>
        <v>61</v>
      </c>
      <c r="L597" s="135"/>
      <c r="M597" s="135">
        <f>SUM(M588:M596)</f>
        <v>61</v>
      </c>
      <c r="N597" s="135">
        <f>SUM(N588:N596)</f>
        <v>1041</v>
      </c>
      <c r="O597" s="135"/>
      <c r="P597" s="135">
        <f>SUM(P588:P596)</f>
        <v>6602</v>
      </c>
      <c r="Q597" s="135">
        <f>SUM(Q588:Q596)</f>
        <v>157</v>
      </c>
      <c r="R597" s="135"/>
      <c r="S597" s="135">
        <f>SUM(S588:S596)</f>
        <v>942</v>
      </c>
      <c r="T597" s="135">
        <f>SUM(T588:T596)</f>
        <v>0</v>
      </c>
      <c r="U597" s="135"/>
      <c r="V597" s="135">
        <f>SUM(V588:V596)</f>
        <v>0</v>
      </c>
      <c r="W597" s="135">
        <f>SUM(W588:W596)</f>
        <v>455381</v>
      </c>
      <c r="X597" s="135">
        <f>SUM(X588:X596)</f>
        <v>308174.89600000001</v>
      </c>
      <c r="Y597" s="66"/>
      <c r="Z597" s="66"/>
      <c r="AA597" s="66"/>
      <c r="AB597" s="66"/>
      <c r="AC597" s="66"/>
    </row>
    <row r="598" spans="1:29" x14ac:dyDescent="0.25">
      <c r="A598" s="213" t="s">
        <v>26</v>
      </c>
      <c r="B598" s="123">
        <v>116450</v>
      </c>
      <c r="C598" s="123">
        <v>1500</v>
      </c>
      <c r="D598" s="131">
        <f>B598*C598/1000</f>
        <v>174675</v>
      </c>
      <c r="E598" s="123">
        <v>16000</v>
      </c>
      <c r="F598" s="123">
        <v>500</v>
      </c>
      <c r="G598" s="131">
        <f>E598*F598/1000</f>
        <v>8000</v>
      </c>
      <c r="H598" s="123">
        <v>19200</v>
      </c>
      <c r="I598" s="123">
        <v>650</v>
      </c>
      <c r="J598" s="131">
        <f>H598*I598/1000</f>
        <v>12480</v>
      </c>
      <c r="K598" s="238"/>
      <c r="L598" s="238"/>
      <c r="M598" s="131">
        <f>K598*L598/1000</f>
        <v>0</v>
      </c>
      <c r="N598" s="238">
        <v>10000</v>
      </c>
      <c r="O598" s="238">
        <v>6000</v>
      </c>
      <c r="P598" s="131">
        <f>N598*O598/1000</f>
        <v>60000</v>
      </c>
      <c r="Q598" s="238">
        <v>1500</v>
      </c>
      <c r="R598" s="238">
        <v>5600</v>
      </c>
      <c r="S598" s="131">
        <f>Q598*R598/1000</f>
        <v>8400</v>
      </c>
      <c r="T598" s="238">
        <v>4250</v>
      </c>
      <c r="U598" s="238">
        <v>6000</v>
      </c>
      <c r="V598" s="131">
        <f>T598*U598/1000</f>
        <v>25500</v>
      </c>
      <c r="W598" s="131">
        <f>B598+E598+H598+K598+N598+Q598+T598</f>
        <v>167400</v>
      </c>
      <c r="X598" s="131">
        <f>D598+G598+J598+M598+P598+S598+V598</f>
        <v>289055</v>
      </c>
      <c r="Y598" s="66"/>
      <c r="Z598" s="66"/>
      <c r="AA598" s="66"/>
      <c r="AB598" s="66"/>
      <c r="AC598" s="66"/>
    </row>
    <row r="599" spans="1:29" x14ac:dyDescent="0.25">
      <c r="A599" s="213" t="s">
        <v>27</v>
      </c>
      <c r="B599" s="123">
        <v>15000</v>
      </c>
      <c r="C599" s="123">
        <v>957</v>
      </c>
      <c r="D599" s="131">
        <f>B599*C599/1000</f>
        <v>14355</v>
      </c>
      <c r="E599" s="123">
        <v>8000</v>
      </c>
      <c r="F599" s="123">
        <v>270</v>
      </c>
      <c r="G599" s="131">
        <f>E599*F599/1000</f>
        <v>2160</v>
      </c>
      <c r="H599" s="123">
        <v>3500</v>
      </c>
      <c r="I599" s="123">
        <v>500</v>
      </c>
      <c r="J599" s="131">
        <f>H599*I599/1000</f>
        <v>1750</v>
      </c>
      <c r="K599" s="238"/>
      <c r="L599" s="238"/>
      <c r="M599" s="131">
        <f>K599*L599/1000</f>
        <v>0</v>
      </c>
      <c r="N599" s="238">
        <v>3200</v>
      </c>
      <c r="O599" s="238">
        <v>5000</v>
      </c>
      <c r="P599" s="131">
        <f>N599*O599/1000</f>
        <v>16000</v>
      </c>
      <c r="Q599" s="238">
        <v>4000</v>
      </c>
      <c r="R599" s="238">
        <v>6000</v>
      </c>
      <c r="S599" s="131">
        <f>Q599*R599/1000</f>
        <v>24000</v>
      </c>
      <c r="T599" s="238"/>
      <c r="U599" s="238"/>
      <c r="V599" s="131">
        <f>T599*U599/1000</f>
        <v>0</v>
      </c>
      <c r="W599" s="131">
        <f>B599+E599+H599+K599+N599+Q599+T599</f>
        <v>33700</v>
      </c>
      <c r="X599" s="131">
        <f>D599+G599+J599+M599+P599+S599+V599</f>
        <v>58265</v>
      </c>
      <c r="Y599" s="66"/>
      <c r="Z599" s="66"/>
      <c r="AA599" s="66"/>
      <c r="AB599" s="66"/>
      <c r="AC599" s="66"/>
    </row>
    <row r="600" spans="1:29" x14ac:dyDescent="0.25">
      <c r="A600" s="78" t="s">
        <v>71</v>
      </c>
      <c r="B600" s="123">
        <v>23000</v>
      </c>
      <c r="C600" s="123">
        <v>1440</v>
      </c>
      <c r="D600" s="131">
        <f>B600*C600/1000</f>
        <v>33120</v>
      </c>
      <c r="E600" s="123">
        <v>20500</v>
      </c>
      <c r="F600" s="123">
        <v>340</v>
      </c>
      <c r="G600" s="131">
        <f>E600*F600/1000</f>
        <v>6970</v>
      </c>
      <c r="H600" s="123">
        <v>4500</v>
      </c>
      <c r="I600" s="123">
        <v>390</v>
      </c>
      <c r="J600" s="131">
        <f>H600*I600/1000</f>
        <v>1755</v>
      </c>
      <c r="K600" s="238"/>
      <c r="L600" s="238"/>
      <c r="M600" s="131">
        <f>K600*L600/1000</f>
        <v>0</v>
      </c>
      <c r="N600" s="238">
        <v>3400</v>
      </c>
      <c r="O600" s="238">
        <v>4800</v>
      </c>
      <c r="P600" s="131">
        <f>N600*O600/1000</f>
        <v>16320</v>
      </c>
      <c r="Q600" s="238">
        <v>2000</v>
      </c>
      <c r="R600" s="238">
        <v>5000</v>
      </c>
      <c r="S600" s="131">
        <f>Q600*R600/1000</f>
        <v>10000</v>
      </c>
      <c r="T600" s="238"/>
      <c r="U600" s="238"/>
      <c r="V600" s="131">
        <f>T600*U600/1000</f>
        <v>0</v>
      </c>
      <c r="W600" s="131">
        <f>B600+E600+H600+K600+N600+Q600+T600</f>
        <v>53400</v>
      </c>
      <c r="X600" s="131">
        <f>D600+G600+J600+M600+P600+S600+V600</f>
        <v>68165</v>
      </c>
      <c r="Y600" s="66"/>
      <c r="Z600" s="66"/>
      <c r="AA600" s="66"/>
      <c r="AB600" s="66"/>
      <c r="AC600" s="66"/>
    </row>
    <row r="601" spans="1:29" x14ac:dyDescent="0.25">
      <c r="A601" s="78" t="s">
        <v>72</v>
      </c>
      <c r="B601" s="123">
        <v>22000</v>
      </c>
      <c r="C601" s="123">
        <v>950</v>
      </c>
      <c r="D601" s="131">
        <f>B601*C601/1000</f>
        <v>20900</v>
      </c>
      <c r="E601" s="123">
        <v>21300</v>
      </c>
      <c r="F601" s="123">
        <v>355</v>
      </c>
      <c r="G601" s="131">
        <f>E601*F601/1000</f>
        <v>7561.5</v>
      </c>
      <c r="H601" s="123">
        <v>5000</v>
      </c>
      <c r="I601" s="123">
        <v>650</v>
      </c>
      <c r="J601" s="131">
        <f>H601*I601/1000</f>
        <v>3250</v>
      </c>
      <c r="K601" s="238"/>
      <c r="L601" s="238"/>
      <c r="M601" s="131">
        <f>K601*L601/1000</f>
        <v>0</v>
      </c>
      <c r="N601" s="238">
        <v>4450</v>
      </c>
      <c r="O601" s="238">
        <v>4500</v>
      </c>
      <c r="P601" s="131">
        <f>N601*O601/1000</f>
        <v>20025</v>
      </c>
      <c r="Q601" s="238"/>
      <c r="R601" s="238"/>
      <c r="S601" s="131">
        <f>Q601*R601/1000</f>
        <v>0</v>
      </c>
      <c r="T601" s="238"/>
      <c r="U601" s="238"/>
      <c r="V601" s="131">
        <f>T601*U601/1000</f>
        <v>0</v>
      </c>
      <c r="W601" s="131">
        <f>B601+E601+H601+K601+N601+Q601+T601</f>
        <v>52750</v>
      </c>
      <c r="X601" s="131">
        <f>D601+G601+J601+M601+P601+S601+V601</f>
        <v>51736.5</v>
      </c>
      <c r="Y601" s="66"/>
      <c r="Z601" s="66"/>
      <c r="AA601" s="66"/>
      <c r="AB601" s="66"/>
      <c r="AC601" s="66"/>
    </row>
    <row r="602" spans="1:29" x14ac:dyDescent="0.25">
      <c r="A602" s="78" t="s">
        <v>73</v>
      </c>
      <c r="B602" s="123">
        <v>36000</v>
      </c>
      <c r="C602" s="123">
        <v>1745</v>
      </c>
      <c r="D602" s="131">
        <f>B602*C602/1000</f>
        <v>62820</v>
      </c>
      <c r="E602" s="123">
        <v>2000</v>
      </c>
      <c r="F602" s="123">
        <v>270</v>
      </c>
      <c r="G602" s="131">
        <f>E602*F602/1000</f>
        <v>540</v>
      </c>
      <c r="H602" s="123"/>
      <c r="I602" s="123"/>
      <c r="J602" s="131">
        <f>H602*I602/1000</f>
        <v>0</v>
      </c>
      <c r="K602" s="238"/>
      <c r="L602" s="238"/>
      <c r="M602" s="131">
        <f>K602*L602/1000</f>
        <v>0</v>
      </c>
      <c r="N602" s="238">
        <v>8800</v>
      </c>
      <c r="O602" s="238">
        <v>4800</v>
      </c>
      <c r="P602" s="131">
        <f>N602*O602/1000</f>
        <v>42240</v>
      </c>
      <c r="Q602" s="238"/>
      <c r="R602" s="238"/>
      <c r="S602" s="131">
        <f>Q602*R602/1000</f>
        <v>0</v>
      </c>
      <c r="T602" s="238"/>
      <c r="U602" s="238"/>
      <c r="V602" s="131">
        <f>T602*U602/1000</f>
        <v>0</v>
      </c>
      <c r="W602" s="131">
        <f>B602+E602+H602+K602+N602+Q602+T602</f>
        <v>46800</v>
      </c>
      <c r="X602" s="131">
        <f>D602+G602+J602+M602+P602+S602+V602</f>
        <v>105600</v>
      </c>
      <c r="Y602" s="66"/>
      <c r="Z602" s="66"/>
      <c r="AA602" s="66"/>
      <c r="AB602" s="66"/>
      <c r="AC602" s="66"/>
    </row>
    <row r="603" spans="1:29" x14ac:dyDescent="0.25">
      <c r="A603" s="215" t="s">
        <v>91</v>
      </c>
      <c r="B603" s="135">
        <f>SUM(B598:B602)</f>
        <v>212450</v>
      </c>
      <c r="C603" s="135"/>
      <c r="D603" s="135">
        <f>SUM(D598:D602)</f>
        <v>305870</v>
      </c>
      <c r="E603" s="135">
        <f>SUM(E598:E602)</f>
        <v>67800</v>
      </c>
      <c r="F603" s="135"/>
      <c r="G603" s="135">
        <f>SUM(G598:G602)</f>
        <v>25231.5</v>
      </c>
      <c r="H603" s="135">
        <f>SUM(H598:H602)</f>
        <v>32200</v>
      </c>
      <c r="I603" s="135"/>
      <c r="J603" s="135">
        <f>SUM(J598:J602)</f>
        <v>19235</v>
      </c>
      <c r="K603" s="135">
        <f>SUM(K598:K602)</f>
        <v>0</v>
      </c>
      <c r="L603" s="135"/>
      <c r="M603" s="135">
        <f>SUM(M598:M602)</f>
        <v>0</v>
      </c>
      <c r="N603" s="135">
        <f>SUM(N598:N602)</f>
        <v>29850</v>
      </c>
      <c r="O603" s="135"/>
      <c r="P603" s="135">
        <f>SUM(P598:P602)</f>
        <v>154585</v>
      </c>
      <c r="Q603" s="135">
        <f>SUM(Q598:Q602)</f>
        <v>7500</v>
      </c>
      <c r="R603" s="135"/>
      <c r="S603" s="135">
        <f>SUM(S598:S602)</f>
        <v>42400</v>
      </c>
      <c r="T603" s="135">
        <f>SUM(T598:T602)</f>
        <v>4250</v>
      </c>
      <c r="U603" s="135"/>
      <c r="V603" s="135">
        <f>SUM(V598:V602)</f>
        <v>25500</v>
      </c>
      <c r="W603" s="135">
        <f>SUM(W598:W602)</f>
        <v>354050</v>
      </c>
      <c r="X603" s="135">
        <f>SUM(X598:X602)</f>
        <v>572821.5</v>
      </c>
      <c r="Y603" s="66"/>
      <c r="Z603" s="66"/>
      <c r="AA603" s="66"/>
      <c r="AB603" s="66"/>
      <c r="AC603" s="66"/>
    </row>
    <row r="604" spans="1:29" x14ac:dyDescent="0.25">
      <c r="A604" s="229" t="s">
        <v>32</v>
      </c>
      <c r="B604" s="123">
        <f>B597+B603</f>
        <v>546375</v>
      </c>
      <c r="C604" s="123"/>
      <c r="D604" s="123">
        <f>D597+D603</f>
        <v>548342.09600000002</v>
      </c>
      <c r="E604" s="123">
        <f>E597+E603</f>
        <v>105211</v>
      </c>
      <c r="F604" s="123"/>
      <c r="G604" s="123">
        <f>G597+G603</f>
        <v>40517</v>
      </c>
      <c r="H604" s="123">
        <f>H597+H603</f>
        <v>114986</v>
      </c>
      <c r="I604" s="123"/>
      <c r="J604" s="123">
        <f>J597+J603</f>
        <v>62047.3</v>
      </c>
      <c r="K604" s="123">
        <f>K597+K603</f>
        <v>61</v>
      </c>
      <c r="L604" s="123"/>
      <c r="M604" s="123">
        <f>M597+M603</f>
        <v>61</v>
      </c>
      <c r="N604" s="123">
        <f>N597+N603</f>
        <v>30891</v>
      </c>
      <c r="O604" s="123"/>
      <c r="P604" s="123">
        <f>P597+P603</f>
        <v>161187</v>
      </c>
      <c r="Q604" s="123">
        <f>Q597+Q603</f>
        <v>7657</v>
      </c>
      <c r="R604" s="123"/>
      <c r="S604" s="123">
        <f>S597+S603</f>
        <v>43342</v>
      </c>
      <c r="T604" s="123">
        <f>T597+T603</f>
        <v>4250</v>
      </c>
      <c r="U604" s="123"/>
      <c r="V604" s="123">
        <f>V597+V603</f>
        <v>25500</v>
      </c>
      <c r="W604" s="123">
        <f>W597+W603</f>
        <v>809431</v>
      </c>
      <c r="X604" s="123">
        <f>X597+X603</f>
        <v>880996.39599999995</v>
      </c>
      <c r="Y604" s="66"/>
      <c r="Z604" s="66"/>
      <c r="AA604" s="66"/>
      <c r="AB604" s="66"/>
      <c r="AC604" s="66"/>
    </row>
    <row r="605" spans="1:29" x14ac:dyDescent="0.25">
      <c r="A605" s="95" t="s">
        <v>58</v>
      </c>
      <c r="B605" s="96"/>
      <c r="C605" s="96"/>
      <c r="D605" s="95" t="s">
        <v>59</v>
      </c>
      <c r="E605" s="96"/>
      <c r="F605" s="96"/>
      <c r="G605" s="96"/>
      <c r="H605" s="96"/>
      <c r="I605" s="95" t="s">
        <v>60</v>
      </c>
      <c r="J605" s="96"/>
      <c r="K605" s="96"/>
      <c r="L605" s="114"/>
      <c r="M605" s="114"/>
      <c r="N605" s="114"/>
      <c r="O605" s="114"/>
      <c r="P605" s="96"/>
      <c r="Q605" s="96"/>
      <c r="R605" s="96"/>
      <c r="S605" s="259"/>
      <c r="T605" s="114"/>
      <c r="U605" s="114"/>
      <c r="V605" s="114"/>
      <c r="W605" s="114"/>
      <c r="X605" s="114"/>
      <c r="Y605" s="66"/>
      <c r="Z605" s="66"/>
      <c r="AA605" s="66"/>
      <c r="AB605" s="66"/>
      <c r="AC605" s="66"/>
    </row>
    <row r="606" spans="1:29" x14ac:dyDescent="0.25">
      <c r="Y606" s="66"/>
      <c r="Z606" s="66"/>
      <c r="AA606" s="66"/>
      <c r="AB606" s="66"/>
      <c r="AC606" s="66"/>
    </row>
    <row r="607" spans="1:29" ht="15.75" x14ac:dyDescent="0.25">
      <c r="A607" s="310" t="s">
        <v>118</v>
      </c>
      <c r="Y607" s="66"/>
      <c r="Z607" s="66"/>
      <c r="AA607" s="66"/>
      <c r="AB607" s="66"/>
      <c r="AC607" s="66"/>
    </row>
    <row r="608" spans="1:29" ht="15.75" x14ac:dyDescent="0.25">
      <c r="A608" s="311" t="s">
        <v>119</v>
      </c>
      <c r="Y608" s="66"/>
      <c r="Z608" s="66"/>
      <c r="AA608" s="66"/>
      <c r="AB608" s="66"/>
      <c r="AC608" s="66"/>
    </row>
    <row r="609" spans="1:24" ht="20.25" x14ac:dyDescent="0.3">
      <c r="A609" s="312" t="s">
        <v>121</v>
      </c>
      <c r="C609" s="313"/>
      <c r="D609" s="313"/>
      <c r="E609" s="313"/>
      <c r="F609" s="313"/>
      <c r="G609" s="313"/>
      <c r="H609" s="313"/>
      <c r="I609" s="314" t="s">
        <v>122</v>
      </c>
      <c r="J609" s="313"/>
      <c r="K609" s="313"/>
      <c r="L609" s="313"/>
      <c r="M609" s="313"/>
      <c r="N609" s="313"/>
      <c r="O609" s="313"/>
      <c r="P609" s="313"/>
      <c r="Q609" s="313"/>
      <c r="R609" s="315"/>
      <c r="S609" s="315"/>
      <c r="T609" s="315"/>
      <c r="U609" s="315"/>
      <c r="V609" s="315"/>
      <c r="W609" s="315"/>
      <c r="X609" s="315"/>
    </row>
    <row r="610" spans="1:24" ht="20.25" x14ac:dyDescent="0.3">
      <c r="A610" s="314" t="s">
        <v>123</v>
      </c>
      <c r="C610" s="313"/>
      <c r="D610" s="313"/>
      <c r="E610" s="313"/>
      <c r="F610" s="313"/>
      <c r="G610" s="313"/>
      <c r="H610" s="313"/>
      <c r="I610" s="316"/>
      <c r="J610" s="313"/>
      <c r="K610" s="313"/>
      <c r="L610" s="313"/>
      <c r="M610" s="313"/>
      <c r="N610" s="313"/>
      <c r="O610" s="313"/>
      <c r="P610" s="313"/>
      <c r="Q610" s="313"/>
      <c r="R610" s="315"/>
      <c r="S610" s="315"/>
      <c r="T610" s="315"/>
      <c r="U610" s="315"/>
      <c r="V610" s="315"/>
      <c r="W610" s="315"/>
      <c r="X610" s="315"/>
    </row>
    <row r="611" spans="1:24" ht="19.5" thickBot="1" x14ac:dyDescent="0.35">
      <c r="A611" s="312"/>
      <c r="B611" s="317"/>
      <c r="C611" s="313"/>
      <c r="D611" s="313"/>
      <c r="E611" s="313"/>
      <c r="F611" s="313"/>
      <c r="G611" s="313"/>
      <c r="H611" s="313"/>
      <c r="I611" s="316"/>
      <c r="J611" s="313"/>
      <c r="K611" s="313"/>
      <c r="L611" s="313"/>
      <c r="M611" s="318" t="s">
        <v>34</v>
      </c>
      <c r="N611" s="315"/>
      <c r="O611" s="315"/>
      <c r="P611" s="318" t="s">
        <v>102</v>
      </c>
      <c r="Q611" s="315"/>
      <c r="R611" s="313"/>
      <c r="S611" s="315"/>
      <c r="T611" s="313"/>
      <c r="U611" s="318" t="s">
        <v>36</v>
      </c>
      <c r="V611" s="313"/>
      <c r="W611" s="315"/>
      <c r="X611" s="315"/>
    </row>
    <row r="612" spans="1:24" x14ac:dyDescent="0.25">
      <c r="A612" s="319" t="s">
        <v>2</v>
      </c>
      <c r="B612" s="320"/>
      <c r="C612" s="321" t="s">
        <v>3</v>
      </c>
      <c r="D612" s="322"/>
      <c r="E612" s="320"/>
      <c r="F612" s="323" t="s">
        <v>4</v>
      </c>
      <c r="G612" s="322"/>
      <c r="H612" s="320"/>
      <c r="I612" s="321" t="s">
        <v>5</v>
      </c>
      <c r="J612" s="322"/>
      <c r="K612" s="320"/>
      <c r="L612" s="321" t="s">
        <v>6</v>
      </c>
      <c r="M612" s="322"/>
      <c r="N612" s="320"/>
      <c r="O612" s="321" t="s">
        <v>7</v>
      </c>
      <c r="P612" s="324"/>
      <c r="Q612" s="325"/>
      <c r="R612" s="326" t="s">
        <v>8</v>
      </c>
      <c r="S612" s="327"/>
      <c r="T612" s="325"/>
      <c r="U612" s="326" t="s">
        <v>9</v>
      </c>
      <c r="V612" s="328"/>
      <c r="W612" s="329" t="s">
        <v>10</v>
      </c>
      <c r="X612" s="330"/>
    </row>
    <row r="613" spans="1:24" ht="15.75" thickBot="1" x14ac:dyDescent="0.3">
      <c r="A613" s="331" t="s">
        <v>11</v>
      </c>
      <c r="B613" s="332" t="s">
        <v>12</v>
      </c>
      <c r="C613" s="333" t="s">
        <v>13</v>
      </c>
      <c r="D613" s="333" t="s">
        <v>14</v>
      </c>
      <c r="E613" s="333" t="s">
        <v>12</v>
      </c>
      <c r="F613" s="333" t="s">
        <v>13</v>
      </c>
      <c r="G613" s="333" t="s">
        <v>14</v>
      </c>
      <c r="H613" s="333" t="s">
        <v>12</v>
      </c>
      <c r="I613" s="334" t="s">
        <v>13</v>
      </c>
      <c r="J613" s="333" t="s">
        <v>14</v>
      </c>
      <c r="K613" s="333" t="s">
        <v>12</v>
      </c>
      <c r="L613" s="333" t="s">
        <v>13</v>
      </c>
      <c r="M613" s="333" t="s">
        <v>14</v>
      </c>
      <c r="N613" s="333" t="s">
        <v>12</v>
      </c>
      <c r="O613" s="333" t="s">
        <v>13</v>
      </c>
      <c r="P613" s="333" t="s">
        <v>14</v>
      </c>
      <c r="Q613" s="333" t="s">
        <v>12</v>
      </c>
      <c r="R613" s="333" t="s">
        <v>13</v>
      </c>
      <c r="S613" s="333" t="s">
        <v>14</v>
      </c>
      <c r="T613" s="333" t="s">
        <v>12</v>
      </c>
      <c r="U613" s="333" t="s">
        <v>13</v>
      </c>
      <c r="V613" s="335" t="s">
        <v>14</v>
      </c>
      <c r="W613" s="336" t="s">
        <v>12</v>
      </c>
      <c r="X613" s="337" t="s">
        <v>14</v>
      </c>
    </row>
    <row r="614" spans="1:24" ht="15.75" thickTop="1" x14ac:dyDescent="0.25">
      <c r="A614" s="338" t="s">
        <v>15</v>
      </c>
      <c r="B614" s="339">
        <v>185582</v>
      </c>
      <c r="C614" s="339">
        <f>D614/B614*1000</f>
        <v>153.87807007145091</v>
      </c>
      <c r="D614" s="339">
        <v>28557</v>
      </c>
      <c r="E614" s="339">
        <v>55552</v>
      </c>
      <c r="F614" s="339">
        <f>G614/E614*1000</f>
        <v>158.59014976958525</v>
      </c>
      <c r="G614" s="339">
        <v>8810</v>
      </c>
      <c r="H614" s="340"/>
      <c r="I614" s="341"/>
      <c r="J614" s="339"/>
      <c r="K614" s="340"/>
      <c r="L614" s="340"/>
      <c r="M614" s="339"/>
      <c r="N614" s="342">
        <v>25825</v>
      </c>
      <c r="O614" s="340">
        <f>P614/N614*1000</f>
        <v>762.5169409486931</v>
      </c>
      <c r="P614" s="339">
        <v>19692</v>
      </c>
      <c r="Q614" s="340"/>
      <c r="R614" s="340"/>
      <c r="S614" s="339"/>
      <c r="T614" s="340"/>
      <c r="U614" s="340"/>
      <c r="V614" s="339"/>
      <c r="W614" s="339">
        <f>B614+E614+H614+K614+N614+Q614+T614</f>
        <v>266959</v>
      </c>
      <c r="X614" s="343">
        <f>D614+G614+J614+M614+P614+S614+V614</f>
        <v>57059</v>
      </c>
    </row>
    <row r="615" spans="1:24" x14ac:dyDescent="0.25">
      <c r="A615" s="344" t="s">
        <v>16</v>
      </c>
      <c r="B615" s="345"/>
      <c r="C615" s="345"/>
      <c r="D615" s="346"/>
      <c r="E615" s="345"/>
      <c r="F615" s="345"/>
      <c r="G615" s="346"/>
      <c r="H615" s="345"/>
      <c r="I615" s="347"/>
      <c r="J615" s="346"/>
      <c r="K615" s="345"/>
      <c r="L615" s="345"/>
      <c r="M615" s="346"/>
      <c r="N615" s="348"/>
      <c r="O615" s="345"/>
      <c r="P615" s="346"/>
      <c r="Q615" s="345"/>
      <c r="R615" s="345"/>
      <c r="S615" s="346"/>
      <c r="T615" s="345"/>
      <c r="U615" s="345"/>
      <c r="V615" s="346"/>
      <c r="W615" s="346">
        <f t="shared" ref="W615:W622" si="77">B615+E615+H615+K615+N615+Q615+T615</f>
        <v>0</v>
      </c>
      <c r="X615" s="349">
        <f t="shared" ref="X615:X622" si="78">D615+G615+J615+M615+P615+S615+V615</f>
        <v>0</v>
      </c>
    </row>
    <row r="616" spans="1:24" x14ac:dyDescent="0.25">
      <c r="A616" s="344" t="s">
        <v>17</v>
      </c>
      <c r="B616" s="350">
        <v>111840</v>
      </c>
      <c r="C616" s="339">
        <f t="shared" ref="C616:C630" si="79">D616/B616*1000</f>
        <v>222.4159513590844</v>
      </c>
      <c r="D616" s="339">
        <v>24875</v>
      </c>
      <c r="E616" s="350">
        <v>24216</v>
      </c>
      <c r="F616" s="339">
        <f t="shared" ref="F616:F630" si="80">G616/E616*1000</f>
        <v>316.73273868516685</v>
      </c>
      <c r="G616" s="339">
        <v>7670</v>
      </c>
      <c r="H616" s="340"/>
      <c r="I616" s="341"/>
      <c r="J616" s="339"/>
      <c r="K616" s="340"/>
      <c r="L616" s="340"/>
      <c r="M616" s="339"/>
      <c r="N616" s="342"/>
      <c r="O616" s="340"/>
      <c r="P616" s="339"/>
      <c r="Q616" s="340"/>
      <c r="R616" s="340"/>
      <c r="S616" s="339"/>
      <c r="T616" s="340"/>
      <c r="U616" s="340"/>
      <c r="V616" s="339"/>
      <c r="W616" s="339">
        <f t="shared" si="77"/>
        <v>136056</v>
      </c>
      <c r="X616" s="343">
        <f t="shared" si="78"/>
        <v>32545</v>
      </c>
    </row>
    <row r="617" spans="1:24" x14ac:dyDescent="0.25">
      <c r="A617" s="344" t="s">
        <v>103</v>
      </c>
      <c r="B617" s="350">
        <v>141756</v>
      </c>
      <c r="C617" s="339">
        <f t="shared" si="79"/>
        <v>459.28214678743757</v>
      </c>
      <c r="D617" s="339">
        <v>65106</v>
      </c>
      <c r="E617" s="350">
        <v>168614</v>
      </c>
      <c r="F617" s="339">
        <f t="shared" si="80"/>
        <v>529.5586368866168</v>
      </c>
      <c r="G617" s="339">
        <v>89291</v>
      </c>
      <c r="H617" s="351">
        <v>35296</v>
      </c>
      <c r="I617" s="339">
        <f>J617/H617*1000</f>
        <v>731.89596554850414</v>
      </c>
      <c r="J617" s="339">
        <v>25833</v>
      </c>
      <c r="K617" s="350">
        <v>4206</v>
      </c>
      <c r="L617" s="339">
        <f>M617/K617*1000</f>
        <v>1487.8744650499286</v>
      </c>
      <c r="M617" s="339">
        <v>6258</v>
      </c>
      <c r="N617" s="351">
        <v>29601</v>
      </c>
      <c r="O617" s="339">
        <f>P617/N617*1000</f>
        <v>498.09128069997638</v>
      </c>
      <c r="P617" s="339">
        <v>14744</v>
      </c>
      <c r="Q617" s="340"/>
      <c r="R617" s="340"/>
      <c r="S617" s="339"/>
      <c r="T617" s="340"/>
      <c r="U617" s="340"/>
      <c r="V617" s="339"/>
      <c r="W617" s="339">
        <f t="shared" si="77"/>
        <v>379473</v>
      </c>
      <c r="X617" s="343">
        <f t="shared" si="78"/>
        <v>201232</v>
      </c>
    </row>
    <row r="618" spans="1:24" x14ac:dyDescent="0.25">
      <c r="A618" s="344" t="s">
        <v>20</v>
      </c>
      <c r="B618" s="350">
        <v>44522</v>
      </c>
      <c r="C618" s="339">
        <f t="shared" si="79"/>
        <v>307.98257041462648</v>
      </c>
      <c r="D618" s="339">
        <v>13712</v>
      </c>
      <c r="E618" s="350">
        <v>63928</v>
      </c>
      <c r="F618" s="339">
        <f t="shared" si="80"/>
        <v>302.99712176198221</v>
      </c>
      <c r="G618" s="339">
        <v>19370</v>
      </c>
      <c r="H618" s="351">
        <v>7000</v>
      </c>
      <c r="I618" s="339">
        <f>J618/H618*1000</f>
        <v>200</v>
      </c>
      <c r="J618" s="339">
        <v>1400</v>
      </c>
      <c r="K618" s="350"/>
      <c r="L618" s="350"/>
      <c r="M618" s="339"/>
      <c r="N618" s="351">
        <v>13516</v>
      </c>
      <c r="O618" s="339">
        <f>P618/N618*1000</f>
        <v>576.27996448653448</v>
      </c>
      <c r="P618" s="339">
        <v>7789</v>
      </c>
      <c r="Q618" s="340"/>
      <c r="R618" s="340"/>
      <c r="S618" s="339"/>
      <c r="T618" s="340"/>
      <c r="U618" s="340"/>
      <c r="V618" s="339"/>
      <c r="W618" s="339">
        <f t="shared" si="77"/>
        <v>128966</v>
      </c>
      <c r="X618" s="343">
        <f t="shared" si="78"/>
        <v>42271</v>
      </c>
    </row>
    <row r="619" spans="1:24" x14ac:dyDescent="0.25">
      <c r="A619" s="344" t="s">
        <v>21</v>
      </c>
      <c r="B619" s="350">
        <v>38800</v>
      </c>
      <c r="C619" s="339">
        <v>224</v>
      </c>
      <c r="D619" s="339">
        <f>B619*C619/1000</f>
        <v>8691.2000000000007</v>
      </c>
      <c r="E619" s="342">
        <v>564</v>
      </c>
      <c r="F619" s="339">
        <v>262</v>
      </c>
      <c r="G619" s="339">
        <f>E619*F619/1000</f>
        <v>147.768</v>
      </c>
      <c r="H619" s="351"/>
      <c r="I619" s="342"/>
      <c r="J619" s="339"/>
      <c r="K619" s="340"/>
      <c r="L619" s="340"/>
      <c r="M619" s="339"/>
      <c r="N619" s="342"/>
      <c r="O619" s="340"/>
      <c r="P619" s="339"/>
      <c r="Q619" s="340"/>
      <c r="R619" s="340"/>
      <c r="S619" s="339"/>
      <c r="T619" s="340"/>
      <c r="U619" s="340"/>
      <c r="V619" s="339"/>
      <c r="W619" s="339">
        <f t="shared" si="77"/>
        <v>39364</v>
      </c>
      <c r="X619" s="343">
        <f t="shared" si="78"/>
        <v>8838.9680000000008</v>
      </c>
    </row>
    <row r="620" spans="1:24" x14ac:dyDescent="0.25">
      <c r="A620" s="344" t="s">
        <v>22</v>
      </c>
      <c r="B620" s="350">
        <v>77230</v>
      </c>
      <c r="C620" s="339">
        <f t="shared" si="79"/>
        <v>200</v>
      </c>
      <c r="D620" s="339">
        <v>15446</v>
      </c>
      <c r="E620" s="351">
        <v>102</v>
      </c>
      <c r="F620" s="339">
        <f t="shared" si="80"/>
        <v>803.92156862745105</v>
      </c>
      <c r="G620" s="339">
        <v>82</v>
      </c>
      <c r="H620" s="351">
        <v>28218</v>
      </c>
      <c r="I620" s="351">
        <v>1500</v>
      </c>
      <c r="J620" s="339">
        <v>42327</v>
      </c>
      <c r="K620" s="340"/>
      <c r="L620" s="340"/>
      <c r="M620" s="339"/>
      <c r="N620" s="342"/>
      <c r="O620" s="340"/>
      <c r="P620" s="339"/>
      <c r="Q620" s="351">
        <v>25</v>
      </c>
      <c r="R620" s="352">
        <v>2000</v>
      </c>
      <c r="S620" s="339">
        <v>50</v>
      </c>
      <c r="T620" s="340"/>
      <c r="U620" s="340"/>
      <c r="V620" s="339"/>
      <c r="W620" s="339">
        <f t="shared" si="77"/>
        <v>105575</v>
      </c>
      <c r="X620" s="343">
        <f t="shared" si="78"/>
        <v>57905</v>
      </c>
    </row>
    <row r="621" spans="1:24" x14ac:dyDescent="0.25">
      <c r="A621" s="344" t="s">
        <v>23</v>
      </c>
      <c r="B621" s="350">
        <v>137893</v>
      </c>
      <c r="C621" s="339">
        <f t="shared" si="79"/>
        <v>399.42564162067691</v>
      </c>
      <c r="D621" s="339">
        <v>55078</v>
      </c>
      <c r="E621" s="350">
        <v>62978</v>
      </c>
      <c r="F621" s="339">
        <f t="shared" si="80"/>
        <v>517.67283813395147</v>
      </c>
      <c r="G621" s="339">
        <v>32602</v>
      </c>
      <c r="H621" s="342">
        <v>4693</v>
      </c>
      <c r="I621" s="339">
        <f t="shared" ref="I621:I630" si="81">J621/H621*1000</f>
        <v>972.72533560622196</v>
      </c>
      <c r="J621" s="339">
        <v>4565</v>
      </c>
      <c r="K621" s="342">
        <v>283</v>
      </c>
      <c r="L621" s="339">
        <f t="shared" ref="L621:L630" si="82">M621/K621*1000</f>
        <v>1201.4134275618376</v>
      </c>
      <c r="M621" s="339">
        <v>340</v>
      </c>
      <c r="N621" s="342">
        <v>30752</v>
      </c>
      <c r="O621" s="339">
        <f>P621/N621*1000</f>
        <v>839.00234131113427</v>
      </c>
      <c r="P621" s="339">
        <v>25801</v>
      </c>
      <c r="Q621" s="340"/>
      <c r="R621" s="340"/>
      <c r="S621" s="339"/>
      <c r="T621" s="340"/>
      <c r="U621" s="340"/>
      <c r="V621" s="339"/>
      <c r="W621" s="339">
        <f t="shared" si="77"/>
        <v>236599</v>
      </c>
      <c r="X621" s="343">
        <f t="shared" si="78"/>
        <v>118386</v>
      </c>
    </row>
    <row r="622" spans="1:24" x14ac:dyDescent="0.25">
      <c r="A622" s="344" t="s">
        <v>24</v>
      </c>
      <c r="B622" s="350">
        <v>4349</v>
      </c>
      <c r="C622" s="339">
        <f t="shared" si="79"/>
        <v>712.80754196366979</v>
      </c>
      <c r="D622" s="339">
        <v>3100</v>
      </c>
      <c r="E622" s="350">
        <v>30273</v>
      </c>
      <c r="F622" s="339">
        <f t="shared" si="80"/>
        <v>2397.6150365011727</v>
      </c>
      <c r="G622" s="339">
        <v>72583</v>
      </c>
      <c r="H622" s="351">
        <v>35789</v>
      </c>
      <c r="I622" s="339">
        <f t="shared" si="81"/>
        <v>1429.3498002179442</v>
      </c>
      <c r="J622" s="339">
        <v>51155</v>
      </c>
      <c r="K622" s="350">
        <v>8633</v>
      </c>
      <c r="L622" s="339">
        <f t="shared" si="82"/>
        <v>2000</v>
      </c>
      <c r="M622" s="339">
        <v>17266</v>
      </c>
      <c r="N622" s="350">
        <v>191696</v>
      </c>
      <c r="O622" s="339">
        <f>P622/N622*1000</f>
        <v>672.94048910775393</v>
      </c>
      <c r="P622" s="339">
        <v>129000</v>
      </c>
      <c r="Q622" s="340"/>
      <c r="R622" s="340"/>
      <c r="S622" s="339"/>
      <c r="T622" s="340"/>
      <c r="U622" s="340"/>
      <c r="V622" s="339"/>
      <c r="W622" s="339">
        <f t="shared" si="77"/>
        <v>270740</v>
      </c>
      <c r="X622" s="343">
        <f t="shared" si="78"/>
        <v>273104</v>
      </c>
    </row>
    <row r="623" spans="1:24" x14ac:dyDescent="0.25">
      <c r="A623" s="353" t="s">
        <v>85</v>
      </c>
      <c r="B623" s="354">
        <f>SUM(B614:B622)</f>
        <v>741972</v>
      </c>
      <c r="C623" s="355">
        <f t="shared" si="79"/>
        <v>289.18234111260267</v>
      </c>
      <c r="D623" s="354">
        <f>SUM(D614:D622)</f>
        <v>214565.2</v>
      </c>
      <c r="E623" s="354">
        <f>SUM(E614:E622)</f>
        <v>406227</v>
      </c>
      <c r="F623" s="355">
        <f t="shared" si="80"/>
        <v>567.55402275082645</v>
      </c>
      <c r="G623" s="354">
        <f>SUM(G614:G622)</f>
        <v>230555.76799999998</v>
      </c>
      <c r="H623" s="354">
        <f>SUM(H614:H622)</f>
        <v>110996</v>
      </c>
      <c r="I623" s="355">
        <f t="shared" si="81"/>
        <v>1128.6893221377347</v>
      </c>
      <c r="J623" s="354">
        <f>SUM(J614:J622)</f>
        <v>125280</v>
      </c>
      <c r="K623" s="354">
        <f>SUM(K614:K622)</f>
        <v>13122</v>
      </c>
      <c r="L623" s="355">
        <f t="shared" si="82"/>
        <v>1818.6252095717116</v>
      </c>
      <c r="M623" s="354">
        <f>SUM(M614:M622)</f>
        <v>23864</v>
      </c>
      <c r="N623" s="354">
        <f>SUM(N614:N622)</f>
        <v>291390</v>
      </c>
      <c r="O623" s="355">
        <f>P623/N623*1000</f>
        <v>676.15909948865783</v>
      </c>
      <c r="P623" s="354">
        <f>SUM(P614:P622)</f>
        <v>197026</v>
      </c>
      <c r="Q623" s="354">
        <f>SUM(Q614:Q622)</f>
        <v>25</v>
      </c>
      <c r="R623" s="356"/>
      <c r="S623" s="354">
        <f>SUM(S614:S622)</f>
        <v>50</v>
      </c>
      <c r="T623" s="354">
        <f>SUM(T614:T622)</f>
        <v>0</v>
      </c>
      <c r="U623" s="356"/>
      <c r="V623" s="354">
        <f>SUM(V614:V622)</f>
        <v>0</v>
      </c>
      <c r="W623" s="354">
        <f>SUM(W614:W622)</f>
        <v>1563732</v>
      </c>
      <c r="X623" s="357">
        <f>SUM(X614:X622)</f>
        <v>791340.96799999999</v>
      </c>
    </row>
    <row r="624" spans="1:24" x14ac:dyDescent="0.25">
      <c r="A624" s="344" t="s">
        <v>26</v>
      </c>
      <c r="B624" s="350">
        <v>41764</v>
      </c>
      <c r="C624" s="339">
        <f t="shared" si="79"/>
        <v>475.33761133990998</v>
      </c>
      <c r="D624" s="339">
        <v>19852</v>
      </c>
      <c r="E624" s="350">
        <v>163543</v>
      </c>
      <c r="F624" s="339">
        <f t="shared" si="80"/>
        <v>768.03042624875422</v>
      </c>
      <c r="G624" s="339">
        <v>125606</v>
      </c>
      <c r="H624" s="351">
        <v>51052</v>
      </c>
      <c r="I624" s="339">
        <f t="shared" si="81"/>
        <v>840.77019509519698</v>
      </c>
      <c r="J624" s="339">
        <v>42923</v>
      </c>
      <c r="K624" s="350">
        <v>37570</v>
      </c>
      <c r="L624" s="339">
        <f t="shared" si="82"/>
        <v>879.85094490284803</v>
      </c>
      <c r="M624" s="339">
        <v>33056</v>
      </c>
      <c r="N624" s="350">
        <v>148066</v>
      </c>
      <c r="O624" s="350">
        <v>767</v>
      </c>
      <c r="P624" s="339">
        <f>N624*O624/1000</f>
        <v>113566.622</v>
      </c>
      <c r="Q624" s="340"/>
      <c r="R624" s="340"/>
      <c r="S624" s="339"/>
      <c r="T624" s="340"/>
      <c r="U624" s="340"/>
      <c r="V624" s="339"/>
      <c r="W624" s="339">
        <f>B624+E624+H624+K624+N624+Q624+T624</f>
        <v>441995</v>
      </c>
      <c r="X624" s="343">
        <f>D624+G624+J624+M624+P624+S624+V624</f>
        <v>335003.62199999997</v>
      </c>
    </row>
    <row r="625" spans="1:29" x14ac:dyDescent="0.25">
      <c r="A625" s="344" t="s">
        <v>27</v>
      </c>
      <c r="B625" s="350">
        <v>41407</v>
      </c>
      <c r="C625" s="339">
        <f t="shared" si="79"/>
        <v>519.9362426642839</v>
      </c>
      <c r="D625" s="339">
        <v>21529</v>
      </c>
      <c r="E625" s="350">
        <v>74581</v>
      </c>
      <c r="F625" s="339">
        <f t="shared" si="80"/>
        <v>631.27338061972898</v>
      </c>
      <c r="G625" s="339">
        <v>47081</v>
      </c>
      <c r="H625" s="351">
        <v>10787</v>
      </c>
      <c r="I625" s="339">
        <f t="shared" si="81"/>
        <v>800.03708167238347</v>
      </c>
      <c r="J625" s="339">
        <v>8630</v>
      </c>
      <c r="K625" s="350">
        <v>42178</v>
      </c>
      <c r="L625" s="339">
        <f t="shared" si="82"/>
        <v>966.28574138176305</v>
      </c>
      <c r="M625" s="339">
        <v>40756</v>
      </c>
      <c r="N625" s="350"/>
      <c r="O625" s="350"/>
      <c r="P625" s="339"/>
      <c r="Q625" s="340"/>
      <c r="R625" s="340"/>
      <c r="S625" s="339"/>
      <c r="T625" s="340"/>
      <c r="U625" s="340"/>
      <c r="V625" s="339"/>
      <c r="W625" s="339">
        <f>B625+E625+H625+K625+N625+Q625+T625</f>
        <v>168953</v>
      </c>
      <c r="X625" s="343">
        <f>D625+G625+J625+M625+P625+S625+V625</f>
        <v>117996</v>
      </c>
    </row>
    <row r="626" spans="1:29" x14ac:dyDescent="0.25">
      <c r="A626" s="358" t="s">
        <v>124</v>
      </c>
      <c r="B626" s="350">
        <v>21514</v>
      </c>
      <c r="C626" s="339">
        <f t="shared" si="79"/>
        <v>600.95751603606948</v>
      </c>
      <c r="D626" s="339">
        <v>12929</v>
      </c>
      <c r="E626" s="350">
        <v>46357</v>
      </c>
      <c r="F626" s="339">
        <f t="shared" si="80"/>
        <v>658.73546605690615</v>
      </c>
      <c r="G626" s="339">
        <v>30537</v>
      </c>
      <c r="H626" s="351">
        <v>7112</v>
      </c>
      <c r="I626" s="339">
        <f t="shared" si="81"/>
        <v>935.6017997750281</v>
      </c>
      <c r="J626" s="339">
        <v>6654</v>
      </c>
      <c r="K626" s="350">
        <v>13931</v>
      </c>
      <c r="L626" s="339">
        <f t="shared" si="82"/>
        <v>978.24994616323318</v>
      </c>
      <c r="M626" s="339">
        <v>13628</v>
      </c>
      <c r="N626" s="340"/>
      <c r="O626" s="340"/>
      <c r="P626" s="339"/>
      <c r="Q626" s="340"/>
      <c r="R626" s="340"/>
      <c r="S626" s="339"/>
      <c r="T626" s="340"/>
      <c r="U626" s="340"/>
      <c r="V626" s="339"/>
      <c r="W626" s="339">
        <f>B626+E626+H626+K626+N626+Q626+T626</f>
        <v>88914</v>
      </c>
      <c r="X626" s="343">
        <f>D626+G626+J626+M626+P626+S626+V626</f>
        <v>63748</v>
      </c>
    </row>
    <row r="627" spans="1:29" x14ac:dyDescent="0.25">
      <c r="A627" s="358" t="s">
        <v>125</v>
      </c>
      <c r="B627" s="350">
        <v>19236</v>
      </c>
      <c r="C627" s="339">
        <f t="shared" si="79"/>
        <v>503.69099604907461</v>
      </c>
      <c r="D627" s="339">
        <v>9689</v>
      </c>
      <c r="E627" s="350">
        <v>80299</v>
      </c>
      <c r="F627" s="339">
        <f t="shared" si="80"/>
        <v>772.57500093400915</v>
      </c>
      <c r="G627" s="339">
        <v>62037</v>
      </c>
      <c r="H627" s="351">
        <v>10417</v>
      </c>
      <c r="I627" s="339">
        <f t="shared" si="81"/>
        <v>714.12114812326013</v>
      </c>
      <c r="J627" s="339">
        <v>7439</v>
      </c>
      <c r="K627" s="350">
        <v>11030</v>
      </c>
      <c r="L627" s="339">
        <f t="shared" si="82"/>
        <v>1420.1269265639164</v>
      </c>
      <c r="M627" s="339">
        <v>15664</v>
      </c>
      <c r="N627" s="340"/>
      <c r="O627" s="340"/>
      <c r="P627" s="339"/>
      <c r="Q627" s="340"/>
      <c r="R627" s="340"/>
      <c r="S627" s="339"/>
      <c r="T627" s="340"/>
      <c r="U627" s="340"/>
      <c r="V627" s="339"/>
      <c r="W627" s="339">
        <f>B627+E627+H627+K627+N627+Q627+T627</f>
        <v>120982</v>
      </c>
      <c r="X627" s="343">
        <f>D627+G627+J627+M627+P627+S627+V627</f>
        <v>94829</v>
      </c>
    </row>
    <row r="628" spans="1:29" x14ac:dyDescent="0.25">
      <c r="A628" s="358" t="s">
        <v>73</v>
      </c>
      <c r="B628" s="350">
        <v>77367</v>
      </c>
      <c r="C628" s="339">
        <f t="shared" si="79"/>
        <v>522.40619385526134</v>
      </c>
      <c r="D628" s="339">
        <v>40417</v>
      </c>
      <c r="E628" s="350">
        <v>143092</v>
      </c>
      <c r="F628" s="339">
        <f t="shared" si="80"/>
        <v>734.81396584015874</v>
      </c>
      <c r="G628" s="339">
        <v>105146</v>
      </c>
      <c r="H628" s="351">
        <v>22264</v>
      </c>
      <c r="I628" s="339">
        <f t="shared" si="81"/>
        <v>813.19619116061801</v>
      </c>
      <c r="J628" s="339">
        <v>18105</v>
      </c>
      <c r="K628" s="350">
        <v>6877</v>
      </c>
      <c r="L628" s="339">
        <f t="shared" si="82"/>
        <v>543.26014250399874</v>
      </c>
      <c r="M628" s="339">
        <v>3736</v>
      </c>
      <c r="N628" s="350">
        <v>5994</v>
      </c>
      <c r="O628" s="339">
        <f>P628/N628*1000</f>
        <v>799.96663329996659</v>
      </c>
      <c r="P628" s="339">
        <v>4795</v>
      </c>
      <c r="Q628" s="340"/>
      <c r="R628" s="340"/>
      <c r="S628" s="339"/>
      <c r="T628" s="340"/>
      <c r="U628" s="340"/>
      <c r="V628" s="339"/>
      <c r="W628" s="339">
        <f>B628+E628+H628+K628+N628+Q628+T628</f>
        <v>255594</v>
      </c>
      <c r="X628" s="343">
        <f>D628+G628+J628+M628+P628+S628+V628</f>
        <v>172199</v>
      </c>
    </row>
    <row r="629" spans="1:29" x14ac:dyDescent="0.25">
      <c r="A629" s="353" t="s">
        <v>86</v>
      </c>
      <c r="B629" s="354">
        <f>SUM(B624:B628)</f>
        <v>201288</v>
      </c>
      <c r="C629" s="355">
        <f t="shared" si="79"/>
        <v>518.7393187870116</v>
      </c>
      <c r="D629" s="354">
        <f>SUM(D624:D628)</f>
        <v>104416</v>
      </c>
      <c r="E629" s="354">
        <f>SUM(E624:E628)</f>
        <v>507872</v>
      </c>
      <c r="F629" s="355">
        <f t="shared" si="80"/>
        <v>729.33140633860501</v>
      </c>
      <c r="G629" s="354">
        <f>SUM(G624:G628)</f>
        <v>370407</v>
      </c>
      <c r="H629" s="354">
        <f>SUM(H624:H628)</f>
        <v>101632</v>
      </c>
      <c r="I629" s="355">
        <f t="shared" si="81"/>
        <v>824.06131926952139</v>
      </c>
      <c r="J629" s="354">
        <f>SUM(J624:J628)</f>
        <v>83751</v>
      </c>
      <c r="K629" s="354">
        <f>SUM(K624:K628)</f>
        <v>111586</v>
      </c>
      <c r="L629" s="355">
        <f t="shared" si="82"/>
        <v>957.46778269675406</v>
      </c>
      <c r="M629" s="354">
        <f>SUM(M624:M628)</f>
        <v>106840</v>
      </c>
      <c r="N629" s="354">
        <f>SUM(N624:N628)</f>
        <v>154060</v>
      </c>
      <c r="O629" s="355">
        <f>P629/N629*1000</f>
        <v>768.2826301440997</v>
      </c>
      <c r="P629" s="354">
        <f>SUM(P624:P628)</f>
        <v>118361.622</v>
      </c>
      <c r="Q629" s="354">
        <f>SUM(Q624:Q628)</f>
        <v>0</v>
      </c>
      <c r="R629" s="356"/>
      <c r="S629" s="354">
        <f>SUM(S624:S628)</f>
        <v>0</v>
      </c>
      <c r="T629" s="354">
        <f>SUM(T624:T628)</f>
        <v>0</v>
      </c>
      <c r="U629" s="356"/>
      <c r="V629" s="354">
        <f>SUM(V624:V628)</f>
        <v>0</v>
      </c>
      <c r="W629" s="354">
        <f>SUM(W624:W628)</f>
        <v>1076438</v>
      </c>
      <c r="X629" s="357">
        <f>SUM(X624:X628)</f>
        <v>783775.62199999997</v>
      </c>
    </row>
    <row r="630" spans="1:29" ht="15.75" thickBot="1" x14ac:dyDescent="0.3">
      <c r="A630" s="359" t="s">
        <v>32</v>
      </c>
      <c r="B630" s="360">
        <f>B623+B629</f>
        <v>943260</v>
      </c>
      <c r="C630" s="361">
        <f t="shared" si="79"/>
        <v>338.16890358967839</v>
      </c>
      <c r="D630" s="360">
        <f>D623+D629</f>
        <v>318981.2</v>
      </c>
      <c r="E630" s="360">
        <f>E623+E629</f>
        <v>914099</v>
      </c>
      <c r="F630" s="361">
        <f t="shared" si="80"/>
        <v>657.43728852126515</v>
      </c>
      <c r="G630" s="360">
        <f>G623+G629</f>
        <v>600962.76799999992</v>
      </c>
      <c r="H630" s="360">
        <f>H623+H629</f>
        <v>212628</v>
      </c>
      <c r="I630" s="361">
        <f t="shared" si="81"/>
        <v>983.08313110220672</v>
      </c>
      <c r="J630" s="360">
        <f>J623+J629</f>
        <v>209031</v>
      </c>
      <c r="K630" s="360">
        <f>K623+K629</f>
        <v>124708</v>
      </c>
      <c r="L630" s="361">
        <f t="shared" si="82"/>
        <v>1048.0803156172819</v>
      </c>
      <c r="M630" s="360">
        <f>M623+M629</f>
        <v>130704</v>
      </c>
      <c r="N630" s="360">
        <f>N623+N629</f>
        <v>445450</v>
      </c>
      <c r="O630" s="361">
        <f>P630/N630*1000</f>
        <v>708.02025367605779</v>
      </c>
      <c r="P630" s="360">
        <f>P623+P629</f>
        <v>315387.62199999997</v>
      </c>
      <c r="Q630" s="360">
        <f>Q623+Q629</f>
        <v>25</v>
      </c>
      <c r="R630" s="362"/>
      <c r="S630" s="360">
        <f>S623+S629</f>
        <v>50</v>
      </c>
      <c r="T630" s="360">
        <f>T623+T629</f>
        <v>0</v>
      </c>
      <c r="U630" s="362"/>
      <c r="V630" s="360">
        <f>V623+V629</f>
        <v>0</v>
      </c>
      <c r="W630" s="360">
        <f>W623+W629</f>
        <v>2640170</v>
      </c>
      <c r="X630" s="363">
        <f>X623+X629</f>
        <v>1575116.5899999999</v>
      </c>
      <c r="Y630" s="364"/>
      <c r="Z630" s="364"/>
      <c r="AA630" s="364"/>
      <c r="AB630" s="364"/>
      <c r="AC630" s="364"/>
    </row>
    <row r="631" spans="1:29" x14ac:dyDescent="0.25">
      <c r="A631" s="365" t="s">
        <v>126</v>
      </c>
      <c r="B631" s="366"/>
      <c r="C631" s="366"/>
      <c r="D631" s="365"/>
      <c r="E631" s="366"/>
      <c r="F631" s="366"/>
      <c r="G631" s="366"/>
      <c r="H631" s="366"/>
      <c r="I631" s="365"/>
      <c r="J631" s="366"/>
      <c r="K631" s="366"/>
      <c r="L631" s="367"/>
      <c r="M631" s="367"/>
      <c r="N631" s="367"/>
      <c r="O631" s="367"/>
      <c r="P631" s="367"/>
      <c r="Q631" s="367"/>
      <c r="R631" s="368"/>
      <c r="S631" s="367"/>
      <c r="T631" s="367"/>
      <c r="U631" s="368"/>
      <c r="V631" s="367"/>
      <c r="W631" s="367"/>
      <c r="X631" s="369"/>
    </row>
    <row r="632" spans="1:29" ht="15.75" x14ac:dyDescent="0.25">
      <c r="A632" s="310"/>
      <c r="B632" s="366"/>
      <c r="C632" s="366"/>
      <c r="D632" s="365"/>
      <c r="E632" s="366"/>
      <c r="F632" s="366"/>
      <c r="G632" s="366"/>
      <c r="H632" s="366"/>
      <c r="I632" s="365"/>
      <c r="J632" s="366"/>
      <c r="K632" s="366"/>
      <c r="L632" s="367"/>
      <c r="M632" s="367"/>
      <c r="N632" s="367"/>
      <c r="O632" s="367"/>
      <c r="P632" s="367"/>
      <c r="Q632" s="367"/>
      <c r="R632" s="368"/>
      <c r="S632" s="367"/>
      <c r="T632" s="367"/>
      <c r="U632" s="368"/>
      <c r="V632" s="367"/>
      <c r="W632" s="367"/>
      <c r="X632" s="369"/>
    </row>
    <row r="633" spans="1:29" ht="20.25" x14ac:dyDescent="0.3">
      <c r="A633" s="370"/>
      <c r="B633" s="315"/>
      <c r="C633" s="315"/>
      <c r="D633" s="315"/>
      <c r="E633" s="315"/>
      <c r="F633" s="315"/>
      <c r="G633" s="315"/>
      <c r="H633" s="315"/>
      <c r="I633" s="314" t="s">
        <v>122</v>
      </c>
      <c r="J633" s="315"/>
      <c r="K633" s="315"/>
      <c r="L633" s="315"/>
      <c r="M633" s="315"/>
      <c r="N633" s="315"/>
      <c r="O633" s="315"/>
      <c r="P633" s="315"/>
      <c r="Q633" s="315"/>
      <c r="R633" s="315"/>
      <c r="S633" s="371"/>
      <c r="T633" s="315"/>
      <c r="U633" s="315"/>
      <c r="V633" s="315"/>
      <c r="W633" s="315"/>
      <c r="X633" s="315"/>
    </row>
    <row r="634" spans="1:29" ht="20.25" x14ac:dyDescent="0.3">
      <c r="A634" s="311"/>
      <c r="B634" s="315"/>
      <c r="C634" s="315"/>
      <c r="D634" s="315"/>
      <c r="E634" s="315"/>
      <c r="F634" s="315"/>
      <c r="G634" s="315"/>
      <c r="H634" s="315"/>
      <c r="I634" s="314"/>
      <c r="J634" s="315"/>
      <c r="K634" s="315"/>
      <c r="L634" s="315"/>
      <c r="M634" s="315"/>
      <c r="N634" s="315"/>
      <c r="O634" s="315"/>
      <c r="P634" s="315"/>
      <c r="Q634" s="315"/>
      <c r="R634" s="315"/>
      <c r="S634" s="371"/>
      <c r="T634" s="315"/>
      <c r="U634" s="315"/>
      <c r="V634" s="315"/>
      <c r="W634" s="315"/>
      <c r="X634" s="315"/>
    </row>
    <row r="635" spans="1:29" ht="20.25" x14ac:dyDescent="0.3">
      <c r="A635" s="314" t="s">
        <v>127</v>
      </c>
      <c r="B635" s="315"/>
      <c r="C635" s="315"/>
      <c r="D635" s="315"/>
      <c r="E635" s="315"/>
      <c r="F635" s="315"/>
      <c r="G635" s="315"/>
      <c r="H635" s="315"/>
      <c r="I635" s="371"/>
      <c r="J635" s="315"/>
      <c r="K635" s="315"/>
      <c r="L635" s="315"/>
      <c r="M635" s="315"/>
      <c r="N635" s="315"/>
      <c r="O635" s="315"/>
      <c r="P635" s="315"/>
      <c r="Q635" s="315"/>
      <c r="R635" s="315"/>
      <c r="S635" s="371"/>
      <c r="T635" s="315"/>
      <c r="U635" s="315"/>
      <c r="V635" s="315"/>
      <c r="W635" s="315"/>
      <c r="X635" s="315"/>
    </row>
    <row r="636" spans="1:29" ht="15.75" thickBot="1" x14ac:dyDescent="0.3">
      <c r="B636" s="315"/>
      <c r="C636" s="313"/>
      <c r="D636" s="313"/>
      <c r="E636" s="313"/>
      <c r="F636" s="313"/>
      <c r="G636" s="313"/>
      <c r="H636" s="313"/>
      <c r="I636" s="313"/>
      <c r="J636" s="313"/>
      <c r="K636" s="313"/>
      <c r="L636" s="315"/>
      <c r="M636" s="318" t="s">
        <v>34</v>
      </c>
      <c r="N636" s="315"/>
      <c r="O636" s="315"/>
      <c r="P636" s="318" t="s">
        <v>102</v>
      </c>
      <c r="Q636" s="315"/>
      <c r="R636" s="313"/>
      <c r="S636" s="315"/>
      <c r="T636" s="313"/>
      <c r="U636" s="318" t="s">
        <v>36</v>
      </c>
      <c r="V636" s="313"/>
      <c r="W636" s="315"/>
      <c r="X636" s="315"/>
    </row>
    <row r="637" spans="1:29" x14ac:dyDescent="0.25">
      <c r="A637" s="372" t="s">
        <v>2</v>
      </c>
      <c r="B637" s="325"/>
      <c r="C637" s="326" t="s">
        <v>37</v>
      </c>
      <c r="D637" s="328"/>
      <c r="E637" s="325"/>
      <c r="F637" s="326" t="s">
        <v>38</v>
      </c>
      <c r="G637" s="327"/>
      <c r="H637" s="325"/>
      <c r="I637" s="326" t="s">
        <v>40</v>
      </c>
      <c r="J637" s="327"/>
      <c r="K637" s="325"/>
      <c r="L637" s="326" t="s">
        <v>39</v>
      </c>
      <c r="M637" s="327"/>
      <c r="N637" s="325"/>
      <c r="O637" s="373" t="s">
        <v>41</v>
      </c>
      <c r="P637" s="327"/>
      <c r="Q637" s="325"/>
      <c r="R637" s="326" t="s">
        <v>54</v>
      </c>
      <c r="S637" s="327"/>
      <c r="T637" s="325"/>
      <c r="U637" s="326" t="s">
        <v>43</v>
      </c>
      <c r="V637" s="327"/>
      <c r="W637" s="956" t="s">
        <v>44</v>
      </c>
      <c r="X637" s="957"/>
    </row>
    <row r="638" spans="1:29" ht="15.75" thickBot="1" x14ac:dyDescent="0.3">
      <c r="A638" s="374" t="s">
        <v>11</v>
      </c>
      <c r="B638" s="375" t="s">
        <v>12</v>
      </c>
      <c r="C638" s="375" t="s">
        <v>13</v>
      </c>
      <c r="D638" s="375" t="s">
        <v>14</v>
      </c>
      <c r="E638" s="376" t="s">
        <v>12</v>
      </c>
      <c r="F638" s="376" t="s">
        <v>13</v>
      </c>
      <c r="G638" s="376" t="s">
        <v>14</v>
      </c>
      <c r="H638" s="376" t="s">
        <v>12</v>
      </c>
      <c r="I638" s="376" t="s">
        <v>13</v>
      </c>
      <c r="J638" s="376" t="s">
        <v>14</v>
      </c>
      <c r="K638" s="376" t="s">
        <v>12</v>
      </c>
      <c r="L638" s="376" t="s">
        <v>13</v>
      </c>
      <c r="M638" s="376" t="s">
        <v>14</v>
      </c>
      <c r="N638" s="376" t="s">
        <v>12</v>
      </c>
      <c r="O638" s="376" t="s">
        <v>13</v>
      </c>
      <c r="P638" s="376" t="s">
        <v>14</v>
      </c>
      <c r="Q638" s="376" t="s">
        <v>12</v>
      </c>
      <c r="R638" s="376" t="s">
        <v>13</v>
      </c>
      <c r="S638" s="376" t="s">
        <v>14</v>
      </c>
      <c r="T638" s="376" t="s">
        <v>12</v>
      </c>
      <c r="U638" s="376" t="s">
        <v>13</v>
      </c>
      <c r="V638" s="376" t="s">
        <v>14</v>
      </c>
      <c r="W638" s="377" t="s">
        <v>12</v>
      </c>
      <c r="X638" s="337" t="s">
        <v>14</v>
      </c>
    </row>
    <row r="639" spans="1:29" ht="15.75" thickTop="1" x14ac:dyDescent="0.25">
      <c r="A639" s="338" t="s">
        <v>15</v>
      </c>
      <c r="B639" s="378">
        <v>25381</v>
      </c>
      <c r="C639" s="339">
        <f>D639/B639*1000</f>
        <v>176.62818643867459</v>
      </c>
      <c r="D639" s="339">
        <v>4483</v>
      </c>
      <c r="E639" s="339">
        <v>25581</v>
      </c>
      <c r="F639" s="339">
        <f>G639/E639*1000</f>
        <v>167.19440209530512</v>
      </c>
      <c r="G639" s="339">
        <v>4277</v>
      </c>
      <c r="H639" s="339">
        <v>314</v>
      </c>
      <c r="I639" s="339">
        <f>J639/H639*1000</f>
        <v>1996.8152866242037</v>
      </c>
      <c r="J639" s="339">
        <v>627</v>
      </c>
      <c r="K639" s="379"/>
      <c r="L639" s="379"/>
      <c r="M639" s="339"/>
      <c r="N639" s="379"/>
      <c r="O639" s="379"/>
      <c r="P639" s="339"/>
      <c r="Q639" s="379"/>
      <c r="R639" s="379"/>
      <c r="S639" s="339"/>
      <c r="T639" s="351"/>
      <c r="U639" s="351"/>
      <c r="V639" s="339"/>
      <c r="W639" s="339">
        <f t="shared" ref="W639:W647" si="83">B639+E639+H639+K639+N639+Q639+T639</f>
        <v>51276</v>
      </c>
      <c r="X639" s="343">
        <f t="shared" ref="X639:X647" si="84">D639+G639+J639+M639+P639+S639+V639</f>
        <v>9387</v>
      </c>
    </row>
    <row r="640" spans="1:29" x14ac:dyDescent="0.25">
      <c r="A640" s="344" t="s">
        <v>89</v>
      </c>
      <c r="B640" s="380"/>
      <c r="C640" s="381"/>
      <c r="D640" s="346"/>
      <c r="E640" s="381"/>
      <c r="F640" s="381"/>
      <c r="G640" s="346"/>
      <c r="H640" s="381"/>
      <c r="I640" s="382"/>
      <c r="J640" s="346"/>
      <c r="K640" s="383"/>
      <c r="L640" s="383"/>
      <c r="M640" s="346"/>
      <c r="N640" s="383"/>
      <c r="O640" s="383"/>
      <c r="P640" s="346"/>
      <c r="Q640" s="383"/>
      <c r="R640" s="383"/>
      <c r="S640" s="346"/>
      <c r="T640" s="383"/>
      <c r="U640" s="383"/>
      <c r="V640" s="346"/>
      <c r="W640" s="346">
        <f t="shared" si="83"/>
        <v>0</v>
      </c>
      <c r="X640" s="349">
        <f t="shared" si="84"/>
        <v>0</v>
      </c>
    </row>
    <row r="641" spans="1:24" x14ac:dyDescent="0.25">
      <c r="A641" s="344" t="s">
        <v>17</v>
      </c>
      <c r="B641" s="384">
        <v>14136</v>
      </c>
      <c r="C641" s="339">
        <f>D641/B641*1000</f>
        <v>603.56536502546692</v>
      </c>
      <c r="D641" s="339">
        <v>8532</v>
      </c>
      <c r="E641" s="350">
        <v>167</v>
      </c>
      <c r="F641" s="339">
        <f>G641/E641*1000</f>
        <v>137.7245508982036</v>
      </c>
      <c r="G641" s="339">
        <v>23</v>
      </c>
      <c r="H641" s="350">
        <v>567</v>
      </c>
      <c r="I641" s="339">
        <f>J641/H641*1000</f>
        <v>195.76719576719574</v>
      </c>
      <c r="J641" s="339">
        <v>111</v>
      </c>
      <c r="K641" s="351"/>
      <c r="L641" s="351"/>
      <c r="M641" s="339"/>
      <c r="N641" s="351"/>
      <c r="O641" s="351"/>
      <c r="P641" s="339"/>
      <c r="Q641" s="351"/>
      <c r="R641" s="351"/>
      <c r="S641" s="339"/>
      <c r="T641" s="351"/>
      <c r="U641" s="351"/>
      <c r="V641" s="339"/>
      <c r="W641" s="339">
        <f t="shared" si="83"/>
        <v>14870</v>
      </c>
      <c r="X641" s="343">
        <f t="shared" si="84"/>
        <v>8666</v>
      </c>
    </row>
    <row r="642" spans="1:24" x14ac:dyDescent="0.25">
      <c r="A642" s="344" t="s">
        <v>103</v>
      </c>
      <c r="B642" s="385">
        <v>86154</v>
      </c>
      <c r="C642" s="339">
        <f>D642/B642*1000</f>
        <v>505.50177588968592</v>
      </c>
      <c r="D642" s="339">
        <v>43551</v>
      </c>
      <c r="E642" s="351">
        <v>16592</v>
      </c>
      <c r="F642" s="339">
        <f>G642/E642*1000</f>
        <v>305.50867888138862</v>
      </c>
      <c r="G642" s="339">
        <v>5069</v>
      </c>
      <c r="H642" s="351">
        <v>17894</v>
      </c>
      <c r="I642" s="339">
        <f>J642/H642*1000</f>
        <v>573.09712752878056</v>
      </c>
      <c r="J642" s="339">
        <v>10255</v>
      </c>
      <c r="K642" s="351"/>
      <c r="L642" s="351"/>
      <c r="M642" s="339"/>
      <c r="N642" s="351">
        <v>3000</v>
      </c>
      <c r="O642" s="339">
        <f>P642/N642*1000</f>
        <v>6000</v>
      </c>
      <c r="P642" s="339">
        <v>18000</v>
      </c>
      <c r="Q642" s="351">
        <v>1200</v>
      </c>
      <c r="R642" s="351">
        <v>8000</v>
      </c>
      <c r="S642" s="339">
        <v>9600</v>
      </c>
      <c r="T642" s="351"/>
      <c r="U642" s="351"/>
      <c r="V642" s="339"/>
      <c r="W642" s="339">
        <f t="shared" si="83"/>
        <v>124840</v>
      </c>
      <c r="X642" s="343">
        <f t="shared" si="84"/>
        <v>86475</v>
      </c>
    </row>
    <row r="643" spans="1:24" x14ac:dyDescent="0.25">
      <c r="A643" s="344" t="s">
        <v>104</v>
      </c>
      <c r="B643" s="384">
        <v>19967</v>
      </c>
      <c r="C643" s="339">
        <f>D643/B643*1000</f>
        <v>1404.2670406170182</v>
      </c>
      <c r="D643" s="339">
        <v>28039</v>
      </c>
      <c r="E643" s="350">
        <v>6541</v>
      </c>
      <c r="F643" s="339">
        <f>G643/E643*1000</f>
        <v>289.09952606635068</v>
      </c>
      <c r="G643" s="339">
        <v>1891</v>
      </c>
      <c r="H643" s="350">
        <v>3338</v>
      </c>
      <c r="I643" s="339">
        <f>J643/H643*1000</f>
        <v>203.41521869382865</v>
      </c>
      <c r="J643" s="339">
        <v>679</v>
      </c>
      <c r="K643" s="351">
        <v>950</v>
      </c>
      <c r="L643" s="386">
        <v>475</v>
      </c>
      <c r="M643" s="339">
        <f>K643*L643/1000</f>
        <v>451.25</v>
      </c>
      <c r="N643" s="351"/>
      <c r="O643" s="351"/>
      <c r="P643" s="339"/>
      <c r="Q643" s="351"/>
      <c r="R643" s="351"/>
      <c r="S643" s="339"/>
      <c r="T643" s="351"/>
      <c r="U643" s="351"/>
      <c r="V643" s="339"/>
      <c r="W643" s="339">
        <f t="shared" si="83"/>
        <v>30796</v>
      </c>
      <c r="X643" s="343">
        <f t="shared" si="84"/>
        <v>31060.25</v>
      </c>
    </row>
    <row r="644" spans="1:24" x14ac:dyDescent="0.25">
      <c r="A644" s="344" t="s">
        <v>21</v>
      </c>
      <c r="B644" s="387"/>
      <c r="C644" s="352"/>
      <c r="D644" s="339"/>
      <c r="E644" s="352"/>
      <c r="F644" s="352"/>
      <c r="G644" s="339"/>
      <c r="H644" s="350"/>
      <c r="I644" s="350"/>
      <c r="J644" s="339"/>
      <c r="K644" s="351"/>
      <c r="L644" s="351"/>
      <c r="M644" s="339"/>
      <c r="N644" s="351"/>
      <c r="O644" s="351"/>
      <c r="P644" s="339"/>
      <c r="Q644" s="351"/>
      <c r="R644" s="351"/>
      <c r="S644" s="339"/>
      <c r="T644" s="351"/>
      <c r="U644" s="351"/>
      <c r="V644" s="339"/>
      <c r="W644" s="339">
        <f t="shared" si="83"/>
        <v>0</v>
      </c>
      <c r="X644" s="343">
        <f t="shared" si="84"/>
        <v>0</v>
      </c>
    </row>
    <row r="645" spans="1:24" x14ac:dyDescent="0.25">
      <c r="A645" s="344" t="s">
        <v>22</v>
      </c>
      <c r="B645" s="384"/>
      <c r="C645" s="350"/>
      <c r="D645" s="339"/>
      <c r="E645" s="352"/>
      <c r="F645" s="352"/>
      <c r="G645" s="339"/>
      <c r="H645" s="350"/>
      <c r="I645" s="350"/>
      <c r="J645" s="339"/>
      <c r="K645" s="351"/>
      <c r="L645" s="386"/>
      <c r="M645" s="339"/>
      <c r="N645" s="351">
        <v>195</v>
      </c>
      <c r="O645" s="339">
        <f>P645/N645*1000</f>
        <v>7692.3076923076924</v>
      </c>
      <c r="P645" s="339">
        <v>1500</v>
      </c>
      <c r="Q645" s="351">
        <v>157</v>
      </c>
      <c r="R645" s="351">
        <v>8000</v>
      </c>
      <c r="S645" s="339">
        <f>Q645*R645/1000</f>
        <v>1256</v>
      </c>
      <c r="T645" s="351"/>
      <c r="U645" s="351"/>
      <c r="V645" s="339"/>
      <c r="W645" s="339">
        <f t="shared" si="83"/>
        <v>352</v>
      </c>
      <c r="X645" s="343">
        <f t="shared" si="84"/>
        <v>2756</v>
      </c>
    </row>
    <row r="646" spans="1:24" x14ac:dyDescent="0.25">
      <c r="A646" s="344" t="s">
        <v>23</v>
      </c>
      <c r="B646" s="384">
        <v>125348</v>
      </c>
      <c r="C646" s="339">
        <f>D646/B646*1000</f>
        <v>647.25404473944536</v>
      </c>
      <c r="D646" s="339">
        <v>81132</v>
      </c>
      <c r="E646" s="350">
        <v>8517</v>
      </c>
      <c r="F646" s="339">
        <f>G646/E646*1000</f>
        <v>377.94998238816487</v>
      </c>
      <c r="G646" s="339">
        <v>3219</v>
      </c>
      <c r="H646" s="350">
        <v>7772</v>
      </c>
      <c r="I646" s="339">
        <f>J646/H646*1000</f>
        <v>218.99125064333506</v>
      </c>
      <c r="J646" s="339">
        <v>1702</v>
      </c>
      <c r="K646" s="351"/>
      <c r="L646" s="351"/>
      <c r="M646" s="339"/>
      <c r="N646" s="351"/>
      <c r="O646" s="351"/>
      <c r="P646" s="339"/>
      <c r="Q646" s="351"/>
      <c r="R646" s="351"/>
      <c r="S646" s="339"/>
      <c r="T646" s="351"/>
      <c r="U646" s="351"/>
      <c r="V646" s="339"/>
      <c r="W646" s="339">
        <f t="shared" si="83"/>
        <v>141637</v>
      </c>
      <c r="X646" s="343">
        <f t="shared" si="84"/>
        <v>86053</v>
      </c>
    </row>
    <row r="647" spans="1:24" x14ac:dyDescent="0.25">
      <c r="A647" s="344" t="s">
        <v>24</v>
      </c>
      <c r="B647" s="384">
        <v>21304</v>
      </c>
      <c r="C647" s="339">
        <f>D647/B647*1000</f>
        <v>1048.770184003004</v>
      </c>
      <c r="D647" s="339">
        <v>22343</v>
      </c>
      <c r="E647" s="350">
        <v>2332</v>
      </c>
      <c r="F647" s="339">
        <f>G647/E647*1000</f>
        <v>696.39794168096057</v>
      </c>
      <c r="G647" s="339">
        <v>1624</v>
      </c>
      <c r="H647" s="350">
        <v>9508</v>
      </c>
      <c r="I647" s="339">
        <f>J647/H647*1000</f>
        <v>1423.9587715607909</v>
      </c>
      <c r="J647" s="339">
        <v>13539</v>
      </c>
      <c r="K647" s="351">
        <v>75</v>
      </c>
      <c r="L647" s="351">
        <v>500</v>
      </c>
      <c r="M647" s="339">
        <f>K647*L647/1000</f>
        <v>37.5</v>
      </c>
      <c r="N647" s="351">
        <v>1340</v>
      </c>
      <c r="O647" s="351">
        <v>4000</v>
      </c>
      <c r="P647" s="339">
        <f>N647*O647/1000</f>
        <v>5360</v>
      </c>
      <c r="Q647" s="351">
        <v>125</v>
      </c>
      <c r="R647" s="351">
        <v>8000</v>
      </c>
      <c r="S647" s="339">
        <f>Q647*R647/1000</f>
        <v>1000</v>
      </c>
      <c r="T647" s="351"/>
      <c r="U647" s="351"/>
      <c r="V647" s="339"/>
      <c r="W647" s="339">
        <f t="shared" si="83"/>
        <v>34684</v>
      </c>
      <c r="X647" s="343">
        <f t="shared" si="84"/>
        <v>43903.5</v>
      </c>
    </row>
    <row r="648" spans="1:24" x14ac:dyDescent="0.25">
      <c r="A648" s="353" t="s">
        <v>128</v>
      </c>
      <c r="B648" s="354">
        <f>SUM(B639:B647)</f>
        <v>292290</v>
      </c>
      <c r="C648" s="354">
        <f>D648/B648*1000</f>
        <v>643.47052584761707</v>
      </c>
      <c r="D648" s="354">
        <f>SUM(D639:D647)</f>
        <v>188080</v>
      </c>
      <c r="E648" s="354">
        <f>SUM(E639:E647)</f>
        <v>59730</v>
      </c>
      <c r="F648" s="354">
        <v>647.25404473944536</v>
      </c>
      <c r="G648" s="354">
        <f>SUM(G639:G647)</f>
        <v>16103</v>
      </c>
      <c r="H648" s="354">
        <f>SUM(H639:H647)</f>
        <v>39393</v>
      </c>
      <c r="I648" s="354">
        <v>647.25404473944536</v>
      </c>
      <c r="J648" s="354">
        <f>SUM(J639:J647)</f>
        <v>26913</v>
      </c>
      <c r="K648" s="354">
        <f>SUM(K639:K647)</f>
        <v>1025</v>
      </c>
      <c r="L648" s="354"/>
      <c r="M648" s="354">
        <f>SUM(M639:M647)</f>
        <v>488.75</v>
      </c>
      <c r="N648" s="354">
        <f>SUM(N639:N647)</f>
        <v>4535</v>
      </c>
      <c r="O648" s="354">
        <f>P648/N648*1000</f>
        <v>5481.8081587651604</v>
      </c>
      <c r="P648" s="354">
        <f>SUM(P639:P647)</f>
        <v>24860</v>
      </c>
      <c r="Q648" s="354">
        <f>SUM(Q639:Q647)</f>
        <v>1482</v>
      </c>
      <c r="R648" s="354"/>
      <c r="S648" s="354">
        <f>SUM(S639:S647)</f>
        <v>11856</v>
      </c>
      <c r="T648" s="354">
        <f>SUM(T639:T647)</f>
        <v>0</v>
      </c>
      <c r="U648" s="354"/>
      <c r="V648" s="354">
        <f>SUM(V639:V647)</f>
        <v>0</v>
      </c>
      <c r="W648" s="354">
        <f>SUM(W639:W647)</f>
        <v>398455</v>
      </c>
      <c r="X648" s="388">
        <f>SUM(X639:X647)</f>
        <v>268300.75</v>
      </c>
    </row>
    <row r="649" spans="1:24" x14ac:dyDescent="0.25">
      <c r="A649" s="344" t="s">
        <v>26</v>
      </c>
      <c r="B649" s="350">
        <v>104053</v>
      </c>
      <c r="C649" s="339">
        <f t="shared" ref="C649:C654" si="85">D649/B649*1000</f>
        <v>1065.7165098555542</v>
      </c>
      <c r="D649" s="339">
        <v>110891</v>
      </c>
      <c r="E649" s="350">
        <v>24450</v>
      </c>
      <c r="F649" s="339">
        <f t="shared" ref="F649:F654" si="86">G649/E649*1000</f>
        <v>340.12269938650309</v>
      </c>
      <c r="G649" s="339">
        <v>8316</v>
      </c>
      <c r="H649" s="350">
        <v>15771</v>
      </c>
      <c r="I649" s="339">
        <f t="shared" ref="I649:I654" si="87">J649/H649*1000</f>
        <v>639.97210069114192</v>
      </c>
      <c r="J649" s="339">
        <v>10093</v>
      </c>
      <c r="K649" s="351">
        <v>2500</v>
      </c>
      <c r="L649" s="351">
        <v>490</v>
      </c>
      <c r="M649" s="339">
        <f>K649*L649/1000</f>
        <v>1225</v>
      </c>
      <c r="N649" s="351">
        <v>13389</v>
      </c>
      <c r="O649" s="339">
        <f t="shared" ref="O649:O654" si="88">P649/N649*1000</f>
        <v>3479.6474718052132</v>
      </c>
      <c r="P649" s="339">
        <v>46589</v>
      </c>
      <c r="Q649" s="351">
        <v>1500</v>
      </c>
      <c r="R649" s="351">
        <v>5000</v>
      </c>
      <c r="S649" s="339">
        <f>Q649*R649/1000</f>
        <v>7500</v>
      </c>
      <c r="T649" s="351">
        <v>4692</v>
      </c>
      <c r="U649" s="339">
        <f>V649/T649*1000</f>
        <v>6000</v>
      </c>
      <c r="V649" s="339">
        <v>28152</v>
      </c>
      <c r="W649" s="339">
        <f>B649+E649+H649+K649+N649+Q649+T649</f>
        <v>166355</v>
      </c>
      <c r="X649" s="343">
        <f>D649+G649+J649+M649+P649+S649+V649</f>
        <v>212766</v>
      </c>
    </row>
    <row r="650" spans="1:24" x14ac:dyDescent="0.25">
      <c r="A650" s="344" t="s">
        <v>27</v>
      </c>
      <c r="B650" s="350">
        <v>37375</v>
      </c>
      <c r="C650" s="339">
        <f t="shared" si="85"/>
        <v>665.09698996655516</v>
      </c>
      <c r="D650" s="339">
        <v>24858</v>
      </c>
      <c r="E650" s="350">
        <v>17806</v>
      </c>
      <c r="F650" s="339">
        <f t="shared" si="86"/>
        <v>377.00775019656294</v>
      </c>
      <c r="G650" s="339">
        <v>6713</v>
      </c>
      <c r="H650" s="350">
        <v>4935</v>
      </c>
      <c r="I650" s="339">
        <f t="shared" si="87"/>
        <v>614.9949341438703</v>
      </c>
      <c r="J650" s="339">
        <v>3035</v>
      </c>
      <c r="K650" s="351">
        <v>1250</v>
      </c>
      <c r="L650" s="351">
        <v>400</v>
      </c>
      <c r="M650" s="339">
        <f>K650*L650/1000</f>
        <v>500</v>
      </c>
      <c r="N650" s="351">
        <v>7315</v>
      </c>
      <c r="O650" s="339">
        <f t="shared" si="88"/>
        <v>4537.3889268626108</v>
      </c>
      <c r="P650" s="339">
        <v>33191</v>
      </c>
      <c r="Q650" s="351">
        <v>1000</v>
      </c>
      <c r="R650" s="351">
        <v>5000</v>
      </c>
      <c r="S650" s="339">
        <f>Q650*R650/1000</f>
        <v>5000</v>
      </c>
      <c r="T650" s="351"/>
      <c r="U650" s="351"/>
      <c r="V650" s="339"/>
      <c r="W650" s="339">
        <f>B650+E650+H650+K650+N650+Q650+T650</f>
        <v>69681</v>
      </c>
      <c r="X650" s="343">
        <f>D650+G650+J650+M650+P650+S650+V650</f>
        <v>73297</v>
      </c>
    </row>
    <row r="651" spans="1:24" x14ac:dyDescent="0.25">
      <c r="A651" s="358" t="s">
        <v>124</v>
      </c>
      <c r="B651" s="350">
        <v>64886</v>
      </c>
      <c r="C651" s="339">
        <f t="shared" si="85"/>
        <v>912.9087938846593</v>
      </c>
      <c r="D651" s="339">
        <v>59235</v>
      </c>
      <c r="E651" s="350">
        <v>36253</v>
      </c>
      <c r="F651" s="339">
        <f t="shared" si="86"/>
        <v>418.58604805119575</v>
      </c>
      <c r="G651" s="339">
        <v>15175</v>
      </c>
      <c r="H651" s="350">
        <v>1850</v>
      </c>
      <c r="I651" s="339">
        <f t="shared" si="87"/>
        <v>350.27027027027026</v>
      </c>
      <c r="J651" s="339">
        <v>648</v>
      </c>
      <c r="K651" s="351">
        <v>2000</v>
      </c>
      <c r="L651" s="351">
        <v>410</v>
      </c>
      <c r="M651" s="339">
        <f>K651*L651/1000</f>
        <v>820</v>
      </c>
      <c r="N651" s="351">
        <v>5883</v>
      </c>
      <c r="O651" s="339">
        <f t="shared" si="88"/>
        <v>4226.5850756416794</v>
      </c>
      <c r="P651" s="339">
        <v>24865</v>
      </c>
      <c r="Q651" s="351">
        <v>1000</v>
      </c>
      <c r="R651" s="351">
        <v>4500</v>
      </c>
      <c r="S651" s="339">
        <f>Q651*R651/1000</f>
        <v>4500</v>
      </c>
      <c r="T651" s="351"/>
      <c r="U651" s="351"/>
      <c r="V651" s="339"/>
      <c r="W651" s="339">
        <f>B651+E651+H651+K651+N651+Q651+T651</f>
        <v>111872</v>
      </c>
      <c r="X651" s="343">
        <f>D651+G651+J651+M651+P651+S651+V651</f>
        <v>105243</v>
      </c>
    </row>
    <row r="652" spans="1:24" x14ac:dyDescent="0.25">
      <c r="A652" s="358" t="s">
        <v>125</v>
      </c>
      <c r="B652" s="350">
        <v>50231</v>
      </c>
      <c r="C652" s="339">
        <f t="shared" si="85"/>
        <v>965.59893292986396</v>
      </c>
      <c r="D652" s="339">
        <v>48503</v>
      </c>
      <c r="E652" s="350">
        <v>26795</v>
      </c>
      <c r="F652" s="339">
        <f t="shared" si="86"/>
        <v>394.06605710020528</v>
      </c>
      <c r="G652" s="339">
        <v>10559</v>
      </c>
      <c r="H652" s="350">
        <v>2958</v>
      </c>
      <c r="I652" s="339">
        <f t="shared" si="87"/>
        <v>569.97971602434075</v>
      </c>
      <c r="J652" s="339">
        <v>1686</v>
      </c>
      <c r="K652" s="351">
        <v>1000</v>
      </c>
      <c r="L652" s="351">
        <v>445</v>
      </c>
      <c r="M652" s="339">
        <f>K652*L652/1000</f>
        <v>445</v>
      </c>
      <c r="N652" s="351">
        <v>6609</v>
      </c>
      <c r="O652" s="339">
        <f t="shared" si="88"/>
        <v>3679.9818429414436</v>
      </c>
      <c r="P652" s="339">
        <v>24321</v>
      </c>
      <c r="Q652" s="351"/>
      <c r="R652" s="351"/>
      <c r="S652" s="339"/>
      <c r="T652" s="351"/>
      <c r="U652" s="351"/>
      <c r="V652" s="339"/>
      <c r="W652" s="339">
        <f>B652+E652+H652+K652+N652+Q652+T652</f>
        <v>87593</v>
      </c>
      <c r="X652" s="343">
        <f>D652+G652+J652+M652+P652+S652+V652</f>
        <v>85514</v>
      </c>
    </row>
    <row r="653" spans="1:24" x14ac:dyDescent="0.25">
      <c r="A653" s="358" t="s">
        <v>73</v>
      </c>
      <c r="B653" s="350">
        <v>76166</v>
      </c>
      <c r="C653" s="339">
        <f t="shared" si="85"/>
        <v>1127.5634797678756</v>
      </c>
      <c r="D653" s="339">
        <v>85882</v>
      </c>
      <c r="E653" s="350">
        <v>13448</v>
      </c>
      <c r="F653" s="339">
        <f t="shared" si="86"/>
        <v>338.26591314693633</v>
      </c>
      <c r="G653" s="339">
        <v>4549</v>
      </c>
      <c r="H653" s="350">
        <v>10577</v>
      </c>
      <c r="I653" s="339">
        <f t="shared" si="87"/>
        <v>580.03214522076212</v>
      </c>
      <c r="J653" s="339">
        <v>6135</v>
      </c>
      <c r="K653" s="351">
        <v>3500</v>
      </c>
      <c r="L653" s="351">
        <v>500</v>
      </c>
      <c r="M653" s="339">
        <f>K653*L653/1000</f>
        <v>1750</v>
      </c>
      <c r="N653" s="351">
        <v>10851</v>
      </c>
      <c r="O653" s="339">
        <f t="shared" si="88"/>
        <v>3474.4263201548242</v>
      </c>
      <c r="P653" s="339">
        <v>37701</v>
      </c>
      <c r="Q653" s="351"/>
      <c r="R653" s="351"/>
      <c r="S653" s="339"/>
      <c r="T653" s="351"/>
      <c r="U653" s="351"/>
      <c r="V653" s="339"/>
      <c r="W653" s="339">
        <f>B653+E653+H653+K653+N653+Q653+T653</f>
        <v>114542</v>
      </c>
      <c r="X653" s="343">
        <f>D653+G653+J653+M653+P653+S653+V653</f>
        <v>136017</v>
      </c>
    </row>
    <row r="654" spans="1:24" x14ac:dyDescent="0.25">
      <c r="A654" s="353" t="s">
        <v>129</v>
      </c>
      <c r="B654" s="354">
        <f>SUM(B649:B653)</f>
        <v>332711</v>
      </c>
      <c r="C654" s="354">
        <f t="shared" si="85"/>
        <v>989.95524644511306</v>
      </c>
      <c r="D654" s="354">
        <f>SUM(D649:D653)</f>
        <v>329369</v>
      </c>
      <c r="E654" s="354">
        <f>SUM(E649:E653)</f>
        <v>118752</v>
      </c>
      <c r="F654" s="354">
        <f t="shared" si="86"/>
        <v>381.56831042845596</v>
      </c>
      <c r="G654" s="354">
        <f>SUM(G649:G653)</f>
        <v>45312</v>
      </c>
      <c r="H654" s="354">
        <f>SUM(H649:H653)</f>
        <v>36091</v>
      </c>
      <c r="I654" s="354">
        <f t="shared" si="87"/>
        <v>598.40403424676515</v>
      </c>
      <c r="J654" s="354">
        <f>SUM(J649:J653)</f>
        <v>21597</v>
      </c>
      <c r="K654" s="354">
        <f>SUM(K649:K653)</f>
        <v>10250</v>
      </c>
      <c r="L654" s="354"/>
      <c r="M654" s="354">
        <f>SUM(M649:M653)</f>
        <v>4740</v>
      </c>
      <c r="N654" s="354">
        <f>SUM(N649:N653)</f>
        <v>44047</v>
      </c>
      <c r="O654" s="354">
        <f t="shared" si="88"/>
        <v>3783.8445297069038</v>
      </c>
      <c r="P654" s="354">
        <f>SUM(P649:P653)</f>
        <v>166667</v>
      </c>
      <c r="Q654" s="354">
        <f>SUM(Q649:Q653)</f>
        <v>3500</v>
      </c>
      <c r="R654" s="354"/>
      <c r="S654" s="354">
        <f>SUM(S649:S653)</f>
        <v>17000</v>
      </c>
      <c r="T654" s="354">
        <f>SUM(T649:T653)</f>
        <v>4692</v>
      </c>
      <c r="U654" s="354">
        <f>V654/T654*1000</f>
        <v>6000</v>
      </c>
      <c r="V654" s="354">
        <f>SUM(V649:V653)</f>
        <v>28152</v>
      </c>
      <c r="W654" s="354">
        <f>SUM(W649:W653)</f>
        <v>550043</v>
      </c>
      <c r="X654" s="388">
        <f>SUM(X649:X653)</f>
        <v>612837</v>
      </c>
    </row>
    <row r="655" spans="1:24" ht="15.75" thickBot="1" x14ac:dyDescent="0.3">
      <c r="A655" s="389" t="s">
        <v>32</v>
      </c>
      <c r="B655" s="360">
        <f>B648+B654</f>
        <v>625001</v>
      </c>
      <c r="C655" s="361">
        <f>D655/B655*1000</f>
        <v>827.91707533267947</v>
      </c>
      <c r="D655" s="360">
        <f>D648+D654</f>
        <v>517449</v>
      </c>
      <c r="E655" s="360">
        <f>E648+E654</f>
        <v>178482</v>
      </c>
      <c r="F655" s="361">
        <f>G655/E655*1000</f>
        <v>344.09632343877814</v>
      </c>
      <c r="G655" s="360">
        <f>G648+G654</f>
        <v>61415</v>
      </c>
      <c r="H655" s="360">
        <f>H648+H654</f>
        <v>75484</v>
      </c>
      <c r="I655" s="361">
        <f>J655/H655*1000</f>
        <v>642.65274760214083</v>
      </c>
      <c r="J655" s="360">
        <f>J648+J654</f>
        <v>48510</v>
      </c>
      <c r="K655" s="360">
        <f>K648+K654</f>
        <v>11275</v>
      </c>
      <c r="L655" s="360"/>
      <c r="M655" s="360">
        <f>M648+M654</f>
        <v>5228.75</v>
      </c>
      <c r="N655" s="360">
        <f>N648+N654</f>
        <v>48582</v>
      </c>
      <c r="O655" s="361">
        <f>P655/N655*1000</f>
        <v>3942.3449014038124</v>
      </c>
      <c r="P655" s="360">
        <f>P648+P654</f>
        <v>191527</v>
      </c>
      <c r="Q655" s="360">
        <f>Q648+Q654</f>
        <v>4982</v>
      </c>
      <c r="R655" s="360"/>
      <c r="S655" s="360">
        <f>S648+S654</f>
        <v>28856</v>
      </c>
      <c r="T655" s="360">
        <f>T648+T654</f>
        <v>4692</v>
      </c>
      <c r="U655" s="361">
        <f>V655/T655*1000</f>
        <v>6000</v>
      </c>
      <c r="V655" s="360">
        <f>V648+V654</f>
        <v>28152</v>
      </c>
      <c r="W655" s="360">
        <f>W648+W654</f>
        <v>948498</v>
      </c>
      <c r="X655" s="390">
        <f>X648+X654</f>
        <v>881137.75</v>
      </c>
    </row>
    <row r="656" spans="1:24" x14ac:dyDescent="0.25">
      <c r="A656" s="365" t="s">
        <v>126</v>
      </c>
      <c r="B656" s="366"/>
      <c r="C656" s="366"/>
      <c r="D656" s="66"/>
      <c r="E656" s="66"/>
      <c r="F656" s="66"/>
      <c r="G656" s="66"/>
      <c r="H656" s="66"/>
      <c r="I656" s="66"/>
      <c r="J656" s="66"/>
      <c r="K656" s="66"/>
      <c r="L656" s="66"/>
      <c r="M656" s="66"/>
      <c r="N656" s="66"/>
      <c r="O656" s="66"/>
      <c r="P656" s="66"/>
      <c r="Q656" s="366"/>
      <c r="R656" s="366"/>
      <c r="S656" s="391"/>
      <c r="T656" s="392"/>
      <c r="U656" s="392"/>
      <c r="V656" s="392"/>
      <c r="W656" s="392"/>
      <c r="X656" s="392"/>
    </row>
    <row r="657" spans="1:29" x14ac:dyDescent="0.25">
      <c r="A657" s="66"/>
      <c r="B657" s="66"/>
      <c r="C657" s="66"/>
      <c r="D657" s="66"/>
      <c r="E657" s="66"/>
      <c r="F657" s="66"/>
      <c r="G657" s="66"/>
      <c r="H657" s="66"/>
      <c r="I657" s="66"/>
      <c r="J657" s="66"/>
      <c r="K657" s="66"/>
      <c r="L657" s="66"/>
      <c r="M657" s="66"/>
      <c r="N657" s="66"/>
      <c r="O657" s="66"/>
      <c r="P657" s="66"/>
      <c r="Q657" s="66"/>
      <c r="R657" s="66"/>
      <c r="S657" s="66"/>
      <c r="T657" s="66"/>
      <c r="U657" s="66"/>
      <c r="V657" s="66"/>
      <c r="W657" s="66"/>
      <c r="X657" s="66"/>
      <c r="Y657" s="66"/>
      <c r="Z657" s="66"/>
      <c r="AA657" s="66"/>
      <c r="AB657" s="66"/>
      <c r="AC657" s="66"/>
    </row>
    <row r="658" spans="1:29" x14ac:dyDescent="0.25">
      <c r="A658" s="66"/>
      <c r="B658" s="66"/>
      <c r="C658" s="66"/>
      <c r="D658" s="66"/>
      <c r="E658" s="66"/>
      <c r="F658" s="66"/>
      <c r="G658" s="66"/>
      <c r="H658" s="66"/>
      <c r="I658" s="66"/>
      <c r="J658" s="66"/>
      <c r="K658" s="66"/>
      <c r="L658" s="66"/>
      <c r="M658" s="66"/>
      <c r="N658" s="66"/>
      <c r="O658" s="66"/>
      <c r="P658" s="66"/>
      <c r="Q658" s="66"/>
      <c r="R658" s="66"/>
      <c r="S658" s="66"/>
      <c r="T658" s="66"/>
      <c r="U658" s="66"/>
      <c r="V658" s="66"/>
      <c r="W658" s="66"/>
      <c r="X658" s="66"/>
      <c r="Y658" s="66"/>
      <c r="Z658" s="66"/>
      <c r="AA658" s="66"/>
      <c r="AB658" s="66"/>
      <c r="AC658" s="66"/>
    </row>
    <row r="659" spans="1:29" x14ac:dyDescent="0.25">
      <c r="A659" s="66"/>
      <c r="B659" s="66"/>
      <c r="C659" s="66"/>
      <c r="D659" s="66"/>
      <c r="E659" s="66"/>
      <c r="F659" s="66"/>
      <c r="G659" s="66"/>
      <c r="H659" s="66"/>
      <c r="I659" s="66"/>
      <c r="J659" s="66"/>
      <c r="K659" s="66"/>
      <c r="L659" s="66"/>
      <c r="M659" s="66"/>
      <c r="N659" s="66"/>
      <c r="O659" s="66"/>
      <c r="P659" s="66"/>
      <c r="Q659" s="66"/>
      <c r="R659" s="66"/>
      <c r="S659" s="66"/>
      <c r="T659" s="66"/>
      <c r="U659" s="66"/>
      <c r="V659" s="66"/>
      <c r="W659" s="66"/>
      <c r="X659" s="66"/>
      <c r="Y659" s="66"/>
      <c r="Z659" s="66"/>
      <c r="AA659" s="66"/>
      <c r="AB659" s="66"/>
      <c r="AC659" s="66"/>
    </row>
    <row r="660" spans="1:29" x14ac:dyDescent="0.25">
      <c r="A660" s="66"/>
      <c r="B660" s="66"/>
      <c r="C660" s="66"/>
      <c r="D660" s="66"/>
      <c r="E660" s="66"/>
      <c r="F660" s="66"/>
      <c r="G660" s="66"/>
      <c r="H660" s="66"/>
      <c r="I660" s="66"/>
      <c r="J660" s="66"/>
      <c r="K660" s="66"/>
      <c r="L660" s="66"/>
      <c r="M660" s="66"/>
      <c r="N660" s="66"/>
      <c r="O660" s="66"/>
      <c r="P660" s="66"/>
      <c r="Q660" s="66"/>
      <c r="R660" s="66"/>
      <c r="S660" s="66"/>
      <c r="T660" s="66"/>
      <c r="U660" s="66"/>
      <c r="V660" s="66"/>
      <c r="W660" s="66"/>
      <c r="X660" s="66"/>
      <c r="Y660" s="66"/>
      <c r="Z660" s="66"/>
      <c r="AA660" s="66"/>
      <c r="AB660" s="66"/>
      <c r="AC660" s="66"/>
    </row>
    <row r="661" spans="1:29" x14ac:dyDescent="0.25">
      <c r="A661" s="66"/>
      <c r="B661" s="66"/>
      <c r="C661" s="66"/>
      <c r="D661" s="66"/>
      <c r="E661" s="66"/>
      <c r="F661" s="66"/>
      <c r="G661" s="66"/>
      <c r="H661" s="66"/>
      <c r="I661" s="66"/>
      <c r="J661" s="66"/>
      <c r="K661" s="66"/>
      <c r="L661" s="66"/>
      <c r="M661" s="66"/>
      <c r="N661" s="66"/>
      <c r="O661" s="66"/>
      <c r="P661" s="66"/>
      <c r="Q661" s="66"/>
      <c r="R661" s="66"/>
      <c r="S661" s="66"/>
      <c r="T661" s="66"/>
      <c r="U661" s="66"/>
      <c r="V661" s="66"/>
      <c r="W661" s="66"/>
      <c r="X661" s="66"/>
      <c r="Y661" s="66"/>
      <c r="Z661" s="66"/>
      <c r="AA661" s="66"/>
      <c r="AB661" s="66"/>
      <c r="AC661" s="66"/>
    </row>
    <row r="662" spans="1:29" ht="20.25" x14ac:dyDescent="0.3">
      <c r="A662" s="314" t="s">
        <v>123</v>
      </c>
      <c r="C662" s="313"/>
      <c r="D662" s="313"/>
      <c r="E662" s="313"/>
      <c r="F662" s="313"/>
      <c r="G662" s="313"/>
      <c r="H662" s="313"/>
      <c r="I662" s="314" t="s">
        <v>130</v>
      </c>
      <c r="J662" s="313"/>
      <c r="K662" s="313"/>
      <c r="L662" s="313"/>
      <c r="M662" s="313"/>
      <c r="N662" s="313"/>
      <c r="O662" s="313"/>
      <c r="P662" s="313"/>
      <c r="Q662" s="313"/>
      <c r="R662" s="315"/>
      <c r="S662" s="315"/>
      <c r="T662" s="315"/>
      <c r="U662" s="315"/>
      <c r="V662" s="315"/>
      <c r="W662" s="315"/>
      <c r="X662" s="315"/>
      <c r="Y662" s="66"/>
      <c r="Z662" s="66"/>
      <c r="AA662" s="66"/>
      <c r="AB662" s="66"/>
      <c r="AC662" s="66"/>
    </row>
    <row r="663" spans="1:29" ht="19.5" thickBot="1" x14ac:dyDescent="0.35">
      <c r="A663" s="312"/>
      <c r="B663" s="317"/>
      <c r="C663" s="313"/>
      <c r="D663" s="313"/>
      <c r="E663" s="313"/>
      <c r="F663" s="313"/>
      <c r="G663" s="313"/>
      <c r="H663" s="313"/>
      <c r="I663" s="316"/>
      <c r="J663" s="313"/>
      <c r="K663" s="313"/>
      <c r="L663" s="313"/>
      <c r="M663" s="318" t="s">
        <v>34</v>
      </c>
      <c r="N663" s="315"/>
      <c r="O663" s="315"/>
      <c r="P663" s="318" t="s">
        <v>102</v>
      </c>
      <c r="Q663" s="315"/>
      <c r="R663" s="313"/>
      <c r="S663" s="315"/>
      <c r="T663" s="313"/>
      <c r="U663" s="318" t="s">
        <v>36</v>
      </c>
      <c r="V663" s="313"/>
      <c r="W663" s="315"/>
      <c r="X663" s="315"/>
      <c r="Y663" s="66"/>
      <c r="Z663" s="66"/>
      <c r="AA663" s="66"/>
      <c r="AB663" s="66"/>
      <c r="AC663" s="66"/>
    </row>
    <row r="664" spans="1:29" x14ac:dyDescent="0.25">
      <c r="A664" s="319" t="s">
        <v>2</v>
      </c>
      <c r="B664" s="320"/>
      <c r="C664" s="321" t="s">
        <v>3</v>
      </c>
      <c r="D664" s="322"/>
      <c r="E664" s="320"/>
      <c r="F664" s="323" t="s">
        <v>4</v>
      </c>
      <c r="G664" s="322"/>
      <c r="H664" s="320"/>
      <c r="I664" s="321" t="s">
        <v>5</v>
      </c>
      <c r="J664" s="322"/>
      <c r="K664" s="320"/>
      <c r="L664" s="321" t="s">
        <v>6</v>
      </c>
      <c r="M664" s="322"/>
      <c r="N664" s="320"/>
      <c r="O664" s="321" t="s">
        <v>7</v>
      </c>
      <c r="P664" s="324"/>
      <c r="Q664" s="325"/>
      <c r="R664" s="326" t="s">
        <v>8</v>
      </c>
      <c r="S664" s="327"/>
      <c r="T664" s="325"/>
      <c r="U664" s="326" t="s">
        <v>9</v>
      </c>
      <c r="V664" s="328"/>
      <c r="W664" s="329" t="s">
        <v>10</v>
      </c>
      <c r="X664" s="330"/>
      <c r="Y664" s="66"/>
      <c r="Z664" s="66"/>
      <c r="AA664" s="66"/>
      <c r="AB664" s="66"/>
      <c r="AC664" s="66"/>
    </row>
    <row r="665" spans="1:29" ht="15.75" thickBot="1" x14ac:dyDescent="0.3">
      <c r="A665" s="331" t="s">
        <v>131</v>
      </c>
      <c r="B665" s="332" t="s">
        <v>12</v>
      </c>
      <c r="C665" s="333" t="s">
        <v>13</v>
      </c>
      <c r="D665" s="333" t="s">
        <v>14</v>
      </c>
      <c r="E665" s="333" t="s">
        <v>12</v>
      </c>
      <c r="F665" s="333" t="s">
        <v>13</v>
      </c>
      <c r="G665" s="333" t="s">
        <v>14</v>
      </c>
      <c r="H665" s="333" t="s">
        <v>12</v>
      </c>
      <c r="I665" s="334" t="s">
        <v>13</v>
      </c>
      <c r="J665" s="333" t="s">
        <v>14</v>
      </c>
      <c r="K665" s="333" t="s">
        <v>12</v>
      </c>
      <c r="L665" s="333" t="s">
        <v>13</v>
      </c>
      <c r="M665" s="333" t="s">
        <v>14</v>
      </c>
      <c r="N665" s="333" t="s">
        <v>12</v>
      </c>
      <c r="O665" s="333" t="s">
        <v>13</v>
      </c>
      <c r="P665" s="333" t="s">
        <v>14</v>
      </c>
      <c r="Q665" s="333" t="s">
        <v>12</v>
      </c>
      <c r="R665" s="333" t="s">
        <v>13</v>
      </c>
      <c r="S665" s="333" t="s">
        <v>14</v>
      </c>
      <c r="T665" s="333" t="s">
        <v>12</v>
      </c>
      <c r="U665" s="333" t="s">
        <v>13</v>
      </c>
      <c r="V665" s="335" t="s">
        <v>14</v>
      </c>
      <c r="W665" s="336" t="s">
        <v>12</v>
      </c>
      <c r="X665" s="337" t="s">
        <v>14</v>
      </c>
      <c r="Y665" s="66"/>
      <c r="Z665" s="66"/>
      <c r="AA665" s="66"/>
      <c r="AB665" s="66"/>
      <c r="AC665" s="66"/>
    </row>
    <row r="666" spans="1:29" ht="15.75" thickTop="1" x14ac:dyDescent="0.25">
      <c r="A666" s="338" t="s">
        <v>15</v>
      </c>
      <c r="B666" s="339">
        <v>166176</v>
      </c>
      <c r="C666" s="339">
        <f>(D666/B666)*1000</f>
        <v>470.00168496052379</v>
      </c>
      <c r="D666" s="339">
        <v>78103</v>
      </c>
      <c r="E666" s="339">
        <v>51103</v>
      </c>
      <c r="F666" s="339">
        <v>930</v>
      </c>
      <c r="G666" s="339">
        <v>47525.79</v>
      </c>
      <c r="H666" s="339">
        <v>0</v>
      </c>
      <c r="I666" s="341">
        <v>0</v>
      </c>
      <c r="J666" s="339">
        <v>0</v>
      </c>
      <c r="K666" s="339"/>
      <c r="L666" s="339"/>
      <c r="M666" s="339">
        <v>0</v>
      </c>
      <c r="N666" s="339">
        <v>385777</v>
      </c>
      <c r="O666" s="339">
        <v>750</v>
      </c>
      <c r="P666" s="339">
        <v>289332.75</v>
      </c>
      <c r="Q666" s="340"/>
      <c r="R666" s="340"/>
      <c r="S666" s="339"/>
      <c r="T666" s="340"/>
      <c r="U666" s="340"/>
      <c r="V666" s="339"/>
      <c r="W666" s="393">
        <f>B666+E666+H666+K666+N666+Q666+T666</f>
        <v>603056</v>
      </c>
      <c r="X666" s="343">
        <f>D666+G666+J666+M666+P666+S666+V666</f>
        <v>414961.54000000004</v>
      </c>
      <c r="Y666" s="66"/>
      <c r="Z666" s="66"/>
      <c r="AA666" s="66"/>
      <c r="AB666" s="66"/>
      <c r="AC666" s="66"/>
    </row>
    <row r="667" spans="1:29" x14ac:dyDescent="0.25">
      <c r="A667" s="394" t="s">
        <v>132</v>
      </c>
      <c r="B667" s="345">
        <v>33135</v>
      </c>
      <c r="C667" s="346">
        <v>175</v>
      </c>
      <c r="D667" s="346">
        <v>5799</v>
      </c>
      <c r="E667" s="346">
        <v>65</v>
      </c>
      <c r="F667" s="346">
        <v>200</v>
      </c>
      <c r="G667" s="346">
        <v>13</v>
      </c>
      <c r="H667" s="346">
        <v>1350</v>
      </c>
      <c r="I667" s="347">
        <v>601</v>
      </c>
      <c r="J667" s="346">
        <v>811.35</v>
      </c>
      <c r="K667" s="346"/>
      <c r="L667" s="346"/>
      <c r="M667" s="346">
        <v>0</v>
      </c>
      <c r="N667" s="346"/>
      <c r="O667" s="346">
        <v>0</v>
      </c>
      <c r="P667" s="346">
        <v>0</v>
      </c>
      <c r="Q667" s="345"/>
      <c r="R667" s="345"/>
      <c r="S667" s="346"/>
      <c r="T667" s="345"/>
      <c r="U667" s="345"/>
      <c r="V667" s="346"/>
      <c r="W667" s="395">
        <f t="shared" ref="W667:W683" si="89">B667+E667+H667+K667+N667+Q667+T667</f>
        <v>34550</v>
      </c>
      <c r="X667" s="349">
        <f t="shared" ref="X667:X683" si="90">D667+G667+J667+M667+P667+S667+V667</f>
        <v>6623.35</v>
      </c>
      <c r="Y667" s="396"/>
      <c r="Z667" s="396"/>
      <c r="AA667" s="396"/>
      <c r="AB667" s="396"/>
      <c r="AC667" s="396"/>
    </row>
    <row r="668" spans="1:29" x14ac:dyDescent="0.25">
      <c r="A668" s="394" t="s">
        <v>103</v>
      </c>
      <c r="B668" s="381">
        <v>81698</v>
      </c>
      <c r="C668" s="346">
        <v>665</v>
      </c>
      <c r="D668" s="346">
        <v>54329</v>
      </c>
      <c r="E668" s="346">
        <v>122178</v>
      </c>
      <c r="F668" s="346">
        <v>813</v>
      </c>
      <c r="G668" s="346">
        <v>99330.714000000007</v>
      </c>
      <c r="H668" s="346">
        <v>20873</v>
      </c>
      <c r="I668" s="347">
        <v>1200</v>
      </c>
      <c r="J668" s="346">
        <v>25047.599999999999</v>
      </c>
      <c r="K668" s="346">
        <v>4174</v>
      </c>
      <c r="L668" s="346">
        <v>3150</v>
      </c>
      <c r="M668" s="346">
        <v>13148.1</v>
      </c>
      <c r="N668" s="346">
        <v>40998</v>
      </c>
      <c r="O668" s="346">
        <v>850</v>
      </c>
      <c r="P668" s="346">
        <v>34848.300000000003</v>
      </c>
      <c r="Q668" s="345"/>
      <c r="R668" s="345"/>
      <c r="S668" s="346"/>
      <c r="T668" s="345"/>
      <c r="U668" s="345"/>
      <c r="V668" s="346"/>
      <c r="W668" s="395">
        <f t="shared" si="89"/>
        <v>269921</v>
      </c>
      <c r="X668" s="349">
        <f t="shared" si="90"/>
        <v>226703.71400000004</v>
      </c>
      <c r="Y668" s="396"/>
      <c r="Z668" s="396"/>
      <c r="AA668" s="396"/>
      <c r="AB668" s="396"/>
      <c r="AC668" s="396"/>
    </row>
    <row r="669" spans="1:29" x14ac:dyDescent="0.25">
      <c r="A669" s="394" t="s">
        <v>20</v>
      </c>
      <c r="B669" s="381">
        <v>63962</v>
      </c>
      <c r="C669" s="346">
        <f>(D669/B669)*1000</f>
        <v>722.006816547325</v>
      </c>
      <c r="D669" s="346">
        <v>46181</v>
      </c>
      <c r="E669" s="346">
        <v>112665</v>
      </c>
      <c r="F669" s="346">
        <v>903</v>
      </c>
      <c r="G669" s="346">
        <v>101736.495</v>
      </c>
      <c r="H669" s="346">
        <v>1986</v>
      </c>
      <c r="I669" s="347">
        <v>650</v>
      </c>
      <c r="J669" s="346">
        <v>1290.9000000000001</v>
      </c>
      <c r="K669" s="346">
        <v>203</v>
      </c>
      <c r="L669" s="346">
        <v>1200</v>
      </c>
      <c r="M669" s="346">
        <v>243.6</v>
      </c>
      <c r="N669" s="346">
        <v>207925</v>
      </c>
      <c r="O669" s="346">
        <v>800</v>
      </c>
      <c r="P669" s="346">
        <v>166340</v>
      </c>
      <c r="Q669" s="345"/>
      <c r="R669" s="345"/>
      <c r="S669" s="346"/>
      <c r="T669" s="345"/>
      <c r="U669" s="345"/>
      <c r="V669" s="346"/>
      <c r="W669" s="395">
        <f t="shared" si="89"/>
        <v>386741</v>
      </c>
      <c r="X669" s="349">
        <f t="shared" si="90"/>
        <v>315791.995</v>
      </c>
      <c r="Y669" s="396"/>
      <c r="Z669" s="396"/>
      <c r="AA669" s="396"/>
      <c r="AB669" s="396"/>
      <c r="AC669" s="396"/>
    </row>
    <row r="670" spans="1:29" x14ac:dyDescent="0.25">
      <c r="A670" s="394" t="s">
        <v>133</v>
      </c>
      <c r="B670" s="381">
        <v>86803</v>
      </c>
      <c r="C670" s="346">
        <v>621</v>
      </c>
      <c r="D670" s="346">
        <v>53905</v>
      </c>
      <c r="E670" s="346">
        <v>95552</v>
      </c>
      <c r="F670" s="346">
        <v>845</v>
      </c>
      <c r="G670" s="346">
        <v>80741.440000000002</v>
      </c>
      <c r="H670" s="346">
        <v>27371</v>
      </c>
      <c r="I670" s="347">
        <v>900</v>
      </c>
      <c r="J670" s="346">
        <v>24633.9</v>
      </c>
      <c r="K670" s="346">
        <v>926</v>
      </c>
      <c r="L670" s="346">
        <v>1500</v>
      </c>
      <c r="M670" s="346">
        <v>1389</v>
      </c>
      <c r="N670" s="346">
        <v>19200</v>
      </c>
      <c r="O670" s="346">
        <v>950</v>
      </c>
      <c r="P670" s="346">
        <v>18240</v>
      </c>
      <c r="Q670" s="345"/>
      <c r="R670" s="345"/>
      <c r="S670" s="346"/>
      <c r="T670" s="345"/>
      <c r="U670" s="345"/>
      <c r="V670" s="346"/>
      <c r="W670" s="395">
        <f t="shared" si="89"/>
        <v>229852</v>
      </c>
      <c r="X670" s="349">
        <f t="shared" si="90"/>
        <v>178909.34</v>
      </c>
      <c r="Y670" s="396"/>
      <c r="Z670" s="396"/>
      <c r="AA670" s="396"/>
      <c r="AB670" s="396"/>
      <c r="AC670" s="396"/>
    </row>
    <row r="671" spans="1:29" x14ac:dyDescent="0.25">
      <c r="A671" s="394" t="s">
        <v>21</v>
      </c>
      <c r="B671" s="381">
        <v>30131</v>
      </c>
      <c r="C671" s="346">
        <v>496</v>
      </c>
      <c r="D671" s="346">
        <v>14945</v>
      </c>
      <c r="E671" s="346">
        <v>0</v>
      </c>
      <c r="F671" s="346">
        <v>0</v>
      </c>
      <c r="G671" s="346">
        <v>0</v>
      </c>
      <c r="H671" s="346">
        <v>342</v>
      </c>
      <c r="I671" s="347">
        <v>600</v>
      </c>
      <c r="J671" s="346">
        <v>205.2</v>
      </c>
      <c r="K671" s="346"/>
      <c r="L671" s="346"/>
      <c r="M671" s="346">
        <v>0</v>
      </c>
      <c r="N671" s="346"/>
      <c r="O671" s="346">
        <v>0</v>
      </c>
      <c r="P671" s="346">
        <v>0</v>
      </c>
      <c r="Q671" s="345"/>
      <c r="R671" s="345"/>
      <c r="S671" s="346"/>
      <c r="T671" s="345"/>
      <c r="U671" s="345"/>
      <c r="V671" s="346"/>
      <c r="W671" s="395">
        <f t="shared" si="89"/>
        <v>30473</v>
      </c>
      <c r="X671" s="349">
        <f t="shared" si="90"/>
        <v>15150.2</v>
      </c>
      <c r="Y671" s="396"/>
      <c r="Z671" s="396"/>
      <c r="AA671" s="396"/>
      <c r="AB671" s="396"/>
      <c r="AC671" s="396"/>
    </row>
    <row r="672" spans="1:29" x14ac:dyDescent="0.25">
      <c r="A672" s="344" t="s">
        <v>22</v>
      </c>
      <c r="B672" s="350">
        <v>85003</v>
      </c>
      <c r="C672" s="339">
        <f>(D672/B672)*1000</f>
        <v>500.00588214533605</v>
      </c>
      <c r="D672" s="339">
        <v>42502</v>
      </c>
      <c r="E672" s="339">
        <v>133</v>
      </c>
      <c r="F672" s="339">
        <v>1000</v>
      </c>
      <c r="G672" s="339">
        <v>133</v>
      </c>
      <c r="H672" s="339">
        <v>33517</v>
      </c>
      <c r="I672" s="341">
        <v>1500</v>
      </c>
      <c r="J672" s="339">
        <v>50275.5</v>
      </c>
      <c r="K672" s="339">
        <v>82</v>
      </c>
      <c r="L672" s="339">
        <v>1500</v>
      </c>
      <c r="M672" s="339">
        <v>123</v>
      </c>
      <c r="N672" s="339">
        <v>545</v>
      </c>
      <c r="O672" s="339">
        <v>500</v>
      </c>
      <c r="P672" s="339">
        <v>272.5</v>
      </c>
      <c r="Q672" s="351">
        <v>679</v>
      </c>
      <c r="R672" s="352">
        <f>(S672/Q672)*1000</f>
        <v>2500.7363770250367</v>
      </c>
      <c r="S672" s="339">
        <v>1698</v>
      </c>
      <c r="T672" s="340"/>
      <c r="U672" s="340"/>
      <c r="V672" s="339"/>
      <c r="W672" s="393">
        <f t="shared" si="89"/>
        <v>119959</v>
      </c>
      <c r="X672" s="343">
        <f t="shared" si="90"/>
        <v>95004</v>
      </c>
      <c r="Y672" s="66"/>
      <c r="Z672" s="66"/>
      <c r="AA672" s="66"/>
      <c r="AB672" s="66"/>
      <c r="AC672" s="66"/>
    </row>
    <row r="673" spans="1:29" x14ac:dyDescent="0.25">
      <c r="A673" s="344" t="s">
        <v>23</v>
      </c>
      <c r="B673" s="350">
        <v>248395</v>
      </c>
      <c r="C673" s="339">
        <v>640</v>
      </c>
      <c r="D673" s="339">
        <v>158973</v>
      </c>
      <c r="E673" s="339">
        <v>91481</v>
      </c>
      <c r="F673" s="339">
        <v>705</v>
      </c>
      <c r="G673" s="339">
        <v>64494.105000000003</v>
      </c>
      <c r="H673" s="339">
        <v>150</v>
      </c>
      <c r="I673" s="341">
        <v>750</v>
      </c>
      <c r="J673" s="339">
        <v>112.5</v>
      </c>
      <c r="K673" s="339">
        <v>0</v>
      </c>
      <c r="L673" s="339"/>
      <c r="M673" s="339">
        <v>0</v>
      </c>
      <c r="N673" s="339">
        <v>0</v>
      </c>
      <c r="O673" s="339">
        <v>0</v>
      </c>
      <c r="P673" s="339">
        <v>0</v>
      </c>
      <c r="Q673" s="340"/>
      <c r="R673" s="340"/>
      <c r="S673" s="339"/>
      <c r="T673" s="340"/>
      <c r="U673" s="340"/>
      <c r="V673" s="339"/>
      <c r="W673" s="393">
        <f t="shared" si="89"/>
        <v>340026</v>
      </c>
      <c r="X673" s="343">
        <f t="shared" si="90"/>
        <v>223579.60500000001</v>
      </c>
      <c r="Y673" s="66"/>
      <c r="Z673" s="66"/>
      <c r="AA673" s="66"/>
      <c r="AB673" s="66"/>
      <c r="AC673" s="66"/>
    </row>
    <row r="674" spans="1:29" x14ac:dyDescent="0.25">
      <c r="A674" s="397" t="s">
        <v>24</v>
      </c>
      <c r="B674" s="398">
        <v>2972</v>
      </c>
      <c r="C674" s="399">
        <f>(D674/B674)*1000</f>
        <v>730.14804845222068</v>
      </c>
      <c r="D674" s="399">
        <v>2170</v>
      </c>
      <c r="E674" s="339">
        <v>13925</v>
      </c>
      <c r="F674" s="339">
        <v>950</v>
      </c>
      <c r="G674" s="339">
        <v>13228.75</v>
      </c>
      <c r="H674" s="339">
        <v>25361</v>
      </c>
      <c r="I674" s="400">
        <v>900</v>
      </c>
      <c r="J674" s="339">
        <v>22824.9</v>
      </c>
      <c r="K674" s="339">
        <v>9984</v>
      </c>
      <c r="L674" s="339">
        <v>3000</v>
      </c>
      <c r="M674" s="339">
        <v>29952</v>
      </c>
      <c r="N674" s="339">
        <v>294438</v>
      </c>
      <c r="O674" s="339">
        <v>1500</v>
      </c>
      <c r="P674" s="339">
        <v>441657</v>
      </c>
      <c r="Q674" s="401"/>
      <c r="R674" s="401"/>
      <c r="S674" s="399"/>
      <c r="T674" s="401"/>
      <c r="U674" s="401"/>
      <c r="V674" s="399"/>
      <c r="W674" s="402">
        <f>B674+E674+H674+K674+N674+Q674+T674</f>
        <v>346680</v>
      </c>
      <c r="X674" s="403">
        <f>D674+G674+J674+M674+P674+S674+V674</f>
        <v>509832.65</v>
      </c>
      <c r="Y674" s="66"/>
      <c r="Z674" s="66"/>
      <c r="AA674" s="66"/>
      <c r="AB674" s="66"/>
      <c r="AC674" s="66"/>
    </row>
    <row r="675" spans="1:29" x14ac:dyDescent="0.25">
      <c r="A675" s="404" t="s">
        <v>134</v>
      </c>
      <c r="B675" s="350">
        <v>180025</v>
      </c>
      <c r="C675" s="350">
        <v>525</v>
      </c>
      <c r="D675" s="350">
        <v>94513</v>
      </c>
      <c r="E675" s="339">
        <v>344851</v>
      </c>
      <c r="F675" s="339">
        <v>725</v>
      </c>
      <c r="G675" s="339">
        <v>250016.97500000001</v>
      </c>
      <c r="H675" s="339">
        <v>47903</v>
      </c>
      <c r="I675" s="341">
        <v>700</v>
      </c>
      <c r="J675" s="339">
        <v>33532.1</v>
      </c>
      <c r="K675" s="339">
        <v>233</v>
      </c>
      <c r="L675" s="339">
        <v>850</v>
      </c>
      <c r="M675" s="339">
        <v>198.05</v>
      </c>
      <c r="N675" s="339">
        <v>72000</v>
      </c>
      <c r="O675" s="339">
        <v>1000</v>
      </c>
      <c r="P675" s="339">
        <v>72000</v>
      </c>
      <c r="Q675" s="340"/>
      <c r="R675" s="340"/>
      <c r="S675" s="350"/>
      <c r="T675" s="340"/>
      <c r="U675" s="340"/>
      <c r="V675" s="350"/>
      <c r="W675" s="402">
        <f>B675+E675+H675+K675+N675+Q675+T675</f>
        <v>645012</v>
      </c>
      <c r="X675" s="403">
        <f>D675+G675+J675+M675+P675+S675+V675</f>
        <v>450260.12499999994</v>
      </c>
      <c r="Y675" s="66"/>
      <c r="Z675" s="66"/>
      <c r="AA675" s="66"/>
      <c r="AB675" s="66"/>
      <c r="AC675" s="66"/>
    </row>
    <row r="676" spans="1:29" x14ac:dyDescent="0.25">
      <c r="A676" s="344" t="s">
        <v>17</v>
      </c>
      <c r="B676" s="350">
        <v>160334</v>
      </c>
      <c r="C676" s="339">
        <f>(D676/B676)*1000</f>
        <v>532.99986278643325</v>
      </c>
      <c r="D676" s="339">
        <v>85458</v>
      </c>
      <c r="E676" s="339">
        <v>30378</v>
      </c>
      <c r="F676" s="339">
        <v>683</v>
      </c>
      <c r="G676" s="339">
        <v>20748.173999999999</v>
      </c>
      <c r="H676" s="339">
        <v>0</v>
      </c>
      <c r="I676" s="341">
        <v>0</v>
      </c>
      <c r="J676" s="339">
        <v>0</v>
      </c>
      <c r="K676" s="339">
        <v>0</v>
      </c>
      <c r="L676" s="339"/>
      <c r="M676" s="339">
        <v>0</v>
      </c>
      <c r="N676" s="339">
        <v>1800</v>
      </c>
      <c r="O676" s="339">
        <v>450</v>
      </c>
      <c r="P676" s="339">
        <v>810</v>
      </c>
      <c r="Q676" s="340"/>
      <c r="R676" s="340"/>
      <c r="S676" s="339"/>
      <c r="T676" s="340"/>
      <c r="U676" s="340"/>
      <c r="V676" s="339"/>
      <c r="W676" s="393">
        <f>B676+E676+H676+K676+N676+Q676+T676</f>
        <v>192512</v>
      </c>
      <c r="X676" s="343">
        <f>D676+G676+J676+M676+P676+S676+V676</f>
        <v>107016.174</v>
      </c>
      <c r="Y676" s="66"/>
      <c r="Z676" s="66"/>
      <c r="AA676" s="66"/>
      <c r="AB676" s="66"/>
      <c r="AC676" s="66"/>
    </row>
    <row r="677" spans="1:29" x14ac:dyDescent="0.25">
      <c r="A677" s="405" t="s">
        <v>85</v>
      </c>
      <c r="B677" s="406">
        <f>SUM(B666:B676)</f>
        <v>1138634</v>
      </c>
      <c r="C677" s="355"/>
      <c r="D677" s="355">
        <f>SUM(D666:D676)</f>
        <v>636878</v>
      </c>
      <c r="E677" s="355">
        <f>SUM(E666:E676)</f>
        <v>862331</v>
      </c>
      <c r="F677" s="339"/>
      <c r="G677" s="355">
        <f>SUM(G666:G676)</f>
        <v>677968.44299999997</v>
      </c>
      <c r="H677" s="355">
        <f>SUM(H666:H676)</f>
        <v>158853</v>
      </c>
      <c r="I677" s="355"/>
      <c r="J677" s="355">
        <f>SUM(J666:J676)</f>
        <v>158733.95000000001</v>
      </c>
      <c r="K677" s="355">
        <v>15602</v>
      </c>
      <c r="L677" s="355"/>
      <c r="M677" s="355">
        <f>SUM(M666:M676)</f>
        <v>45053.75</v>
      </c>
      <c r="N677" s="355">
        <f>SUM(N666:N676)</f>
        <v>1022683</v>
      </c>
      <c r="O677" s="355"/>
      <c r="P677" s="355">
        <f>SUM(P666:P676)</f>
        <v>1023500.55</v>
      </c>
      <c r="Q677" s="355">
        <v>679</v>
      </c>
      <c r="R677" s="407"/>
      <c r="S677" s="355">
        <v>1698</v>
      </c>
      <c r="T677" s="355"/>
      <c r="U677" s="407"/>
      <c r="V677" s="355"/>
      <c r="W677" s="355">
        <f>SUM(W666:W676)</f>
        <v>3198782</v>
      </c>
      <c r="X677" s="408">
        <f>SUM(X666:X676)</f>
        <v>2543832.693</v>
      </c>
      <c r="Y677" s="66"/>
      <c r="Z677" s="66"/>
      <c r="AA677" s="66"/>
      <c r="AB677" s="66"/>
      <c r="AC677" s="66"/>
    </row>
    <row r="678" spans="1:29" x14ac:dyDescent="0.25">
      <c r="A678" s="409" t="s">
        <v>135</v>
      </c>
      <c r="B678" s="339">
        <v>35905</v>
      </c>
      <c r="C678" s="339">
        <v>317</v>
      </c>
      <c r="D678" s="339">
        <v>11382</v>
      </c>
      <c r="E678" s="339">
        <v>51519</v>
      </c>
      <c r="F678" s="339">
        <v>528</v>
      </c>
      <c r="G678" s="339">
        <v>27202.031999999999</v>
      </c>
      <c r="H678" s="339">
        <v>3331</v>
      </c>
      <c r="I678" s="339">
        <v>940</v>
      </c>
      <c r="J678" s="339">
        <v>3131.14</v>
      </c>
      <c r="K678" s="339">
        <v>3940</v>
      </c>
      <c r="L678" s="339">
        <v>1000</v>
      </c>
      <c r="M678" s="339">
        <v>3940</v>
      </c>
      <c r="N678" s="339">
        <v>0</v>
      </c>
      <c r="O678" s="339">
        <v>0</v>
      </c>
      <c r="P678" s="339">
        <v>0</v>
      </c>
      <c r="Q678" s="339"/>
      <c r="R678" s="339"/>
      <c r="S678" s="339"/>
      <c r="T678" s="339"/>
      <c r="U678" s="339"/>
      <c r="V678" s="339"/>
      <c r="W678" s="339">
        <f>B678+E678+H678+K678+N678+Q678+T678</f>
        <v>94695</v>
      </c>
      <c r="X678" s="343">
        <f>D678+G678+J678+M678+P678+S678+V678</f>
        <v>45655.171999999999</v>
      </c>
      <c r="Y678" s="66"/>
      <c r="Z678" s="66"/>
      <c r="AA678" s="66"/>
      <c r="AB678" s="66"/>
      <c r="AC678" s="66"/>
    </row>
    <row r="679" spans="1:29" x14ac:dyDescent="0.25">
      <c r="A679" s="338" t="s">
        <v>136</v>
      </c>
      <c r="B679" s="339">
        <v>34437</v>
      </c>
      <c r="C679" s="339">
        <v>561</v>
      </c>
      <c r="D679" s="339">
        <v>19319</v>
      </c>
      <c r="E679" s="339">
        <v>107642</v>
      </c>
      <c r="F679" s="339">
        <v>434</v>
      </c>
      <c r="G679" s="339">
        <v>46716.627999999997</v>
      </c>
      <c r="H679" s="351">
        <v>13470</v>
      </c>
      <c r="I679" s="351">
        <v>651</v>
      </c>
      <c r="J679" s="339">
        <v>8768.9699999999993</v>
      </c>
      <c r="K679" s="350">
        <v>34712</v>
      </c>
      <c r="L679" s="339">
        <v>1020</v>
      </c>
      <c r="M679" s="339">
        <v>35406.239999999998</v>
      </c>
      <c r="N679" s="339">
        <v>54297</v>
      </c>
      <c r="O679" s="350">
        <v>359</v>
      </c>
      <c r="P679" s="339">
        <v>19492.623</v>
      </c>
      <c r="Q679" s="340"/>
      <c r="R679" s="340"/>
      <c r="S679" s="339"/>
      <c r="T679" s="340"/>
      <c r="U679" s="340"/>
      <c r="V679" s="339"/>
      <c r="W679" s="339">
        <f>B679+E679+H679+K679+N679+Q679+T679</f>
        <v>244558</v>
      </c>
      <c r="X679" s="343">
        <f>D679+G679+J679+M679+P679+S679+V679</f>
        <v>129703.46099999998</v>
      </c>
      <c r="Y679" s="66"/>
      <c r="Z679" s="66"/>
      <c r="AA679" s="66"/>
      <c r="AB679" s="66"/>
      <c r="AC679" s="66"/>
    </row>
    <row r="680" spans="1:29" x14ac:dyDescent="0.25">
      <c r="A680" s="338" t="s">
        <v>137</v>
      </c>
      <c r="B680" s="339">
        <v>14317</v>
      </c>
      <c r="C680" s="339">
        <v>800</v>
      </c>
      <c r="D680" s="339">
        <v>11448</v>
      </c>
      <c r="E680" s="339">
        <v>95032</v>
      </c>
      <c r="F680" s="339">
        <v>319</v>
      </c>
      <c r="G680" s="339">
        <v>30315.207999999999</v>
      </c>
      <c r="H680" s="351">
        <v>45159</v>
      </c>
      <c r="I680" s="351">
        <v>188</v>
      </c>
      <c r="J680" s="339">
        <v>8489.8919999999998</v>
      </c>
      <c r="K680" s="350">
        <v>7236</v>
      </c>
      <c r="L680" s="339">
        <v>1221</v>
      </c>
      <c r="M680" s="339">
        <v>8835.1560000000009</v>
      </c>
      <c r="N680" s="339">
        <v>20615</v>
      </c>
      <c r="O680" s="350">
        <v>763</v>
      </c>
      <c r="P680" s="339">
        <v>15729.245000000001</v>
      </c>
      <c r="Q680" s="340"/>
      <c r="R680" s="340"/>
      <c r="S680" s="339"/>
      <c r="T680" s="340"/>
      <c r="U680" s="340"/>
      <c r="V680" s="339"/>
      <c r="W680" s="339">
        <f>B680+E680+H680+K680+N680+Q680+T680</f>
        <v>182359</v>
      </c>
      <c r="X680" s="343">
        <f>D680+G680+J680+M680+P680+S680+V680</f>
        <v>74817.501000000004</v>
      </c>
      <c r="Y680" s="66"/>
      <c r="Z680" s="66"/>
      <c r="AA680" s="66"/>
      <c r="AB680" s="66"/>
      <c r="AC680" s="66"/>
    </row>
    <row r="681" spans="1:29" x14ac:dyDescent="0.25">
      <c r="A681" s="358" t="s">
        <v>73</v>
      </c>
      <c r="B681" s="350">
        <v>34987</v>
      </c>
      <c r="C681" s="339">
        <v>633</v>
      </c>
      <c r="D681" s="339">
        <v>22147</v>
      </c>
      <c r="E681" s="350">
        <v>90769</v>
      </c>
      <c r="F681" s="339">
        <v>860</v>
      </c>
      <c r="G681" s="339">
        <v>78061.34</v>
      </c>
      <c r="H681" s="351">
        <v>13784</v>
      </c>
      <c r="I681" s="351">
        <v>931</v>
      </c>
      <c r="J681" s="339">
        <v>12832.904</v>
      </c>
      <c r="K681" s="350">
        <v>2486</v>
      </c>
      <c r="L681" s="339">
        <v>2095</v>
      </c>
      <c r="M681" s="339">
        <v>5208.17</v>
      </c>
      <c r="N681" s="339">
        <v>4288</v>
      </c>
      <c r="O681" s="339">
        <v>750</v>
      </c>
      <c r="P681" s="339">
        <v>3216</v>
      </c>
      <c r="Q681" s="340"/>
      <c r="R681" s="340"/>
      <c r="S681" s="339"/>
      <c r="T681" s="340"/>
      <c r="U681" s="340"/>
      <c r="V681" s="339"/>
      <c r="W681" s="339">
        <f>B681+E681+H681+K681+N681+Q681+T681</f>
        <v>146314</v>
      </c>
      <c r="X681" s="343">
        <f>D681+G681+J681+M681+P681+S681+V681</f>
        <v>121465.41399999999</v>
      </c>
      <c r="Y681" s="66"/>
      <c r="Z681" s="66"/>
      <c r="AA681" s="66"/>
      <c r="AB681" s="66"/>
      <c r="AC681" s="66"/>
    </row>
    <row r="682" spans="1:29" x14ac:dyDescent="0.25">
      <c r="A682" s="358" t="s">
        <v>124</v>
      </c>
      <c r="B682" s="350">
        <v>24633</v>
      </c>
      <c r="C682" s="339">
        <f>(D682/B682)*1000</f>
        <v>535.0140056022409</v>
      </c>
      <c r="D682" s="339">
        <v>13179</v>
      </c>
      <c r="E682" s="350">
        <v>54916</v>
      </c>
      <c r="F682" s="339">
        <v>881.00007283851699</v>
      </c>
      <c r="G682" s="339">
        <v>48381</v>
      </c>
      <c r="H682" s="351">
        <v>9354</v>
      </c>
      <c r="I682" s="351">
        <v>737</v>
      </c>
      <c r="J682" s="339">
        <v>6893.8980000000001</v>
      </c>
      <c r="K682" s="350">
        <v>6624</v>
      </c>
      <c r="L682" s="339">
        <v>1488</v>
      </c>
      <c r="M682" s="339">
        <v>9856.5120000000006</v>
      </c>
      <c r="N682" s="339">
        <v>0</v>
      </c>
      <c r="O682" s="340"/>
      <c r="P682" s="339">
        <v>0</v>
      </c>
      <c r="Q682" s="340"/>
      <c r="R682" s="340"/>
      <c r="S682" s="339"/>
      <c r="T682" s="340"/>
      <c r="U682" s="340"/>
      <c r="V682" s="339"/>
      <c r="W682" s="339">
        <f t="shared" si="89"/>
        <v>95527</v>
      </c>
      <c r="X682" s="343">
        <f t="shared" si="90"/>
        <v>78310.41</v>
      </c>
      <c r="Y682" s="66"/>
      <c r="Z682" s="66"/>
      <c r="AA682" s="66"/>
      <c r="AB682" s="66"/>
      <c r="AC682" s="66"/>
    </row>
    <row r="683" spans="1:29" x14ac:dyDescent="0.25">
      <c r="A683" s="358" t="s">
        <v>125</v>
      </c>
      <c r="B683" s="350">
        <v>22849</v>
      </c>
      <c r="C683" s="339">
        <f>(D683/B683)*1000</f>
        <v>658.97851109457736</v>
      </c>
      <c r="D683" s="339">
        <v>15057</v>
      </c>
      <c r="E683" s="350">
        <v>85337</v>
      </c>
      <c r="F683" s="339">
        <v>762.00241395877526</v>
      </c>
      <c r="G683" s="339">
        <v>65027.000000000007</v>
      </c>
      <c r="H683" s="351">
        <v>10872</v>
      </c>
      <c r="I683" s="351">
        <v>850</v>
      </c>
      <c r="J683" s="339">
        <v>9241.2000000000007</v>
      </c>
      <c r="K683" s="350">
        <v>14026</v>
      </c>
      <c r="L683" s="339">
        <v>1038</v>
      </c>
      <c r="M683" s="339">
        <v>14558.987999999999</v>
      </c>
      <c r="N683" s="339">
        <v>0</v>
      </c>
      <c r="O683" s="340"/>
      <c r="P683" s="339">
        <v>0</v>
      </c>
      <c r="Q683" s="340"/>
      <c r="R683" s="340"/>
      <c r="S683" s="339"/>
      <c r="T683" s="340"/>
      <c r="U683" s="340"/>
      <c r="V683" s="339"/>
      <c r="W683" s="339">
        <f t="shared" si="89"/>
        <v>133084</v>
      </c>
      <c r="X683" s="343">
        <f t="shared" si="90"/>
        <v>103884.18799999999</v>
      </c>
      <c r="Y683" s="66"/>
      <c r="Z683" s="66"/>
      <c r="AA683" s="66"/>
      <c r="AB683" s="66"/>
      <c r="AC683" s="66"/>
    </row>
    <row r="684" spans="1:29" x14ac:dyDescent="0.25">
      <c r="A684" s="344" t="s">
        <v>27</v>
      </c>
      <c r="B684" s="350">
        <v>34422</v>
      </c>
      <c r="C684" s="339">
        <f>(D684/B684)*1000</f>
        <v>886.99087792690727</v>
      </c>
      <c r="D684" s="339">
        <v>30532</v>
      </c>
      <c r="E684" s="350">
        <v>58000</v>
      </c>
      <c r="F684" s="339">
        <v>760</v>
      </c>
      <c r="G684" s="339">
        <v>44080</v>
      </c>
      <c r="H684" s="351">
        <v>9173</v>
      </c>
      <c r="I684" s="351">
        <v>840</v>
      </c>
      <c r="J684" s="339">
        <v>7705.32</v>
      </c>
      <c r="K684" s="350">
        <v>54114</v>
      </c>
      <c r="L684" s="339">
        <v>1169</v>
      </c>
      <c r="M684" s="339">
        <v>63259.266000000003</v>
      </c>
      <c r="N684" s="339">
        <v>6200</v>
      </c>
      <c r="O684" s="350">
        <v>700</v>
      </c>
      <c r="P684" s="339">
        <v>4340</v>
      </c>
      <c r="Q684" s="340"/>
      <c r="R684" s="340"/>
      <c r="S684" s="339"/>
      <c r="T684" s="340"/>
      <c r="U684" s="340"/>
      <c r="V684" s="339"/>
      <c r="W684" s="339">
        <f>B684+E684+H684+K684+N684+Q684+T684</f>
        <v>161909</v>
      </c>
      <c r="X684" s="343">
        <f>D684+G684+J684+M684+P684+S684+V684</f>
        <v>149916.58600000001</v>
      </c>
      <c r="Y684" s="66"/>
      <c r="Z684" s="66"/>
      <c r="AA684" s="66"/>
      <c r="AB684" s="66"/>
      <c r="AC684" s="66"/>
    </row>
    <row r="685" spans="1:29" x14ac:dyDescent="0.25">
      <c r="A685" s="353" t="s">
        <v>86</v>
      </c>
      <c r="B685" s="354">
        <f>SUM(B678:B684)</f>
        <v>201550</v>
      </c>
      <c r="C685" s="355"/>
      <c r="D685" s="354">
        <f>SUM(D678:D684)</f>
        <v>123064</v>
      </c>
      <c r="E685" s="354">
        <f>SUM(E678:E684)</f>
        <v>543215</v>
      </c>
      <c r="F685" s="355"/>
      <c r="G685" s="354">
        <f>SUM(G678:G684)</f>
        <v>339783.20799999998</v>
      </c>
      <c r="H685" s="354">
        <f>SUM(H678:H684)</f>
        <v>105143</v>
      </c>
      <c r="I685" s="355"/>
      <c r="J685" s="354">
        <f>SUM(J678:J684)</f>
        <v>57063.324000000001</v>
      </c>
      <c r="K685" s="354">
        <f>SUM(K678:K684)</f>
        <v>123138</v>
      </c>
      <c r="L685" s="355"/>
      <c r="M685" s="354">
        <f>SUM(M678:M684)</f>
        <v>141064.33199999999</v>
      </c>
      <c r="N685" s="354">
        <f>SUM(N678:N684)</f>
        <v>85400</v>
      </c>
      <c r="O685" s="355"/>
      <c r="P685" s="354">
        <f>SUM(P678:P684)</f>
        <v>42777.868000000002</v>
      </c>
      <c r="Q685" s="354"/>
      <c r="R685" s="356"/>
      <c r="S685" s="354"/>
      <c r="T685" s="354"/>
      <c r="U685" s="356"/>
      <c r="V685" s="354"/>
      <c r="W685" s="354">
        <f>SUM(W678:W684)</f>
        <v>1058446</v>
      </c>
      <c r="X685" s="357">
        <f>SUM(X678:X684)</f>
        <v>703752.73199999996</v>
      </c>
      <c r="Y685" s="66"/>
      <c r="Z685" s="66"/>
      <c r="AA685" s="66"/>
      <c r="AB685" s="66"/>
      <c r="AC685" s="66"/>
    </row>
    <row r="686" spans="1:29" ht="15.75" thickBot="1" x14ac:dyDescent="0.3">
      <c r="A686" s="359" t="s">
        <v>32</v>
      </c>
      <c r="B686" s="360">
        <v>1340184</v>
      </c>
      <c r="C686" s="361"/>
      <c r="D686" s="360">
        <f>D677+D685</f>
        <v>759942</v>
      </c>
      <c r="E686" s="360">
        <f>E677+E685</f>
        <v>1405546</v>
      </c>
      <c r="F686" s="361"/>
      <c r="G686" s="360">
        <f>G677+G685</f>
        <v>1017751.651</v>
      </c>
      <c r="H686" s="360">
        <f>H677+H685</f>
        <v>263996</v>
      </c>
      <c r="I686" s="361"/>
      <c r="J686" s="360">
        <f>J677+J685</f>
        <v>215797.274</v>
      </c>
      <c r="K686" s="360">
        <f>K677+K685</f>
        <v>138740</v>
      </c>
      <c r="L686" s="361"/>
      <c r="M686" s="360">
        <f>M677+M685</f>
        <v>186118.08199999999</v>
      </c>
      <c r="N686" s="360">
        <f>N677+N685</f>
        <v>1108083</v>
      </c>
      <c r="O686" s="361"/>
      <c r="P686" s="360">
        <f>P677+P685</f>
        <v>1066278.4180000001</v>
      </c>
      <c r="Q686" s="360">
        <v>679</v>
      </c>
      <c r="R686" s="362"/>
      <c r="S686" s="360">
        <v>1698</v>
      </c>
      <c r="T686" s="360"/>
      <c r="U686" s="362"/>
      <c r="V686" s="360"/>
      <c r="W686" s="360">
        <f>W677+W685</f>
        <v>4257228</v>
      </c>
      <c r="X686" s="363">
        <f>X677+X685</f>
        <v>3247585.4249999998</v>
      </c>
      <c r="Y686" s="66"/>
      <c r="Z686" s="66"/>
      <c r="AA686" s="66"/>
      <c r="AB686" s="66"/>
      <c r="AC686" s="66"/>
    </row>
    <row r="687" spans="1:29" x14ac:dyDescent="0.25">
      <c r="A687" s="66"/>
      <c r="B687" s="66"/>
      <c r="C687" s="66"/>
      <c r="D687" s="66"/>
      <c r="E687" s="66"/>
      <c r="F687" s="66"/>
      <c r="G687" s="66"/>
      <c r="H687" s="66"/>
      <c r="I687" s="66"/>
      <c r="J687" s="66"/>
      <c r="K687" s="66"/>
      <c r="L687" s="66"/>
      <c r="M687" s="66"/>
      <c r="N687" s="66"/>
      <c r="O687" s="66"/>
      <c r="P687" s="66"/>
      <c r="Q687" s="66"/>
      <c r="R687" s="66"/>
      <c r="S687" s="66"/>
      <c r="T687" s="66"/>
      <c r="U687" s="66"/>
      <c r="V687" s="66"/>
      <c r="W687" s="66"/>
      <c r="X687" s="66"/>
      <c r="Y687" s="66"/>
      <c r="Z687" s="66"/>
      <c r="AA687" s="66"/>
      <c r="AB687" s="66"/>
      <c r="AC687" s="66"/>
    </row>
    <row r="688" spans="1:29" ht="21" thickBot="1" x14ac:dyDescent="0.35">
      <c r="A688" s="311"/>
      <c r="B688" s="315"/>
      <c r="C688" s="315"/>
      <c r="D688" s="315"/>
      <c r="E688" s="315"/>
      <c r="F688" s="315"/>
      <c r="G688" s="315"/>
      <c r="H688" s="315"/>
      <c r="I688" s="314"/>
      <c r="J688" s="315"/>
      <c r="K688" s="315"/>
      <c r="L688" s="315"/>
      <c r="M688" s="315"/>
      <c r="N688" s="315"/>
      <c r="O688" s="315"/>
      <c r="P688" s="315"/>
      <c r="Q688" s="315"/>
      <c r="R688" s="315"/>
      <c r="S688" s="371"/>
      <c r="T688" s="315"/>
      <c r="U688" s="315"/>
      <c r="V688" s="315"/>
      <c r="W688" s="315"/>
      <c r="X688" s="315"/>
      <c r="Y688" s="66"/>
      <c r="Z688" s="66"/>
      <c r="AA688" s="66"/>
      <c r="AB688" s="66"/>
      <c r="AC688" s="66"/>
    </row>
    <row r="689" spans="1:29" x14ac:dyDescent="0.25">
      <c r="A689" s="410" t="s">
        <v>138</v>
      </c>
      <c r="B689" s="411"/>
      <c r="C689" s="412"/>
      <c r="D689" s="412"/>
      <c r="E689" s="412"/>
      <c r="F689" s="412"/>
      <c r="G689" s="412"/>
      <c r="H689" s="412"/>
      <c r="I689" s="412"/>
      <c r="J689" s="412"/>
      <c r="K689" s="412"/>
      <c r="L689" s="411"/>
      <c r="M689" s="413" t="s">
        <v>34</v>
      </c>
      <c r="N689" s="411"/>
      <c r="O689" s="411"/>
      <c r="P689" s="413" t="s">
        <v>102</v>
      </c>
      <c r="Q689" s="411"/>
      <c r="R689" s="412"/>
      <c r="S689" s="411"/>
      <c r="T689" s="412"/>
      <c r="U689" s="413" t="s">
        <v>36</v>
      </c>
      <c r="V689" s="412"/>
      <c r="W689" s="411"/>
      <c r="X689" s="414"/>
      <c r="Y689" s="66"/>
      <c r="Z689" s="66"/>
      <c r="AA689" s="66"/>
      <c r="AB689" s="66"/>
      <c r="AC689" s="66"/>
    </row>
    <row r="690" spans="1:29" x14ac:dyDescent="0.25">
      <c r="A690" s="415" t="s">
        <v>2</v>
      </c>
      <c r="B690" s="416"/>
      <c r="C690" s="417" t="s">
        <v>37</v>
      </c>
      <c r="D690" s="418"/>
      <c r="E690" s="416"/>
      <c r="F690" s="417" t="s">
        <v>38</v>
      </c>
      <c r="G690" s="419"/>
      <c r="H690" s="416"/>
      <c r="I690" s="417" t="s">
        <v>40</v>
      </c>
      <c r="J690" s="419"/>
      <c r="K690" s="416"/>
      <c r="L690" s="420" t="s">
        <v>70</v>
      </c>
      <c r="M690" s="419"/>
      <c r="N690" s="416"/>
      <c r="O690" s="420" t="s">
        <v>41</v>
      </c>
      <c r="P690" s="419"/>
      <c r="Q690" s="416"/>
      <c r="R690" s="420" t="s">
        <v>54</v>
      </c>
      <c r="S690" s="419"/>
      <c r="T690" s="416"/>
      <c r="U690" s="417" t="s">
        <v>43</v>
      </c>
      <c r="V690" s="419"/>
      <c r="W690" s="962" t="s">
        <v>44</v>
      </c>
      <c r="X690" s="963"/>
      <c r="Y690" s="66"/>
      <c r="Z690" s="66"/>
      <c r="AA690" s="66"/>
      <c r="AB690" s="66"/>
      <c r="AC690" s="66"/>
    </row>
    <row r="691" spans="1:29" ht="15.75" thickBot="1" x14ac:dyDescent="0.3">
      <c r="A691" s="421" t="s">
        <v>131</v>
      </c>
      <c r="B691" s="422" t="s">
        <v>12</v>
      </c>
      <c r="C691" s="422" t="s">
        <v>13</v>
      </c>
      <c r="D691" s="422" t="s">
        <v>14</v>
      </c>
      <c r="E691" s="423" t="s">
        <v>12</v>
      </c>
      <c r="F691" s="423" t="s">
        <v>13</v>
      </c>
      <c r="G691" s="423" t="s">
        <v>14</v>
      </c>
      <c r="H691" s="423" t="s">
        <v>12</v>
      </c>
      <c r="I691" s="423" t="s">
        <v>13</v>
      </c>
      <c r="J691" s="423" t="s">
        <v>14</v>
      </c>
      <c r="K691" s="423" t="s">
        <v>12</v>
      </c>
      <c r="L691" s="423" t="s">
        <v>13</v>
      </c>
      <c r="M691" s="423" t="s">
        <v>14</v>
      </c>
      <c r="N691" s="423" t="s">
        <v>12</v>
      </c>
      <c r="O691" s="423" t="s">
        <v>13</v>
      </c>
      <c r="P691" s="423" t="s">
        <v>14</v>
      </c>
      <c r="Q691" s="423" t="s">
        <v>12</v>
      </c>
      <c r="R691" s="423" t="s">
        <v>13</v>
      </c>
      <c r="S691" s="423" t="s">
        <v>14</v>
      </c>
      <c r="T691" s="423" t="s">
        <v>12</v>
      </c>
      <c r="U691" s="423" t="s">
        <v>13</v>
      </c>
      <c r="V691" s="423" t="s">
        <v>14</v>
      </c>
      <c r="W691" s="424" t="s">
        <v>12</v>
      </c>
      <c r="X691" s="425" t="s">
        <v>14</v>
      </c>
      <c r="Y691" s="66"/>
      <c r="Z691" s="66"/>
      <c r="AA691" s="66"/>
      <c r="AB691" s="66"/>
      <c r="AC691" s="66"/>
    </row>
    <row r="692" spans="1:29" ht="15.75" thickTop="1" x14ac:dyDescent="0.25">
      <c r="A692" s="426" t="s">
        <v>139</v>
      </c>
      <c r="B692" s="427">
        <v>24607</v>
      </c>
      <c r="C692" s="428">
        <v>600</v>
      </c>
      <c r="D692" s="428">
        <f>B692*C692/1000</f>
        <v>14764.2</v>
      </c>
      <c r="E692" s="428">
        <v>4008</v>
      </c>
      <c r="F692" s="428">
        <v>250</v>
      </c>
      <c r="G692" s="428">
        <f>E692*F692/1000</f>
        <v>1002</v>
      </c>
      <c r="H692" s="428">
        <v>14097</v>
      </c>
      <c r="I692" s="428">
        <v>500</v>
      </c>
      <c r="J692" s="428">
        <f>H692*I692/1000</f>
        <v>7048.5</v>
      </c>
      <c r="K692" s="428"/>
      <c r="L692" s="428"/>
      <c r="M692" s="428"/>
      <c r="N692" s="428"/>
      <c r="O692" s="428"/>
      <c r="P692" s="428"/>
      <c r="Q692" s="428"/>
      <c r="R692" s="428"/>
      <c r="S692" s="428"/>
      <c r="T692" s="429"/>
      <c r="U692" s="429"/>
      <c r="V692" s="428"/>
      <c r="W692" s="430">
        <f t="shared" ref="W692:W702" si="91">B692+E692+H692+K692+N692+Q692+T692</f>
        <v>42712</v>
      </c>
      <c r="X692" s="431">
        <f t="shared" ref="X692:X702" si="92">D692+G692+J692+M692+P692+S692+V692</f>
        <v>22814.7</v>
      </c>
      <c r="Y692" s="66"/>
      <c r="Z692" s="66"/>
      <c r="AA692" s="66"/>
      <c r="AB692" s="66"/>
      <c r="AC692" s="66"/>
    </row>
    <row r="693" spans="1:29" x14ac:dyDescent="0.25">
      <c r="A693" s="432" t="s">
        <v>140</v>
      </c>
      <c r="B693" s="433"/>
      <c r="C693" s="433"/>
      <c r="D693" s="433"/>
      <c r="E693" s="433"/>
      <c r="F693" s="433"/>
      <c r="G693" s="433"/>
      <c r="H693" s="433"/>
      <c r="I693" s="433"/>
      <c r="J693" s="433"/>
      <c r="K693" s="433"/>
      <c r="L693" s="433"/>
      <c r="M693" s="433"/>
      <c r="N693" s="433"/>
      <c r="O693" s="433"/>
      <c r="P693" s="433"/>
      <c r="Q693" s="433"/>
      <c r="R693" s="433"/>
      <c r="S693" s="433"/>
      <c r="T693" s="433"/>
      <c r="U693" s="433"/>
      <c r="V693" s="433"/>
      <c r="W693" s="430">
        <f t="shared" si="91"/>
        <v>0</v>
      </c>
      <c r="X693" s="431">
        <f t="shared" si="92"/>
        <v>0</v>
      </c>
      <c r="Y693" s="66"/>
      <c r="Z693" s="66"/>
      <c r="AA693" s="66"/>
      <c r="AB693" s="66"/>
      <c r="AC693" s="66"/>
    </row>
    <row r="694" spans="1:29" x14ac:dyDescent="0.25">
      <c r="A694" s="432" t="s">
        <v>141</v>
      </c>
      <c r="B694" s="434">
        <v>39498</v>
      </c>
      <c r="C694" s="429">
        <v>1024</v>
      </c>
      <c r="D694" s="428">
        <v>40460</v>
      </c>
      <c r="E694" s="429">
        <v>8474</v>
      </c>
      <c r="F694" s="429">
        <v>500</v>
      </c>
      <c r="G694" s="428">
        <f>E694*F694/1000</f>
        <v>4237</v>
      </c>
      <c r="H694" s="429">
        <v>12418</v>
      </c>
      <c r="I694" s="429">
        <v>1220</v>
      </c>
      <c r="J694" s="428">
        <f>H694*I694/1000</f>
        <v>15149.96</v>
      </c>
      <c r="K694" s="429"/>
      <c r="L694" s="429"/>
      <c r="M694" s="428"/>
      <c r="N694" s="429"/>
      <c r="O694" s="429"/>
      <c r="P694" s="428"/>
      <c r="Q694" s="429"/>
      <c r="R694" s="429"/>
      <c r="S694" s="428"/>
      <c r="T694" s="429"/>
      <c r="U694" s="429"/>
      <c r="V694" s="428"/>
      <c r="W694" s="430">
        <f t="shared" si="91"/>
        <v>60390</v>
      </c>
      <c r="X694" s="431">
        <f t="shared" si="92"/>
        <v>59846.96</v>
      </c>
      <c r="Y694" s="66"/>
      <c r="Z694" s="66"/>
      <c r="AA694" s="66"/>
      <c r="AB694" s="66"/>
      <c r="AC694" s="66"/>
    </row>
    <row r="695" spans="1:29" x14ac:dyDescent="0.25">
      <c r="A695" s="432" t="s">
        <v>142</v>
      </c>
      <c r="B695" s="434">
        <v>26497</v>
      </c>
      <c r="C695" s="429">
        <v>1530</v>
      </c>
      <c r="D695" s="428">
        <f>B695*C695/1000</f>
        <v>40540.410000000003</v>
      </c>
      <c r="E695" s="429">
        <v>7404</v>
      </c>
      <c r="F695" s="429">
        <v>500</v>
      </c>
      <c r="G695" s="428">
        <f>E695*F695/1000</f>
        <v>3702</v>
      </c>
      <c r="H695" s="429">
        <v>4716</v>
      </c>
      <c r="I695" s="429">
        <v>650</v>
      </c>
      <c r="J695" s="428">
        <f>H695*I695/1000</f>
        <v>3065.4</v>
      </c>
      <c r="K695" s="429"/>
      <c r="L695" s="429"/>
      <c r="M695" s="428"/>
      <c r="N695" s="429"/>
      <c r="O695" s="429"/>
      <c r="P695" s="428"/>
      <c r="Q695" s="429"/>
      <c r="R695" s="429"/>
      <c r="S695" s="428"/>
      <c r="T695" s="429"/>
      <c r="U695" s="429"/>
      <c r="V695" s="428"/>
      <c r="W695" s="430">
        <f t="shared" si="91"/>
        <v>38617</v>
      </c>
      <c r="X695" s="431">
        <f t="shared" si="92"/>
        <v>47307.810000000005</v>
      </c>
      <c r="Y695" s="66"/>
      <c r="Z695" s="66"/>
      <c r="AA695" s="66"/>
      <c r="AB695" s="66"/>
      <c r="AC695" s="66"/>
    </row>
    <row r="696" spans="1:29" x14ac:dyDescent="0.25">
      <c r="A696" s="432" t="s">
        <v>143</v>
      </c>
      <c r="B696" s="435">
        <v>63150</v>
      </c>
      <c r="C696" s="429">
        <v>750</v>
      </c>
      <c r="D696" s="428">
        <f>B696*C696/1000</f>
        <v>47362.5</v>
      </c>
      <c r="E696" s="429">
        <v>3400</v>
      </c>
      <c r="F696" s="429">
        <v>450</v>
      </c>
      <c r="G696" s="428">
        <f>E696*F696/1000</f>
        <v>1530</v>
      </c>
      <c r="H696" s="429">
        <v>15633</v>
      </c>
      <c r="I696" s="429">
        <v>450</v>
      </c>
      <c r="J696" s="428">
        <f>H696*I696/1000</f>
        <v>7034.85</v>
      </c>
      <c r="K696" s="429"/>
      <c r="L696" s="429"/>
      <c r="M696" s="428"/>
      <c r="N696" s="429"/>
      <c r="O696" s="429"/>
      <c r="P696" s="428"/>
      <c r="Q696" s="429"/>
      <c r="R696" s="429"/>
      <c r="S696" s="428"/>
      <c r="T696" s="429"/>
      <c r="U696" s="429"/>
      <c r="V696" s="428"/>
      <c r="W696" s="430">
        <f t="shared" si="91"/>
        <v>82183</v>
      </c>
      <c r="X696" s="431">
        <f t="shared" si="92"/>
        <v>55927.35</v>
      </c>
      <c r="Y696" s="66"/>
      <c r="Z696" s="66"/>
      <c r="AA696" s="66"/>
      <c r="AB696" s="66"/>
      <c r="AC696" s="66"/>
    </row>
    <row r="697" spans="1:29" x14ac:dyDescent="0.25">
      <c r="A697" s="432" t="s">
        <v>144</v>
      </c>
      <c r="B697" s="433"/>
      <c r="C697" s="433"/>
      <c r="D697" s="433"/>
      <c r="E697" s="433"/>
      <c r="F697" s="433"/>
      <c r="G697" s="433"/>
      <c r="H697" s="433"/>
      <c r="I697" s="433"/>
      <c r="J697" s="433"/>
      <c r="K697" s="429"/>
      <c r="L697" s="429"/>
      <c r="M697" s="428"/>
      <c r="N697" s="429"/>
      <c r="O697" s="429"/>
      <c r="P697" s="428"/>
      <c r="Q697" s="429"/>
      <c r="R697" s="429"/>
      <c r="S697" s="428"/>
      <c r="T697" s="429"/>
      <c r="U697" s="429"/>
      <c r="V697" s="428"/>
      <c r="W697" s="430">
        <f t="shared" si="91"/>
        <v>0</v>
      </c>
      <c r="X697" s="431">
        <f t="shared" si="92"/>
        <v>0</v>
      </c>
      <c r="Y697" s="66"/>
      <c r="Z697" s="66"/>
      <c r="AA697" s="66"/>
      <c r="AB697" s="66"/>
      <c r="AC697" s="66"/>
    </row>
    <row r="698" spans="1:29" x14ac:dyDescent="0.25">
      <c r="A698" s="432" t="s">
        <v>145</v>
      </c>
      <c r="B698" s="433"/>
      <c r="C698" s="433"/>
      <c r="D698" s="433"/>
      <c r="E698" s="433"/>
      <c r="F698" s="433"/>
      <c r="G698" s="433"/>
      <c r="H698" s="429">
        <v>6</v>
      </c>
      <c r="I698" s="429">
        <v>835</v>
      </c>
      <c r="J698" s="428">
        <f>H698*I698/1000</f>
        <v>5.01</v>
      </c>
      <c r="K698" s="429"/>
      <c r="L698" s="436"/>
      <c r="M698" s="428"/>
      <c r="N698" s="429">
        <v>71</v>
      </c>
      <c r="O698" s="429">
        <v>22675</v>
      </c>
      <c r="P698" s="428">
        <f>N698*O698/1000</f>
        <v>1609.925</v>
      </c>
      <c r="Q698" s="429">
        <v>30</v>
      </c>
      <c r="R698" s="429">
        <v>16400</v>
      </c>
      <c r="S698" s="428">
        <f>Q698*R698/1000</f>
        <v>492</v>
      </c>
      <c r="T698" s="429"/>
      <c r="U698" s="429"/>
      <c r="V698" s="428"/>
      <c r="W698" s="430">
        <f t="shared" si="91"/>
        <v>107</v>
      </c>
      <c r="X698" s="431">
        <f t="shared" si="92"/>
        <v>2106.9349999999999</v>
      </c>
      <c r="Y698" s="66"/>
      <c r="Z698" s="66"/>
      <c r="AA698" s="66"/>
      <c r="AB698" s="66"/>
      <c r="AC698" s="66"/>
    </row>
    <row r="699" spans="1:29" x14ac:dyDescent="0.25">
      <c r="A699" s="432" t="s">
        <v>146</v>
      </c>
      <c r="B699" s="435">
        <v>173035</v>
      </c>
      <c r="C699" s="429">
        <v>950</v>
      </c>
      <c r="D699" s="428">
        <f>B699*C699/1000</f>
        <v>164383.25</v>
      </c>
      <c r="E699" s="429">
        <v>2927</v>
      </c>
      <c r="F699" s="429">
        <v>510</v>
      </c>
      <c r="G699" s="428">
        <f>E699*F699/1000</f>
        <v>1492.77</v>
      </c>
      <c r="H699" s="429">
        <v>3548</v>
      </c>
      <c r="I699" s="429">
        <v>700</v>
      </c>
      <c r="J699" s="428">
        <f>H699*I699/1000</f>
        <v>2483.6</v>
      </c>
      <c r="K699" s="429"/>
      <c r="L699" s="429"/>
      <c r="M699" s="428"/>
      <c r="N699" s="429"/>
      <c r="O699" s="429"/>
      <c r="P699" s="428"/>
      <c r="Q699" s="429"/>
      <c r="R699" s="429"/>
      <c r="S699" s="428"/>
      <c r="T699" s="429"/>
      <c r="U699" s="429"/>
      <c r="V699" s="428"/>
      <c r="W699" s="430">
        <f t="shared" si="91"/>
        <v>179510</v>
      </c>
      <c r="X699" s="431">
        <f t="shared" si="92"/>
        <v>168359.62</v>
      </c>
      <c r="Y699" s="66"/>
      <c r="Z699" s="66"/>
      <c r="AA699" s="66"/>
      <c r="AB699" s="66"/>
      <c r="AC699" s="66"/>
    </row>
    <row r="700" spans="1:29" x14ac:dyDescent="0.25">
      <c r="A700" s="432" t="s">
        <v>147</v>
      </c>
      <c r="B700" s="435">
        <v>12133</v>
      </c>
      <c r="C700" s="429">
        <v>900</v>
      </c>
      <c r="D700" s="428">
        <f>B700*C700/1000</f>
        <v>10919.7</v>
      </c>
      <c r="E700" s="429">
        <v>8736</v>
      </c>
      <c r="F700" s="429">
        <v>500</v>
      </c>
      <c r="G700" s="428">
        <f>E700*F700/1000</f>
        <v>4368</v>
      </c>
      <c r="H700" s="429">
        <v>3197</v>
      </c>
      <c r="I700" s="429">
        <v>600</v>
      </c>
      <c r="J700" s="428">
        <f>H700*I700/1000</f>
        <v>1918.2</v>
      </c>
      <c r="K700" s="429"/>
      <c r="L700" s="436"/>
      <c r="M700" s="428"/>
      <c r="N700" s="429"/>
      <c r="O700" s="429"/>
      <c r="P700" s="428"/>
      <c r="Q700" s="429"/>
      <c r="R700" s="429"/>
      <c r="S700" s="428"/>
      <c r="T700" s="429"/>
      <c r="U700" s="429"/>
      <c r="V700" s="428"/>
      <c r="W700" s="430">
        <f t="shared" si="91"/>
        <v>24066</v>
      </c>
      <c r="X700" s="431">
        <f t="shared" si="92"/>
        <v>17205.900000000001</v>
      </c>
      <c r="Y700" s="66"/>
      <c r="Z700" s="66"/>
      <c r="AA700" s="66"/>
      <c r="AB700" s="66"/>
      <c r="AC700" s="66"/>
    </row>
    <row r="701" spans="1:29" x14ac:dyDescent="0.25">
      <c r="A701" s="432" t="s">
        <v>148</v>
      </c>
      <c r="B701" s="435">
        <v>294839</v>
      </c>
      <c r="C701" s="429">
        <v>900</v>
      </c>
      <c r="D701" s="428">
        <f>B701*C701/1000</f>
        <v>265355.09999999998</v>
      </c>
      <c r="E701" s="429">
        <v>69785</v>
      </c>
      <c r="F701" s="429">
        <v>500</v>
      </c>
      <c r="G701" s="428">
        <f>E701*F701/1000</f>
        <v>34892.5</v>
      </c>
      <c r="H701" s="429">
        <v>8672</v>
      </c>
      <c r="I701" s="429">
        <v>700</v>
      </c>
      <c r="J701" s="428">
        <f>H701*I701/1000</f>
        <v>6070.4</v>
      </c>
      <c r="K701" s="429"/>
      <c r="L701" s="429"/>
      <c r="M701" s="428"/>
      <c r="N701" s="429"/>
      <c r="O701" s="429"/>
      <c r="P701" s="428"/>
      <c r="Q701" s="429"/>
      <c r="R701" s="429"/>
      <c r="S701" s="428"/>
      <c r="T701" s="429"/>
      <c r="U701" s="429"/>
      <c r="V701" s="428"/>
      <c r="W701" s="430">
        <f t="shared" si="91"/>
        <v>373296</v>
      </c>
      <c r="X701" s="431">
        <f t="shared" si="92"/>
        <v>306318</v>
      </c>
      <c r="Y701" s="66"/>
      <c r="Z701" s="66"/>
      <c r="AA701" s="66"/>
      <c r="AB701" s="66"/>
      <c r="AC701" s="66"/>
    </row>
    <row r="702" spans="1:29" x14ac:dyDescent="0.25">
      <c r="A702" s="432" t="s">
        <v>149</v>
      </c>
      <c r="B702" s="435">
        <v>28673</v>
      </c>
      <c r="C702" s="429">
        <v>800</v>
      </c>
      <c r="D702" s="428">
        <f>B702*C702/1000</f>
        <v>22938.400000000001</v>
      </c>
      <c r="E702" s="429">
        <v>623</v>
      </c>
      <c r="F702" s="429">
        <v>500</v>
      </c>
      <c r="G702" s="428">
        <f>E702*F702/1000</f>
        <v>311.5</v>
      </c>
      <c r="H702" s="429">
        <v>5022</v>
      </c>
      <c r="I702" s="429">
        <v>700</v>
      </c>
      <c r="J702" s="428">
        <f>H702*I702/1000</f>
        <v>3515.4</v>
      </c>
      <c r="K702" s="429"/>
      <c r="L702" s="429"/>
      <c r="M702" s="428"/>
      <c r="N702" s="429"/>
      <c r="O702" s="429"/>
      <c r="P702" s="428"/>
      <c r="Q702" s="429"/>
      <c r="R702" s="429"/>
      <c r="S702" s="428"/>
      <c r="T702" s="429"/>
      <c r="U702" s="429"/>
      <c r="V702" s="428"/>
      <c r="W702" s="430">
        <f t="shared" si="91"/>
        <v>34318</v>
      </c>
      <c r="X702" s="431">
        <f t="shared" si="92"/>
        <v>26765.300000000003</v>
      </c>
      <c r="Y702" s="66"/>
      <c r="Z702" s="66"/>
      <c r="AA702" s="66"/>
      <c r="AB702" s="66"/>
      <c r="AC702" s="66"/>
    </row>
    <row r="703" spans="1:29" x14ac:dyDescent="0.25">
      <c r="A703" s="437" t="s">
        <v>150</v>
      </c>
      <c r="B703" s="438">
        <f>SUM(B692:B702)</f>
        <v>662432</v>
      </c>
      <c r="C703" s="438"/>
      <c r="D703" s="438">
        <f>SUM(D692:D702)</f>
        <v>606723.55999999994</v>
      </c>
      <c r="E703" s="438">
        <f>SUM(E692:E702)</f>
        <v>105357</v>
      </c>
      <c r="F703" s="438"/>
      <c r="G703" s="438">
        <f>SUM(G692:G702)</f>
        <v>51535.770000000004</v>
      </c>
      <c r="H703" s="438">
        <f>SUM(H692:H702)</f>
        <v>67309</v>
      </c>
      <c r="I703" s="438"/>
      <c r="J703" s="438">
        <f>SUM(J692:J702)</f>
        <v>46291.32</v>
      </c>
      <c r="K703" s="438"/>
      <c r="L703" s="438"/>
      <c r="M703" s="438"/>
      <c r="N703" s="438">
        <f>SUM(N692:N702)</f>
        <v>71</v>
      </c>
      <c r="O703" s="438"/>
      <c r="P703" s="438">
        <f>SUM(P692:P702)</f>
        <v>1609.925</v>
      </c>
      <c r="Q703" s="438">
        <f>SUM(Q692:Q702)</f>
        <v>30</v>
      </c>
      <c r="R703" s="438"/>
      <c r="S703" s="438">
        <f>SUM(S692:S702)</f>
        <v>492</v>
      </c>
      <c r="T703" s="438"/>
      <c r="U703" s="438"/>
      <c r="V703" s="438"/>
      <c r="W703" s="438">
        <f>SUM(W692:W702)</f>
        <v>835199</v>
      </c>
      <c r="X703" s="439">
        <f>SUM(X692:X702)</f>
        <v>706652.57500000007</v>
      </c>
      <c r="Y703" s="66"/>
      <c r="Z703" s="66"/>
      <c r="AA703" s="66"/>
      <c r="AB703" s="66"/>
      <c r="AC703" s="66"/>
    </row>
    <row r="704" spans="1:29" x14ac:dyDescent="0.25">
      <c r="A704" s="432" t="s">
        <v>151</v>
      </c>
      <c r="B704" s="429">
        <v>28820</v>
      </c>
      <c r="C704" s="429">
        <v>1672</v>
      </c>
      <c r="D704" s="428">
        <f t="shared" ref="D704:D710" si="93">B704*C704/1000</f>
        <v>48187.040000000001</v>
      </c>
      <c r="E704" s="429">
        <v>13254</v>
      </c>
      <c r="F704" s="429">
        <v>725</v>
      </c>
      <c r="G704" s="428">
        <f t="shared" ref="G704:G710" si="94">E704*F704/1000</f>
        <v>9609.15</v>
      </c>
      <c r="H704" s="429">
        <v>10431</v>
      </c>
      <c r="I704" s="429">
        <v>680</v>
      </c>
      <c r="J704" s="428">
        <f t="shared" ref="J704:J710" si="95">H704*I704/1000</f>
        <v>7093.08</v>
      </c>
      <c r="K704" s="429"/>
      <c r="L704" s="429"/>
      <c r="M704" s="428"/>
      <c r="N704" s="429">
        <v>3309</v>
      </c>
      <c r="O704" s="429">
        <v>2505</v>
      </c>
      <c r="P704" s="428">
        <f t="shared" ref="P704:P710" si="96">N704*O704/1000</f>
        <v>8289.0450000000001</v>
      </c>
      <c r="Q704" s="429">
        <v>1900</v>
      </c>
      <c r="R704" s="429">
        <v>6500</v>
      </c>
      <c r="S704" s="428">
        <f>Q704*R704/1000</f>
        <v>12350</v>
      </c>
      <c r="T704" s="429">
        <v>794</v>
      </c>
      <c r="U704" s="429">
        <v>6000</v>
      </c>
      <c r="V704" s="428">
        <f>T704*U704/1000</f>
        <v>4764</v>
      </c>
      <c r="W704" s="430">
        <f t="shared" ref="W704:W710" si="97">B704+E704+H704+K704+N704+Q704+T704</f>
        <v>58508</v>
      </c>
      <c r="X704" s="431">
        <f t="shared" ref="X704:X710" si="98">D704+G704+J704+M704+P704+S704+V704</f>
        <v>90292.315000000002</v>
      </c>
      <c r="Y704" s="66"/>
      <c r="Z704" s="66"/>
      <c r="AA704" s="66"/>
      <c r="AB704" s="66"/>
      <c r="AC704" s="66"/>
    </row>
    <row r="705" spans="1:29" x14ac:dyDescent="0.25">
      <c r="A705" s="432" t="s">
        <v>152</v>
      </c>
      <c r="B705" s="429">
        <v>53820</v>
      </c>
      <c r="C705" s="429">
        <v>1220</v>
      </c>
      <c r="D705" s="428">
        <f t="shared" si="93"/>
        <v>65660.399999999994</v>
      </c>
      <c r="E705" s="429">
        <v>17887</v>
      </c>
      <c r="F705" s="429">
        <v>500</v>
      </c>
      <c r="G705" s="428">
        <f t="shared" si="94"/>
        <v>8943.5</v>
      </c>
      <c r="H705" s="429">
        <v>25909</v>
      </c>
      <c r="I705" s="429">
        <v>242</v>
      </c>
      <c r="J705" s="428">
        <f t="shared" si="95"/>
        <v>6269.9780000000001</v>
      </c>
      <c r="K705" s="429">
        <v>16175</v>
      </c>
      <c r="L705" s="429">
        <v>404</v>
      </c>
      <c r="M705" s="428">
        <f>K705*L705/1000</f>
        <v>6534.7</v>
      </c>
      <c r="N705" s="429">
        <v>9016</v>
      </c>
      <c r="O705" s="429">
        <v>2293</v>
      </c>
      <c r="P705" s="428">
        <f t="shared" si="96"/>
        <v>20673.687999999998</v>
      </c>
      <c r="Q705" s="429"/>
      <c r="R705" s="429"/>
      <c r="S705" s="428"/>
      <c r="T705" s="429">
        <v>4460</v>
      </c>
      <c r="U705" s="429">
        <v>2387</v>
      </c>
      <c r="V705" s="428">
        <f>T705*U705/1000</f>
        <v>10646.02</v>
      </c>
      <c r="W705" s="430">
        <f t="shared" si="97"/>
        <v>127267</v>
      </c>
      <c r="X705" s="431">
        <f t="shared" si="98"/>
        <v>118728.28599999999</v>
      </c>
      <c r="Y705" s="66"/>
      <c r="Z705" s="66"/>
      <c r="AA705" s="66"/>
      <c r="AB705" s="66"/>
      <c r="AC705" s="66"/>
    </row>
    <row r="706" spans="1:29" x14ac:dyDescent="0.25">
      <c r="A706" s="440" t="s">
        <v>153</v>
      </c>
      <c r="B706" s="429">
        <v>66002</v>
      </c>
      <c r="C706" s="429">
        <v>880</v>
      </c>
      <c r="D706" s="428">
        <f t="shared" si="93"/>
        <v>58081.760000000002</v>
      </c>
      <c r="E706" s="429">
        <v>9553</v>
      </c>
      <c r="F706" s="429">
        <v>510</v>
      </c>
      <c r="G706" s="428">
        <f t="shared" si="94"/>
        <v>4872.03</v>
      </c>
      <c r="H706" s="429">
        <v>14488</v>
      </c>
      <c r="I706" s="429">
        <v>448</v>
      </c>
      <c r="J706" s="428">
        <f t="shared" si="95"/>
        <v>6490.6239999999998</v>
      </c>
      <c r="K706" s="429">
        <v>1050</v>
      </c>
      <c r="L706" s="429">
        <v>490</v>
      </c>
      <c r="M706" s="428">
        <f>K706*L706/1000</f>
        <v>514.5</v>
      </c>
      <c r="N706" s="429">
        <v>8191</v>
      </c>
      <c r="O706" s="429">
        <v>1626</v>
      </c>
      <c r="P706" s="428">
        <f t="shared" si="96"/>
        <v>13318.566000000001</v>
      </c>
      <c r="Q706" s="429"/>
      <c r="R706" s="429"/>
      <c r="S706" s="428"/>
      <c r="T706" s="429">
        <v>1682</v>
      </c>
      <c r="U706" s="429">
        <v>6330</v>
      </c>
      <c r="V706" s="428">
        <f>T706*U706/1000</f>
        <v>10647.06</v>
      </c>
      <c r="W706" s="430">
        <f t="shared" si="97"/>
        <v>100966</v>
      </c>
      <c r="X706" s="431">
        <f t="shared" si="98"/>
        <v>93924.540000000008</v>
      </c>
      <c r="Y706" s="66"/>
      <c r="Z706" s="66"/>
      <c r="AA706" s="66"/>
      <c r="AB706" s="66"/>
      <c r="AC706" s="66"/>
    </row>
    <row r="707" spans="1:29" x14ac:dyDescent="0.25">
      <c r="A707" s="440" t="s">
        <v>154</v>
      </c>
      <c r="B707" s="429">
        <v>52349</v>
      </c>
      <c r="C707" s="429">
        <v>1130</v>
      </c>
      <c r="D707" s="428">
        <f t="shared" si="93"/>
        <v>59154.37</v>
      </c>
      <c r="E707" s="429">
        <v>5194</v>
      </c>
      <c r="F707" s="429">
        <v>404</v>
      </c>
      <c r="G707" s="428">
        <f t="shared" si="94"/>
        <v>2098.3760000000002</v>
      </c>
      <c r="H707" s="429">
        <v>13597</v>
      </c>
      <c r="I707" s="429">
        <v>515</v>
      </c>
      <c r="J707" s="428">
        <f t="shared" si="95"/>
        <v>7002.4549999999999</v>
      </c>
      <c r="K707" s="429"/>
      <c r="L707" s="429"/>
      <c r="M707" s="428"/>
      <c r="N707" s="429">
        <v>5759</v>
      </c>
      <c r="O707" s="429">
        <v>4079</v>
      </c>
      <c r="P707" s="428">
        <f t="shared" si="96"/>
        <v>23490.960999999999</v>
      </c>
      <c r="Q707" s="429">
        <v>2100</v>
      </c>
      <c r="R707" s="429">
        <v>7000</v>
      </c>
      <c r="S707" s="428">
        <f>Q707*R707/1000</f>
        <v>14700</v>
      </c>
      <c r="T707" s="429">
        <v>1286</v>
      </c>
      <c r="U707" s="429">
        <v>6000</v>
      </c>
      <c r="V707" s="428">
        <f>T707*U707/1000</f>
        <v>7716</v>
      </c>
      <c r="W707" s="430">
        <f t="shared" si="97"/>
        <v>80285</v>
      </c>
      <c r="X707" s="431">
        <f t="shared" si="98"/>
        <v>114162.162</v>
      </c>
      <c r="Y707" s="66"/>
      <c r="Z707" s="66"/>
      <c r="AA707" s="66"/>
      <c r="AB707" s="66"/>
      <c r="AC707" s="66"/>
    </row>
    <row r="708" spans="1:29" x14ac:dyDescent="0.25">
      <c r="A708" s="441" t="s">
        <v>155</v>
      </c>
      <c r="B708" s="429">
        <v>70077</v>
      </c>
      <c r="C708" s="429">
        <v>1076</v>
      </c>
      <c r="D708" s="428">
        <f t="shared" si="93"/>
        <v>75402.851999999999</v>
      </c>
      <c r="E708" s="429">
        <v>42064</v>
      </c>
      <c r="F708" s="429">
        <v>405</v>
      </c>
      <c r="G708" s="428">
        <f t="shared" si="94"/>
        <v>17035.919999999998</v>
      </c>
      <c r="H708" s="429">
        <v>15388</v>
      </c>
      <c r="I708" s="429">
        <v>380</v>
      </c>
      <c r="J708" s="428">
        <f t="shared" si="95"/>
        <v>5847.44</v>
      </c>
      <c r="K708" s="429"/>
      <c r="L708" s="429"/>
      <c r="M708" s="428"/>
      <c r="N708" s="429">
        <v>18353</v>
      </c>
      <c r="O708" s="429">
        <v>9115</v>
      </c>
      <c r="P708" s="428">
        <f t="shared" si="96"/>
        <v>167287.595</v>
      </c>
      <c r="Q708" s="429">
        <v>328</v>
      </c>
      <c r="R708" s="429">
        <v>7000</v>
      </c>
      <c r="S708" s="428">
        <f>Q708*R708/1000</f>
        <v>2296</v>
      </c>
      <c r="T708" s="429">
        <v>32</v>
      </c>
      <c r="U708" s="429">
        <v>4000</v>
      </c>
      <c r="V708" s="428">
        <f>T708*U708/1000</f>
        <v>128</v>
      </c>
      <c r="W708" s="430">
        <f t="shared" si="97"/>
        <v>146242</v>
      </c>
      <c r="X708" s="431">
        <f t="shared" si="98"/>
        <v>267997.80700000003</v>
      </c>
      <c r="Y708" s="66"/>
      <c r="Z708" s="66"/>
      <c r="AA708" s="66"/>
      <c r="AB708" s="66"/>
      <c r="AC708" s="66"/>
    </row>
    <row r="709" spans="1:29" x14ac:dyDescent="0.25">
      <c r="A709" s="441" t="s">
        <v>156</v>
      </c>
      <c r="B709" s="429">
        <v>53546</v>
      </c>
      <c r="C709" s="429">
        <v>2430</v>
      </c>
      <c r="D709" s="428">
        <f t="shared" si="93"/>
        <v>130116.78</v>
      </c>
      <c r="E709" s="429">
        <v>29867</v>
      </c>
      <c r="F709" s="429">
        <v>910</v>
      </c>
      <c r="G709" s="428">
        <f t="shared" si="94"/>
        <v>27178.97</v>
      </c>
      <c r="H709" s="429">
        <v>8863</v>
      </c>
      <c r="I709" s="429">
        <v>680</v>
      </c>
      <c r="J709" s="428">
        <f t="shared" si="95"/>
        <v>6026.84</v>
      </c>
      <c r="K709" s="429"/>
      <c r="L709" s="429"/>
      <c r="M709" s="428"/>
      <c r="N709" s="429">
        <v>6327</v>
      </c>
      <c r="O709" s="429">
        <v>9033</v>
      </c>
      <c r="P709" s="428">
        <f t="shared" si="96"/>
        <v>57151.790999999997</v>
      </c>
      <c r="Q709" s="429">
        <v>2444</v>
      </c>
      <c r="R709" s="429">
        <v>6500</v>
      </c>
      <c r="S709" s="428">
        <f>Q709*R709/1000</f>
        <v>15886</v>
      </c>
      <c r="T709" s="429"/>
      <c r="U709" s="429"/>
      <c r="V709" s="428"/>
      <c r="W709" s="430">
        <f t="shared" si="97"/>
        <v>101047</v>
      </c>
      <c r="X709" s="431">
        <f t="shared" si="98"/>
        <v>236360.38099999999</v>
      </c>
      <c r="Y709" s="66"/>
      <c r="Z709" s="66"/>
      <c r="AA709" s="66"/>
      <c r="AB709" s="66"/>
      <c r="AC709" s="66"/>
    </row>
    <row r="710" spans="1:29" x14ac:dyDescent="0.25">
      <c r="A710" s="441" t="s">
        <v>157</v>
      </c>
      <c r="B710" s="429">
        <v>52667</v>
      </c>
      <c r="C710" s="429">
        <v>1139</v>
      </c>
      <c r="D710" s="428">
        <f t="shared" si="93"/>
        <v>59987.713000000003</v>
      </c>
      <c r="E710" s="429">
        <v>15883</v>
      </c>
      <c r="F710" s="429">
        <v>300</v>
      </c>
      <c r="G710" s="428">
        <f t="shared" si="94"/>
        <v>4764.8999999999996</v>
      </c>
      <c r="H710" s="429">
        <v>13127</v>
      </c>
      <c r="I710" s="429">
        <v>498</v>
      </c>
      <c r="J710" s="428">
        <f t="shared" si="95"/>
        <v>6537.2460000000001</v>
      </c>
      <c r="K710" s="429">
        <f>SUM(K705:K709)</f>
        <v>17225</v>
      </c>
      <c r="L710" s="429"/>
      <c r="M710" s="428">
        <f>SUM(M705:M709)</f>
        <v>7049.2</v>
      </c>
      <c r="N710" s="429">
        <v>5244</v>
      </c>
      <c r="O710" s="429">
        <v>2030</v>
      </c>
      <c r="P710" s="428">
        <f t="shared" si="96"/>
        <v>10645.32</v>
      </c>
      <c r="Q710" s="429"/>
      <c r="R710" s="429"/>
      <c r="S710" s="428"/>
      <c r="T710" s="429"/>
      <c r="U710" s="429"/>
      <c r="V710" s="428"/>
      <c r="W710" s="430">
        <f t="shared" si="97"/>
        <v>104146</v>
      </c>
      <c r="X710" s="431">
        <f t="shared" si="98"/>
        <v>88984.379000000015</v>
      </c>
      <c r="Y710" s="66"/>
      <c r="Z710" s="66"/>
      <c r="AA710" s="66"/>
      <c r="AB710" s="66"/>
      <c r="AC710" s="66"/>
    </row>
    <row r="711" spans="1:29" x14ac:dyDescent="0.25">
      <c r="A711" s="437" t="s">
        <v>158</v>
      </c>
      <c r="B711" s="438">
        <f>SUM(B704:B710)</f>
        <v>377281</v>
      </c>
      <c r="C711" s="438"/>
      <c r="D711" s="438">
        <f>SUM(D704:D710)</f>
        <v>496590.91500000004</v>
      </c>
      <c r="E711" s="438">
        <f>SUM(E704:E710)</f>
        <v>133702</v>
      </c>
      <c r="F711" s="438"/>
      <c r="G711" s="438">
        <f>SUM(G704:G710)</f>
        <v>74502.84599999999</v>
      </c>
      <c r="H711" s="438">
        <f>SUM(H704:H710)</f>
        <v>101803</v>
      </c>
      <c r="I711" s="438"/>
      <c r="J711" s="438">
        <f>SUM(J704:J710)</f>
        <v>45267.663</v>
      </c>
      <c r="K711" s="438">
        <f>SUM(K704:K710)</f>
        <v>34450</v>
      </c>
      <c r="L711" s="438"/>
      <c r="M711" s="438">
        <f>SUM(M704:M710)</f>
        <v>14098.4</v>
      </c>
      <c r="N711" s="438">
        <f>SUM(N704:N710)</f>
        <v>56199</v>
      </c>
      <c r="O711" s="438"/>
      <c r="P711" s="438">
        <f>SUM(P704:P710)</f>
        <v>300856.96599999996</v>
      </c>
      <c r="Q711" s="438">
        <f>SUM(Q704:Q710)</f>
        <v>6772</v>
      </c>
      <c r="R711" s="438"/>
      <c r="S711" s="438">
        <f>SUM(S704:S710)</f>
        <v>45232</v>
      </c>
      <c r="T711" s="438">
        <f>SUM(T704:T710)</f>
        <v>8254</v>
      </c>
      <c r="U711" s="438"/>
      <c r="V711" s="438">
        <f>SUM(V704:V710)</f>
        <v>33901.08</v>
      </c>
      <c r="W711" s="438">
        <f>SUM(W704:W710)</f>
        <v>718461</v>
      </c>
      <c r="X711" s="439">
        <f>SUM(X704:X710)</f>
        <v>1010449.8700000001</v>
      </c>
      <c r="Y711" s="66"/>
      <c r="Z711" s="66"/>
      <c r="AA711" s="66"/>
      <c r="AB711" s="66"/>
      <c r="AC711" s="66"/>
    </row>
    <row r="712" spans="1:29" x14ac:dyDescent="0.25">
      <c r="A712" s="442" t="s">
        <v>32</v>
      </c>
      <c r="B712" s="443">
        <f>B703+B711</f>
        <v>1039713</v>
      </c>
      <c r="C712" s="443"/>
      <c r="D712" s="443">
        <f>D703+D711</f>
        <v>1103314.4750000001</v>
      </c>
      <c r="E712" s="443">
        <f>E703+E711</f>
        <v>239059</v>
      </c>
      <c r="F712" s="443"/>
      <c r="G712" s="443">
        <f>G703+G711</f>
        <v>126038.61599999999</v>
      </c>
      <c r="H712" s="443">
        <f>H703+H711</f>
        <v>169112</v>
      </c>
      <c r="I712" s="443"/>
      <c r="J712" s="443">
        <f>J703+J711</f>
        <v>91558.983000000007</v>
      </c>
      <c r="K712" s="443">
        <f>K703+K711</f>
        <v>34450</v>
      </c>
      <c r="L712" s="443"/>
      <c r="M712" s="443">
        <f>M703+M711</f>
        <v>14098.4</v>
      </c>
      <c r="N712" s="443">
        <f>N703+N711</f>
        <v>56270</v>
      </c>
      <c r="O712" s="443"/>
      <c r="P712" s="443">
        <f>P703+P711</f>
        <v>302466.89099999995</v>
      </c>
      <c r="Q712" s="443">
        <f>Q703+Q711</f>
        <v>6802</v>
      </c>
      <c r="R712" s="443"/>
      <c r="S712" s="443">
        <f>S703+S711</f>
        <v>45724</v>
      </c>
      <c r="T712" s="443">
        <f>T703+T711</f>
        <v>8254</v>
      </c>
      <c r="U712" s="443"/>
      <c r="V712" s="443">
        <f>V703+V711</f>
        <v>33901.08</v>
      </c>
      <c r="W712" s="443">
        <f>W703+W711</f>
        <v>1553660</v>
      </c>
      <c r="X712" s="444">
        <v>1717103</v>
      </c>
      <c r="Y712" s="66"/>
      <c r="Z712" s="66"/>
      <c r="AA712" s="66"/>
      <c r="AB712" s="66"/>
      <c r="AC712" s="66"/>
    </row>
    <row r="713" spans="1:29" ht="15.75" thickBot="1" x14ac:dyDescent="0.3">
      <c r="A713" s="445" t="s">
        <v>159</v>
      </c>
      <c r="B713" s="446"/>
      <c r="C713" s="446"/>
      <c r="D713" s="447" t="s">
        <v>82</v>
      </c>
      <c r="E713" s="446"/>
      <c r="F713" s="446"/>
      <c r="G713" s="446"/>
      <c r="H713" s="446"/>
      <c r="I713" s="447" t="s">
        <v>82</v>
      </c>
      <c r="J713" s="446"/>
      <c r="K713" s="446"/>
      <c r="L713" s="448"/>
      <c r="M713" s="448"/>
      <c r="N713" s="448"/>
      <c r="O713" s="448"/>
      <c r="P713" s="446"/>
      <c r="Q713" s="446"/>
      <c r="R713" s="446"/>
      <c r="S713" s="446"/>
      <c r="T713" s="448"/>
      <c r="U713" s="448"/>
      <c r="V713" s="448"/>
      <c r="W713" s="448"/>
      <c r="X713" s="449"/>
      <c r="Y713" s="66"/>
      <c r="Z713" s="66"/>
      <c r="AA713" s="66"/>
      <c r="AB713" s="66"/>
      <c r="AC713" s="66"/>
    </row>
    <row r="714" spans="1:29" x14ac:dyDescent="0.25">
      <c r="A714" s="66"/>
      <c r="B714" s="66"/>
      <c r="C714" s="66"/>
      <c r="D714" s="66"/>
      <c r="E714" s="66"/>
      <c r="F714" s="66"/>
      <c r="G714" s="66"/>
      <c r="H714" s="66"/>
      <c r="I714" s="66"/>
      <c r="J714" s="66"/>
      <c r="K714" s="66"/>
      <c r="L714" s="66"/>
      <c r="M714" s="66"/>
      <c r="N714" s="66"/>
      <c r="O714" s="66"/>
      <c r="P714" s="66"/>
      <c r="Q714" s="66"/>
      <c r="R714" s="66"/>
      <c r="S714" s="66"/>
      <c r="T714" s="66"/>
      <c r="U714" s="66"/>
      <c r="V714" s="66"/>
      <c r="W714" s="66"/>
      <c r="X714" s="66"/>
      <c r="Y714" s="66"/>
      <c r="Z714" s="66"/>
      <c r="AA714" s="66"/>
      <c r="AB714" s="66"/>
      <c r="AC714" s="66"/>
    </row>
    <row r="715" spans="1:29" x14ac:dyDescent="0.25">
      <c r="A715" s="66"/>
      <c r="B715" s="66"/>
      <c r="C715" s="66"/>
      <c r="D715" s="66"/>
      <c r="E715" s="66"/>
      <c r="F715" s="66"/>
      <c r="G715" s="66"/>
      <c r="H715" s="66"/>
      <c r="I715" s="66"/>
      <c r="J715" s="66"/>
      <c r="K715" s="66"/>
      <c r="L715" s="66"/>
      <c r="M715" s="66"/>
      <c r="N715" s="66"/>
      <c r="O715" s="66"/>
      <c r="P715" s="66"/>
      <c r="Q715" s="66"/>
      <c r="R715" s="66"/>
      <c r="S715" s="66"/>
      <c r="T715" s="66"/>
      <c r="U715" s="66"/>
      <c r="V715" s="66"/>
      <c r="W715" s="66"/>
      <c r="X715" s="66"/>
      <c r="Y715" s="66"/>
      <c r="Z715" s="66"/>
      <c r="AA715" s="66"/>
      <c r="AB715" s="66"/>
      <c r="AC715" s="66"/>
    </row>
    <row r="716" spans="1:29" x14ac:dyDescent="0.25">
      <c r="A716" s="66"/>
      <c r="B716" s="66"/>
      <c r="C716" s="66"/>
      <c r="D716" s="66"/>
      <c r="E716" s="66"/>
      <c r="F716" s="66"/>
      <c r="G716" s="66"/>
      <c r="H716" s="66"/>
      <c r="I716" s="66"/>
      <c r="J716" s="66"/>
      <c r="K716" s="66"/>
      <c r="L716" s="66"/>
      <c r="M716" s="66"/>
      <c r="N716" s="66"/>
      <c r="O716" s="66"/>
      <c r="P716" s="66"/>
      <c r="Q716" s="66"/>
      <c r="R716" s="66"/>
      <c r="S716" s="66"/>
      <c r="T716" s="66"/>
      <c r="U716" s="66"/>
      <c r="V716" s="66"/>
      <c r="W716" s="66"/>
      <c r="X716" s="66"/>
      <c r="Y716" s="66"/>
      <c r="Z716" s="66"/>
      <c r="AA716" s="66"/>
      <c r="AB716" s="66"/>
      <c r="AC716" s="66"/>
    </row>
    <row r="717" spans="1:29" x14ac:dyDescent="0.25">
      <c r="A717" s="66"/>
      <c r="B717" s="66"/>
      <c r="C717" s="66"/>
      <c r="D717" s="66"/>
      <c r="E717" s="66"/>
      <c r="F717" s="66"/>
      <c r="G717" s="66"/>
      <c r="H717" s="66"/>
      <c r="I717" s="66"/>
      <c r="J717" s="66"/>
      <c r="K717" s="66"/>
      <c r="L717" s="66"/>
      <c r="M717" s="66"/>
      <c r="N717" s="66"/>
      <c r="O717" s="66"/>
      <c r="P717" s="66"/>
      <c r="Q717" s="66"/>
      <c r="R717" s="66"/>
      <c r="S717" s="66"/>
      <c r="T717" s="66"/>
      <c r="U717" s="66"/>
      <c r="V717" s="66"/>
      <c r="W717" s="66"/>
      <c r="X717" s="66"/>
      <c r="Y717" s="66"/>
      <c r="Z717" s="66"/>
      <c r="AA717" s="66"/>
      <c r="AB717" s="66"/>
      <c r="AC717" s="66"/>
    </row>
    <row r="718" spans="1:29" ht="20.25" x14ac:dyDescent="0.3">
      <c r="A718" s="450"/>
      <c r="B718" s="450"/>
      <c r="C718" s="450"/>
      <c r="D718" s="450"/>
      <c r="E718" s="314" t="s">
        <v>160</v>
      </c>
      <c r="F718" s="450"/>
      <c r="G718" s="450"/>
      <c r="H718" s="450"/>
      <c r="I718" s="450"/>
      <c r="J718" s="450"/>
      <c r="K718" s="450"/>
      <c r="L718" s="450"/>
      <c r="M718" s="450"/>
      <c r="N718" s="450"/>
      <c r="O718" s="450"/>
      <c r="P718" s="450"/>
      <c r="Q718" s="450"/>
      <c r="R718" s="450"/>
      <c r="S718" s="450"/>
      <c r="T718" s="450"/>
      <c r="U718" s="450"/>
      <c r="V718" s="450"/>
      <c r="W718" s="450"/>
      <c r="X718" s="450"/>
      <c r="Y718" s="66"/>
      <c r="Z718" s="66"/>
      <c r="AA718" s="66"/>
      <c r="AB718" s="66"/>
      <c r="AC718" s="66"/>
    </row>
    <row r="719" spans="1:29" ht="21" thickBot="1" x14ac:dyDescent="0.35">
      <c r="A719" s="314" t="s">
        <v>123</v>
      </c>
      <c r="B719" s="450"/>
      <c r="C719" s="450"/>
      <c r="D719" s="450"/>
      <c r="E719" s="450"/>
      <c r="F719" s="450" t="s">
        <v>34</v>
      </c>
      <c r="G719" s="450"/>
      <c r="H719" s="450"/>
      <c r="I719" s="450" t="s">
        <v>102</v>
      </c>
      <c r="J719" s="450"/>
      <c r="K719" s="450"/>
      <c r="L719" s="450"/>
      <c r="M719" s="450"/>
      <c r="N719" s="450" t="s">
        <v>36</v>
      </c>
      <c r="O719" s="450"/>
      <c r="P719" s="450"/>
      <c r="Q719" s="450"/>
      <c r="R719" s="450"/>
      <c r="S719" s="450"/>
      <c r="T719" s="450"/>
      <c r="U719" s="450"/>
      <c r="V719" s="450"/>
      <c r="W719" s="450"/>
      <c r="X719" s="450"/>
      <c r="Y719" s="66"/>
      <c r="Z719" s="66"/>
      <c r="AA719" s="66"/>
      <c r="AB719" s="66"/>
      <c r="AC719" s="66"/>
    </row>
    <row r="720" spans="1:29" ht="16.5" thickBot="1" x14ac:dyDescent="0.3">
      <c r="A720" s="451" t="s">
        <v>2</v>
      </c>
      <c r="B720" s="953" t="s">
        <v>3</v>
      </c>
      <c r="C720" s="954"/>
      <c r="D720" s="955"/>
      <c r="E720" s="950" t="s">
        <v>4</v>
      </c>
      <c r="F720" s="951"/>
      <c r="G720" s="952"/>
      <c r="H720" s="950" t="s">
        <v>5</v>
      </c>
      <c r="I720" s="951"/>
      <c r="J720" s="952"/>
      <c r="K720" s="950" t="s">
        <v>6</v>
      </c>
      <c r="L720" s="951"/>
      <c r="M720" s="952"/>
      <c r="N720" s="950" t="s">
        <v>7</v>
      </c>
      <c r="O720" s="951"/>
      <c r="P720" s="952"/>
      <c r="Q720" s="950" t="s">
        <v>8</v>
      </c>
      <c r="R720" s="951"/>
      <c r="S720" s="952"/>
      <c r="T720" s="950" t="s">
        <v>9</v>
      </c>
      <c r="U720" s="951"/>
      <c r="V720" s="952"/>
      <c r="W720" s="950" t="s">
        <v>10</v>
      </c>
      <c r="X720" s="952"/>
      <c r="Y720" s="66"/>
      <c r="Z720" s="66"/>
      <c r="AA720" s="66"/>
      <c r="AB720" s="66"/>
      <c r="AC720" s="66"/>
    </row>
    <row r="721" spans="1:46" x14ac:dyDescent="0.25">
      <c r="A721" s="452" t="s">
        <v>131</v>
      </c>
      <c r="B721" s="453" t="s">
        <v>12</v>
      </c>
      <c r="C721" s="454" t="s">
        <v>13</v>
      </c>
      <c r="D721" s="455" t="s">
        <v>14</v>
      </c>
      <c r="E721" s="453" t="s">
        <v>12</v>
      </c>
      <c r="F721" s="454" t="s">
        <v>13</v>
      </c>
      <c r="G721" s="455" t="s">
        <v>14</v>
      </c>
      <c r="H721" s="453" t="s">
        <v>12</v>
      </c>
      <c r="I721" s="454" t="s">
        <v>13</v>
      </c>
      <c r="J721" s="455" t="s">
        <v>14</v>
      </c>
      <c r="K721" s="453" t="s">
        <v>12</v>
      </c>
      <c r="L721" s="454" t="s">
        <v>13</v>
      </c>
      <c r="M721" s="455" t="s">
        <v>14</v>
      </c>
      <c r="N721" s="453" t="s">
        <v>12</v>
      </c>
      <c r="O721" s="454" t="s">
        <v>13</v>
      </c>
      <c r="P721" s="455" t="s">
        <v>14</v>
      </c>
      <c r="Q721" s="453" t="s">
        <v>12</v>
      </c>
      <c r="R721" s="454" t="s">
        <v>13</v>
      </c>
      <c r="S721" s="455" t="s">
        <v>14</v>
      </c>
      <c r="T721" s="453" t="s">
        <v>12</v>
      </c>
      <c r="U721" s="454" t="s">
        <v>13</v>
      </c>
      <c r="V721" s="455" t="s">
        <v>14</v>
      </c>
      <c r="W721" s="453" t="s">
        <v>12</v>
      </c>
      <c r="X721" s="455" t="s">
        <v>14</v>
      </c>
      <c r="Y721" s="66"/>
      <c r="Z721" s="66"/>
      <c r="AA721" s="66"/>
      <c r="AB721" s="66"/>
      <c r="AC721" s="66"/>
    </row>
    <row r="722" spans="1:46" x14ac:dyDescent="0.25">
      <c r="A722" s="456" t="s">
        <v>15</v>
      </c>
      <c r="B722" s="457">
        <v>101897</v>
      </c>
      <c r="C722" s="458">
        <v>208.90286269468189</v>
      </c>
      <c r="D722" s="459">
        <v>21286.575000000001</v>
      </c>
      <c r="E722" s="457">
        <v>45207</v>
      </c>
      <c r="F722" s="458">
        <v>361.49934744619196</v>
      </c>
      <c r="G722" s="459">
        <v>16342.300999999999</v>
      </c>
      <c r="H722" s="457">
        <v>0</v>
      </c>
      <c r="I722" s="458"/>
      <c r="J722" s="459">
        <v>0</v>
      </c>
      <c r="K722" s="457">
        <v>2</v>
      </c>
      <c r="L722" s="460">
        <v>1215</v>
      </c>
      <c r="M722" s="459">
        <v>2.4300000000000002</v>
      </c>
      <c r="N722" s="457">
        <v>38790</v>
      </c>
      <c r="O722" s="460">
        <v>375</v>
      </c>
      <c r="P722" s="459">
        <v>14546.25</v>
      </c>
      <c r="Q722" s="461"/>
      <c r="R722" s="462"/>
      <c r="S722" s="463"/>
      <c r="T722" s="461"/>
      <c r="U722" s="462"/>
      <c r="V722" s="463"/>
      <c r="W722" s="464">
        <f>N722+K722+H722+E722+B722</f>
        <v>185896</v>
      </c>
      <c r="X722" s="465">
        <f>D722+G722+J722+M722+P722+S722+V722</f>
        <v>52177.556000000004</v>
      </c>
      <c r="Y722" s="66"/>
      <c r="Z722" s="66"/>
      <c r="AA722" s="66"/>
      <c r="AB722" s="66"/>
      <c r="AC722" s="66"/>
    </row>
    <row r="723" spans="1:46" x14ac:dyDescent="0.25">
      <c r="A723" s="456" t="s">
        <v>132</v>
      </c>
      <c r="B723" s="457">
        <v>24155</v>
      </c>
      <c r="C723" s="458">
        <v>300</v>
      </c>
      <c r="D723" s="459">
        <v>7246.5</v>
      </c>
      <c r="E723" s="457">
        <v>48</v>
      </c>
      <c r="F723" s="458">
        <v>600</v>
      </c>
      <c r="G723" s="459">
        <v>28.8</v>
      </c>
      <c r="H723" s="457">
        <v>1312</v>
      </c>
      <c r="I723" s="458">
        <v>500</v>
      </c>
      <c r="J723" s="459">
        <v>656</v>
      </c>
      <c r="K723" s="457">
        <v>0</v>
      </c>
      <c r="L723" s="458">
        <v>0</v>
      </c>
      <c r="M723" s="459">
        <v>0</v>
      </c>
      <c r="N723" s="457">
        <v>0</v>
      </c>
      <c r="O723" s="458">
        <v>0</v>
      </c>
      <c r="P723" s="459">
        <v>0</v>
      </c>
      <c r="Q723" s="461"/>
      <c r="R723" s="462"/>
      <c r="S723" s="463"/>
      <c r="T723" s="461"/>
      <c r="U723" s="462"/>
      <c r="V723" s="463"/>
      <c r="W723" s="464">
        <f t="shared" ref="W723:W740" si="99">N723+K723+H723+E723+B723</f>
        <v>25515</v>
      </c>
      <c r="X723" s="465">
        <f t="shared" ref="X723:X741" si="100">D723+G723+J723+M723+P723+S723+V723</f>
        <v>7931.3</v>
      </c>
      <c r="Y723" s="66"/>
      <c r="Z723" s="66"/>
      <c r="AA723" s="66"/>
      <c r="AB723" s="66"/>
      <c r="AC723" s="66"/>
    </row>
    <row r="724" spans="1:46" x14ac:dyDescent="0.25">
      <c r="A724" s="456" t="s">
        <v>103</v>
      </c>
      <c r="B724" s="457">
        <v>94441</v>
      </c>
      <c r="C724" s="458">
        <v>538.04915238085164</v>
      </c>
      <c r="D724" s="459">
        <v>50813.9</v>
      </c>
      <c r="E724" s="457">
        <v>125673</v>
      </c>
      <c r="F724" s="458">
        <v>862.52219649407584</v>
      </c>
      <c r="G724" s="459">
        <v>108395.75199999999</v>
      </c>
      <c r="H724" s="457">
        <v>37187</v>
      </c>
      <c r="I724" s="460">
        <v>858.43977734154407</v>
      </c>
      <c r="J724" s="459">
        <v>31922.799999999999</v>
      </c>
      <c r="K724" s="457">
        <v>2332</v>
      </c>
      <c r="L724" s="460">
        <v>2555</v>
      </c>
      <c r="M724" s="459">
        <v>5958.26</v>
      </c>
      <c r="N724" s="457">
        <v>18191</v>
      </c>
      <c r="O724" s="460">
        <v>926.86218459677866</v>
      </c>
      <c r="P724" s="459">
        <v>16860.55</v>
      </c>
      <c r="Q724" s="464"/>
      <c r="R724" s="462"/>
      <c r="S724" s="463"/>
      <c r="T724" s="461"/>
      <c r="U724" s="462"/>
      <c r="V724" s="463"/>
      <c r="W724" s="464">
        <f t="shared" si="99"/>
        <v>277824</v>
      </c>
      <c r="X724" s="465">
        <f t="shared" si="100"/>
        <v>213951.26199999999</v>
      </c>
      <c r="Y724" s="66"/>
      <c r="Z724" s="66"/>
      <c r="AA724" s="66"/>
      <c r="AB724" s="66"/>
      <c r="AC724" s="66"/>
    </row>
    <row r="725" spans="1:46" x14ac:dyDescent="0.25">
      <c r="A725" s="456" t="s">
        <v>20</v>
      </c>
      <c r="B725" s="457">
        <v>36191</v>
      </c>
      <c r="C725" s="458">
        <v>364.72051062418836</v>
      </c>
      <c r="D725" s="459">
        <v>13199.6</v>
      </c>
      <c r="E725" s="457">
        <v>37096</v>
      </c>
      <c r="F725" s="458">
        <v>500</v>
      </c>
      <c r="G725" s="459">
        <v>18548</v>
      </c>
      <c r="H725" s="457">
        <v>1519</v>
      </c>
      <c r="I725" s="460">
        <v>582.81764318630678</v>
      </c>
      <c r="J725" s="459">
        <v>885.3</v>
      </c>
      <c r="K725" s="457">
        <v>378</v>
      </c>
      <c r="L725" s="460">
        <v>1011.1111111111113</v>
      </c>
      <c r="M725" s="459">
        <v>382.20000000000005</v>
      </c>
      <c r="N725" s="457">
        <v>16763</v>
      </c>
      <c r="O725" s="460">
        <v>555.49126051422786</v>
      </c>
      <c r="P725" s="459">
        <v>9311.7000000000007</v>
      </c>
      <c r="Q725" s="461"/>
      <c r="R725" s="462"/>
      <c r="S725" s="463"/>
      <c r="T725" s="461"/>
      <c r="U725" s="462"/>
      <c r="V725" s="463"/>
      <c r="W725" s="464">
        <f t="shared" si="99"/>
        <v>91947</v>
      </c>
      <c r="X725" s="465">
        <f t="shared" si="100"/>
        <v>42326.8</v>
      </c>
      <c r="Y725" s="66"/>
      <c r="Z725" s="66"/>
      <c r="AA725" s="66"/>
      <c r="AB725" s="66"/>
      <c r="AC725" s="66"/>
    </row>
    <row r="726" spans="1:46" x14ac:dyDescent="0.25">
      <c r="A726" s="456" t="s">
        <v>133</v>
      </c>
      <c r="B726" s="457">
        <v>31415</v>
      </c>
      <c r="C726" s="458">
        <v>366.60512494031514</v>
      </c>
      <c r="D726" s="459">
        <v>11516.9</v>
      </c>
      <c r="E726" s="457">
        <v>76842</v>
      </c>
      <c r="F726" s="458">
        <v>820.92996017802761</v>
      </c>
      <c r="G726" s="459">
        <v>63081.9</v>
      </c>
      <c r="H726" s="457">
        <v>18856</v>
      </c>
      <c r="I726" s="460">
        <v>1265.3691132795925</v>
      </c>
      <c r="J726" s="459">
        <v>23859.8</v>
      </c>
      <c r="K726" s="457">
        <v>493</v>
      </c>
      <c r="L726" s="460">
        <v>4117</v>
      </c>
      <c r="M726" s="459">
        <v>2029.681</v>
      </c>
      <c r="N726" s="457">
        <v>3705</v>
      </c>
      <c r="O726" s="460">
        <v>651.41700404858307</v>
      </c>
      <c r="P726" s="459">
        <v>2413.5</v>
      </c>
      <c r="Q726" s="461"/>
      <c r="R726" s="462"/>
      <c r="S726" s="463"/>
      <c r="T726" s="461"/>
      <c r="U726" s="462"/>
      <c r="V726" s="463"/>
      <c r="W726" s="464">
        <f t="shared" si="99"/>
        <v>131311</v>
      </c>
      <c r="X726" s="465">
        <f t="shared" si="100"/>
        <v>102901.781</v>
      </c>
      <c r="Y726" s="66"/>
      <c r="Z726" s="66"/>
      <c r="AA726" s="66"/>
      <c r="AB726" s="66"/>
      <c r="AC726" s="66"/>
    </row>
    <row r="727" spans="1:46" x14ac:dyDescent="0.25">
      <c r="A727" s="456" t="s">
        <v>21</v>
      </c>
      <c r="B727" s="457">
        <v>8959</v>
      </c>
      <c r="C727" s="458">
        <v>87</v>
      </c>
      <c r="D727" s="459">
        <v>779.43299999999999</v>
      </c>
      <c r="E727" s="457">
        <v>0</v>
      </c>
      <c r="F727" s="458">
        <v>0</v>
      </c>
      <c r="G727" s="459">
        <v>0</v>
      </c>
      <c r="H727" s="457">
        <v>1568</v>
      </c>
      <c r="I727" s="458">
        <v>170</v>
      </c>
      <c r="J727" s="459">
        <v>266.56</v>
      </c>
      <c r="K727" s="457">
        <v>0</v>
      </c>
      <c r="L727" s="458">
        <v>0</v>
      </c>
      <c r="M727" s="459">
        <v>0</v>
      </c>
      <c r="N727" s="457">
        <v>0</v>
      </c>
      <c r="O727" s="458">
        <v>0</v>
      </c>
      <c r="P727" s="459">
        <v>0</v>
      </c>
      <c r="Q727" s="461"/>
      <c r="R727" s="462"/>
      <c r="S727" s="463"/>
      <c r="T727" s="461"/>
      <c r="U727" s="462"/>
      <c r="V727" s="463"/>
      <c r="W727" s="464">
        <f t="shared" si="99"/>
        <v>10527</v>
      </c>
      <c r="X727" s="465">
        <f t="shared" si="100"/>
        <v>1045.9929999999999</v>
      </c>
      <c r="Y727" s="66"/>
      <c r="Z727" s="66"/>
      <c r="AA727" s="66"/>
      <c r="AB727" s="66"/>
      <c r="AC727" s="66"/>
    </row>
    <row r="728" spans="1:46" x14ac:dyDescent="0.25">
      <c r="A728" s="456" t="s">
        <v>22</v>
      </c>
      <c r="B728" s="457">
        <v>15137</v>
      </c>
      <c r="C728" s="458">
        <v>500</v>
      </c>
      <c r="D728" s="459">
        <f>(C728*B728)/1000</f>
        <v>7568.5</v>
      </c>
      <c r="E728" s="457">
        <v>166</v>
      </c>
      <c r="F728" s="458">
        <v>699</v>
      </c>
      <c r="G728" s="459">
        <v>116</v>
      </c>
      <c r="H728" s="457">
        <v>25858</v>
      </c>
      <c r="I728" s="458">
        <v>2318</v>
      </c>
      <c r="J728" s="459">
        <v>59937</v>
      </c>
      <c r="K728" s="457">
        <v>84</v>
      </c>
      <c r="L728" s="458">
        <v>1298</v>
      </c>
      <c r="M728" s="459">
        <v>109</v>
      </c>
      <c r="N728" s="457">
        <v>40</v>
      </c>
      <c r="O728" s="458">
        <v>700</v>
      </c>
      <c r="P728" s="459">
        <f>O728*N728/1000</f>
        <v>28</v>
      </c>
      <c r="Q728" s="461">
        <v>957</v>
      </c>
      <c r="R728" s="466">
        <v>1800</v>
      </c>
      <c r="S728" s="459">
        <f>R728*Q728/1000</f>
        <v>1722.6</v>
      </c>
      <c r="T728" s="461"/>
      <c r="U728" s="462"/>
      <c r="V728" s="463"/>
      <c r="W728" s="464">
        <f>N728+K728+H728+E728+B728+Q728</f>
        <v>42242</v>
      </c>
      <c r="X728" s="465">
        <f t="shared" si="100"/>
        <v>69481.100000000006</v>
      </c>
      <c r="Y728" s="66"/>
      <c r="Z728" s="66"/>
      <c r="AA728" s="66"/>
      <c r="AB728" s="66"/>
      <c r="AC728" s="66"/>
    </row>
    <row r="729" spans="1:46" s="450" customFormat="1" x14ac:dyDescent="0.25">
      <c r="A729" s="456" t="s">
        <v>23</v>
      </c>
      <c r="B729" s="457">
        <v>210380</v>
      </c>
      <c r="C729" s="458">
        <v>292</v>
      </c>
      <c r="D729" s="459">
        <v>61431</v>
      </c>
      <c r="E729" s="457">
        <v>115980</v>
      </c>
      <c r="F729" s="458">
        <v>268</v>
      </c>
      <c r="G729" s="459">
        <v>31082.639999999999</v>
      </c>
      <c r="H729" s="457">
        <v>110</v>
      </c>
      <c r="I729" s="458">
        <v>273</v>
      </c>
      <c r="J729" s="459">
        <v>30</v>
      </c>
      <c r="K729" s="457">
        <v>0</v>
      </c>
      <c r="L729" s="458">
        <v>0</v>
      </c>
      <c r="M729" s="459">
        <v>0</v>
      </c>
      <c r="N729" s="457">
        <v>0</v>
      </c>
      <c r="O729" s="458">
        <v>0</v>
      </c>
      <c r="P729" s="459">
        <v>0</v>
      </c>
      <c r="Q729" s="461"/>
      <c r="R729" s="462"/>
      <c r="S729" s="463"/>
      <c r="T729" s="461"/>
      <c r="U729" s="462"/>
      <c r="V729" s="463"/>
      <c r="W729" s="464">
        <f t="shared" si="99"/>
        <v>326470</v>
      </c>
      <c r="X729" s="465">
        <f t="shared" si="100"/>
        <v>92543.64</v>
      </c>
      <c r="Y729" s="396"/>
      <c r="Z729" s="396"/>
      <c r="AA729" s="396"/>
      <c r="AB729" s="396"/>
      <c r="AC729" s="396"/>
    </row>
    <row r="730" spans="1:46" ht="15.75" thickBot="1" x14ac:dyDescent="0.3">
      <c r="A730" s="456" t="s">
        <v>24</v>
      </c>
      <c r="B730" s="457">
        <v>7773</v>
      </c>
      <c r="C730" s="458">
        <v>657</v>
      </c>
      <c r="D730" s="459">
        <v>5106.8609999999999</v>
      </c>
      <c r="E730" s="457">
        <v>23998</v>
      </c>
      <c r="F730" s="458">
        <v>802</v>
      </c>
      <c r="G730" s="459">
        <v>19246.396000000001</v>
      </c>
      <c r="H730" s="457">
        <v>13552</v>
      </c>
      <c r="I730" s="458">
        <v>1147</v>
      </c>
      <c r="J730" s="459">
        <v>15544.144</v>
      </c>
      <c r="K730" s="457">
        <v>3762</v>
      </c>
      <c r="L730" s="458">
        <v>3007</v>
      </c>
      <c r="M730" s="459">
        <v>11312.334000000001</v>
      </c>
      <c r="N730" s="457">
        <v>164473</v>
      </c>
      <c r="O730" s="460">
        <v>748</v>
      </c>
      <c r="P730" s="459">
        <v>123025.804</v>
      </c>
      <c r="Q730" s="461"/>
      <c r="R730" s="462"/>
      <c r="S730" s="463"/>
      <c r="T730" s="461"/>
      <c r="U730" s="462"/>
      <c r="V730" s="463"/>
      <c r="W730" s="464">
        <f t="shared" si="99"/>
        <v>213558</v>
      </c>
      <c r="X730" s="465">
        <f t="shared" si="100"/>
        <v>174235.53899999999</v>
      </c>
      <c r="Y730" s="66"/>
      <c r="Z730" s="66"/>
      <c r="AA730" s="66"/>
      <c r="AB730" s="66"/>
      <c r="AC730" s="66"/>
    </row>
    <row r="731" spans="1:46" ht="16.5" thickBot="1" x14ac:dyDescent="0.3">
      <c r="A731" s="456" t="s">
        <v>134</v>
      </c>
      <c r="B731" s="457">
        <v>87836</v>
      </c>
      <c r="C731" s="458">
        <v>245.62821622113938</v>
      </c>
      <c r="D731" s="467">
        <v>21575</v>
      </c>
      <c r="E731" s="457">
        <v>148948</v>
      </c>
      <c r="F731" s="458">
        <v>298.28530762413732</v>
      </c>
      <c r="G731" s="459">
        <v>44429</v>
      </c>
      <c r="H731" s="457">
        <v>52604</v>
      </c>
      <c r="I731" s="460">
        <v>1293.5328111930651</v>
      </c>
      <c r="J731" s="459">
        <v>68045</v>
      </c>
      <c r="K731" s="457">
        <v>279</v>
      </c>
      <c r="L731" s="460">
        <v>716.84587813620067</v>
      </c>
      <c r="M731" s="459">
        <v>200</v>
      </c>
      <c r="N731" s="457">
        <v>0</v>
      </c>
      <c r="O731" s="458"/>
      <c r="P731" s="459"/>
      <c r="Q731" s="461"/>
      <c r="R731" s="462"/>
      <c r="S731" s="463"/>
      <c r="T731" s="461"/>
      <c r="U731" s="462"/>
      <c r="V731" s="463"/>
      <c r="W731" s="464">
        <f t="shared" si="99"/>
        <v>289667</v>
      </c>
      <c r="X731" s="465">
        <f t="shared" si="100"/>
        <v>134249</v>
      </c>
      <c r="Y731" s="66"/>
      <c r="Z731" s="451" t="s">
        <v>2</v>
      </c>
      <c r="AA731" s="953" t="s">
        <v>3</v>
      </c>
      <c r="AB731" s="954"/>
      <c r="AC731" s="955"/>
      <c r="AD731" s="950" t="s">
        <v>4</v>
      </c>
      <c r="AE731" s="951"/>
      <c r="AF731" s="952"/>
      <c r="AG731" s="950" t="s">
        <v>5</v>
      </c>
      <c r="AH731" s="951"/>
      <c r="AI731" s="952"/>
      <c r="AJ731" s="950" t="s">
        <v>6</v>
      </c>
      <c r="AK731" s="951"/>
      <c r="AL731" s="952"/>
      <c r="AM731" s="950" t="s">
        <v>7</v>
      </c>
      <c r="AN731" s="951"/>
      <c r="AO731" s="952"/>
      <c r="AP731" s="950" t="s">
        <v>8</v>
      </c>
      <c r="AQ731" s="951"/>
      <c r="AR731" s="952"/>
      <c r="AS731" s="950" t="s">
        <v>10</v>
      </c>
      <c r="AT731" s="952"/>
    </row>
    <row r="732" spans="1:46" ht="15.75" thickBot="1" x14ac:dyDescent="0.3">
      <c r="A732" s="468" t="s">
        <v>161</v>
      </c>
      <c r="B732" s="469">
        <v>134052</v>
      </c>
      <c r="C732" s="470">
        <v>230.38219496911645</v>
      </c>
      <c r="D732" s="471">
        <v>30883.194</v>
      </c>
      <c r="E732" s="469">
        <v>35468</v>
      </c>
      <c r="F732" s="470">
        <v>352.83241231532645</v>
      </c>
      <c r="G732" s="471">
        <v>12514.26</v>
      </c>
      <c r="H732" s="469"/>
      <c r="I732" s="472"/>
      <c r="J732" s="471"/>
      <c r="K732" s="469">
        <v>0</v>
      </c>
      <c r="L732" s="473"/>
      <c r="M732" s="471">
        <v>0</v>
      </c>
      <c r="N732" s="469">
        <v>0</v>
      </c>
      <c r="O732" s="473"/>
      <c r="P732" s="471">
        <v>0</v>
      </c>
      <c r="Q732" s="474"/>
      <c r="R732" s="475"/>
      <c r="S732" s="476"/>
      <c r="T732" s="474"/>
      <c r="U732" s="475"/>
      <c r="V732" s="476"/>
      <c r="W732" s="477">
        <f t="shared" si="99"/>
        <v>169520</v>
      </c>
      <c r="X732" s="478">
        <f t="shared" si="100"/>
        <v>43397.453999999998</v>
      </c>
      <c r="Y732" s="66"/>
      <c r="Z732" s="452" t="s">
        <v>131</v>
      </c>
      <c r="AA732" s="453" t="s">
        <v>12</v>
      </c>
      <c r="AB732" s="454" t="s">
        <v>13</v>
      </c>
      <c r="AC732" s="455" t="s">
        <v>14</v>
      </c>
      <c r="AD732" s="453" t="s">
        <v>12</v>
      </c>
      <c r="AE732" s="454" t="s">
        <v>13</v>
      </c>
      <c r="AF732" s="455" t="s">
        <v>14</v>
      </c>
      <c r="AG732" s="453" t="s">
        <v>12</v>
      </c>
      <c r="AH732" s="454" t="s">
        <v>13</v>
      </c>
      <c r="AI732" s="455" t="s">
        <v>14</v>
      </c>
      <c r="AJ732" s="453" t="s">
        <v>12</v>
      </c>
      <c r="AK732" s="454" t="s">
        <v>13</v>
      </c>
      <c r="AL732" s="455" t="s">
        <v>14</v>
      </c>
      <c r="AM732" s="453" t="s">
        <v>12</v>
      </c>
      <c r="AN732" s="454" t="s">
        <v>13</v>
      </c>
      <c r="AO732" s="455" t="s">
        <v>14</v>
      </c>
      <c r="AP732" s="453" t="s">
        <v>12</v>
      </c>
      <c r="AQ732" s="454" t="s">
        <v>13</v>
      </c>
      <c r="AR732" s="455" t="s">
        <v>14</v>
      </c>
      <c r="AS732" s="453" t="s">
        <v>12</v>
      </c>
      <c r="AT732" s="455" t="s">
        <v>14</v>
      </c>
    </row>
    <row r="733" spans="1:46" ht="15.75" thickBot="1" x14ac:dyDescent="0.3">
      <c r="A733" s="479" t="s">
        <v>85</v>
      </c>
      <c r="B733" s="480">
        <f>SUM(B722:B732)</f>
        <v>752236</v>
      </c>
      <c r="C733" s="481"/>
      <c r="D733" s="482">
        <f t="shared" ref="D733:P733" si="101">SUM(D722:D732)</f>
        <v>231407.46299999999</v>
      </c>
      <c r="E733" s="480">
        <f t="shared" si="101"/>
        <v>609426</v>
      </c>
      <c r="F733" s="483"/>
      <c r="G733" s="482">
        <f t="shared" si="101"/>
        <v>313785.049</v>
      </c>
      <c r="H733" s="480">
        <f t="shared" si="101"/>
        <v>152566</v>
      </c>
      <c r="I733" s="483"/>
      <c r="J733" s="482">
        <f t="shared" si="101"/>
        <v>201146.60399999999</v>
      </c>
      <c r="K733" s="480">
        <f t="shared" si="101"/>
        <v>7330</v>
      </c>
      <c r="L733" s="483"/>
      <c r="M733" s="482">
        <f t="shared" si="101"/>
        <v>19993.904999999999</v>
      </c>
      <c r="N733" s="480">
        <f t="shared" si="101"/>
        <v>241962</v>
      </c>
      <c r="O733" s="483"/>
      <c r="P733" s="482">
        <f t="shared" si="101"/>
        <v>166185.804</v>
      </c>
      <c r="Q733" s="484">
        <v>957</v>
      </c>
      <c r="R733" s="485"/>
      <c r="S733" s="486">
        <v>1722.6</v>
      </c>
      <c r="T733" s="484"/>
      <c r="U733" s="485"/>
      <c r="V733" s="487"/>
      <c r="W733" s="488">
        <f>N733+K733+H733+E733+B733+Q733</f>
        <v>1764477</v>
      </c>
      <c r="X733" s="486">
        <f t="shared" si="100"/>
        <v>934241.42499999993</v>
      </c>
      <c r="Y733" s="66"/>
      <c r="Z733" s="214" t="s">
        <v>85</v>
      </c>
      <c r="AA733" s="214">
        <v>752236</v>
      </c>
      <c r="AB733" s="214"/>
      <c r="AC733" s="214">
        <v>231407.46299999999</v>
      </c>
      <c r="AD733" s="307">
        <v>609426</v>
      </c>
      <c r="AE733" s="307"/>
      <c r="AF733" s="307">
        <v>313785.049</v>
      </c>
      <c r="AG733" s="307">
        <v>152566</v>
      </c>
      <c r="AH733" s="307"/>
      <c r="AI733" s="307">
        <v>201146.60399999999</v>
      </c>
      <c r="AJ733" s="307">
        <v>7330</v>
      </c>
      <c r="AK733" s="307"/>
      <c r="AL733" s="307">
        <v>19993.904999999999</v>
      </c>
      <c r="AM733" s="307">
        <v>241962</v>
      </c>
      <c r="AN733" s="307"/>
      <c r="AO733" s="307">
        <v>166185.804</v>
      </c>
      <c r="AP733" s="307">
        <v>957</v>
      </c>
      <c r="AQ733" s="307"/>
      <c r="AR733" s="307">
        <v>1722.6</v>
      </c>
      <c r="AS733" s="307">
        <v>1764477</v>
      </c>
      <c r="AT733" s="307">
        <v>934241.42499999993</v>
      </c>
    </row>
    <row r="734" spans="1:46" x14ac:dyDescent="0.25">
      <c r="A734" s="452" t="s">
        <v>135</v>
      </c>
      <c r="B734" s="489">
        <v>39003</v>
      </c>
      <c r="C734" s="460">
        <v>577.95554188139374</v>
      </c>
      <c r="D734" s="490">
        <v>22542</v>
      </c>
      <c r="E734" s="489">
        <v>94428</v>
      </c>
      <c r="F734" s="460">
        <v>712.92413267251243</v>
      </c>
      <c r="G734" s="490">
        <v>67320</v>
      </c>
      <c r="H734" s="489">
        <v>6730</v>
      </c>
      <c r="I734" s="460">
        <v>880.98068350668643</v>
      </c>
      <c r="J734" s="490">
        <v>5929</v>
      </c>
      <c r="K734" s="489">
        <v>5873</v>
      </c>
      <c r="L734" s="460">
        <v>1219.3087008343266</v>
      </c>
      <c r="M734" s="490">
        <v>7161</v>
      </c>
      <c r="N734" s="489">
        <v>0</v>
      </c>
      <c r="O734" s="491"/>
      <c r="P734" s="490">
        <v>0</v>
      </c>
      <c r="Q734" s="492"/>
      <c r="R734" s="493"/>
      <c r="S734" s="494"/>
      <c r="T734" s="492"/>
      <c r="U734" s="493"/>
      <c r="V734" s="494"/>
      <c r="W734" s="495">
        <f t="shared" si="99"/>
        <v>146034</v>
      </c>
      <c r="X734" s="496">
        <f t="shared" si="100"/>
        <v>102952</v>
      </c>
      <c r="Y734" s="66"/>
      <c r="Z734" s="214" t="s">
        <v>173</v>
      </c>
      <c r="AA734" s="214">
        <v>1151292</v>
      </c>
      <c r="AB734" s="214"/>
      <c r="AC734" s="214">
        <v>732110.29238155345</v>
      </c>
      <c r="AD734" s="307">
        <v>735504</v>
      </c>
      <c r="AE734" s="307"/>
      <c r="AF734" s="307">
        <v>835075.08279999997</v>
      </c>
      <c r="AG734" s="307">
        <v>238139</v>
      </c>
      <c r="AH734" s="307"/>
      <c r="AI734" s="307">
        <v>372140</v>
      </c>
      <c r="AJ734" s="307">
        <v>11439</v>
      </c>
      <c r="AK734" s="307"/>
      <c r="AL734" s="307">
        <v>27255.730000000003</v>
      </c>
      <c r="AM734" s="307">
        <v>334169</v>
      </c>
      <c r="AN734" s="307"/>
      <c r="AO734" s="307">
        <v>444461.87400000001</v>
      </c>
      <c r="AP734" s="307">
        <v>3500</v>
      </c>
      <c r="AQ734" s="307"/>
      <c r="AR734" s="307">
        <v>8750</v>
      </c>
      <c r="AS734" s="307"/>
      <c r="AT734" s="307"/>
    </row>
    <row r="735" spans="1:46" x14ac:dyDescent="0.25">
      <c r="A735" s="456" t="s">
        <v>136</v>
      </c>
      <c r="B735" s="457">
        <v>19621</v>
      </c>
      <c r="C735" s="458">
        <v>622.10702818408845</v>
      </c>
      <c r="D735" s="459">
        <v>12206.362000000001</v>
      </c>
      <c r="E735" s="457">
        <v>57015</v>
      </c>
      <c r="F735" s="458">
        <v>936.73468385512581</v>
      </c>
      <c r="G735" s="459">
        <v>53407.928</v>
      </c>
      <c r="H735" s="457">
        <v>9391</v>
      </c>
      <c r="I735" s="458">
        <v>1097.6034501118093</v>
      </c>
      <c r="J735" s="459">
        <v>10307.594000000001</v>
      </c>
      <c r="K735" s="457">
        <v>36939</v>
      </c>
      <c r="L735" s="460">
        <v>1772.1350875768157</v>
      </c>
      <c r="M735" s="459">
        <v>65460.898000000001</v>
      </c>
      <c r="N735" s="457">
        <v>48248</v>
      </c>
      <c r="O735" s="460">
        <v>622.43914773669371</v>
      </c>
      <c r="P735" s="459">
        <v>30031.444</v>
      </c>
      <c r="Q735" s="461"/>
      <c r="R735" s="462"/>
      <c r="S735" s="463"/>
      <c r="T735" s="461"/>
      <c r="U735" s="462"/>
      <c r="V735" s="463"/>
      <c r="W735" s="464">
        <f t="shared" si="99"/>
        <v>171214</v>
      </c>
      <c r="X735" s="465">
        <f t="shared" si="100"/>
        <v>171414.226</v>
      </c>
      <c r="Y735" s="66"/>
      <c r="Z735" s="214" t="s">
        <v>85</v>
      </c>
      <c r="AA735" s="214">
        <v>846968</v>
      </c>
      <c r="AB735" s="214"/>
      <c r="AC735" s="214">
        <v>429688.52178655466</v>
      </c>
      <c r="AD735" s="307">
        <v>679897.3</v>
      </c>
      <c r="AE735" s="307"/>
      <c r="AF735" s="307">
        <v>467242.76299999998</v>
      </c>
      <c r="AG735" s="307">
        <v>211936.95</v>
      </c>
      <c r="AH735" s="307"/>
      <c r="AI735" s="307">
        <v>275740.25732592598</v>
      </c>
      <c r="AJ735" s="307">
        <v>12575.5</v>
      </c>
      <c r="AK735" s="307"/>
      <c r="AL735" s="307">
        <v>32181.145999999997</v>
      </c>
      <c r="AM735" s="307">
        <v>384152.33333333331</v>
      </c>
      <c r="AN735" s="307"/>
      <c r="AO735" s="307">
        <v>388047.94400000002</v>
      </c>
      <c r="AP735" s="307">
        <v>665.4</v>
      </c>
      <c r="AQ735" s="307"/>
      <c r="AR735" s="307">
        <v>1756.6559999999999</v>
      </c>
      <c r="AS735" s="307">
        <v>2136195.4833333334</v>
      </c>
      <c r="AT735" s="307">
        <v>1594657.2881124809</v>
      </c>
    </row>
    <row r="736" spans="1:46" x14ac:dyDescent="0.25">
      <c r="A736" s="456" t="s">
        <v>137</v>
      </c>
      <c r="B736" s="457">
        <v>11970</v>
      </c>
      <c r="C736" s="458">
        <v>627.75338345864657</v>
      </c>
      <c r="D736" s="459">
        <v>7514.2079999999996</v>
      </c>
      <c r="E736" s="457">
        <v>62759</v>
      </c>
      <c r="F736" s="458">
        <v>909.11853280007642</v>
      </c>
      <c r="G736" s="459">
        <v>57055.369999999995</v>
      </c>
      <c r="H736" s="457">
        <v>35775</v>
      </c>
      <c r="I736" s="460">
        <v>1429.9787561146052</v>
      </c>
      <c r="J736" s="459">
        <v>51157.49</v>
      </c>
      <c r="K736" s="457">
        <v>12790</v>
      </c>
      <c r="L736" s="460">
        <v>1044.175136825645</v>
      </c>
      <c r="M736" s="459">
        <v>13355</v>
      </c>
      <c r="N736" s="457">
        <v>9540</v>
      </c>
      <c r="O736" s="460">
        <v>763.3123689727463</v>
      </c>
      <c r="P736" s="459">
        <v>7282</v>
      </c>
      <c r="Q736" s="461"/>
      <c r="R736" s="462"/>
      <c r="S736" s="463"/>
      <c r="T736" s="461"/>
      <c r="U736" s="462"/>
      <c r="V736" s="463"/>
      <c r="W736" s="464">
        <f t="shared" si="99"/>
        <v>132834</v>
      </c>
      <c r="X736" s="465">
        <f t="shared" si="100"/>
        <v>136364.068</v>
      </c>
      <c r="Y736" s="66"/>
      <c r="Z736" s="214" t="s">
        <v>173</v>
      </c>
      <c r="AA736" s="214">
        <v>947043</v>
      </c>
      <c r="AB736" s="214"/>
      <c r="AC736" s="214">
        <v>589332.777</v>
      </c>
      <c r="AD736" s="307">
        <v>662793</v>
      </c>
      <c r="AE736" s="307"/>
      <c r="AF736" s="307">
        <v>527114.924</v>
      </c>
      <c r="AG736" s="307">
        <v>179677</v>
      </c>
      <c r="AH736" s="307"/>
      <c r="AI736" s="307">
        <v>211415.533</v>
      </c>
      <c r="AJ736" s="307">
        <v>20172</v>
      </c>
      <c r="AK736" s="307"/>
      <c r="AL736" s="307">
        <v>36111.478999999999</v>
      </c>
      <c r="AM736" s="307">
        <v>443506</v>
      </c>
      <c r="AN736" s="307"/>
      <c r="AO736" s="307">
        <v>425773.50099999999</v>
      </c>
      <c r="AP736" s="307">
        <v>622.02</v>
      </c>
      <c r="AQ736" s="307"/>
      <c r="AR736" s="307">
        <v>808.62599999999998</v>
      </c>
      <c r="AS736" s="307">
        <v>2253813.02</v>
      </c>
      <c r="AT736" s="307">
        <v>1790556.84</v>
      </c>
    </row>
    <row r="737" spans="1:49" x14ac:dyDescent="0.25">
      <c r="A737" s="456" t="s">
        <v>73</v>
      </c>
      <c r="B737" s="457">
        <v>20368</v>
      </c>
      <c r="C737" s="458">
        <v>640.56362922230949</v>
      </c>
      <c r="D737" s="459">
        <v>13047</v>
      </c>
      <c r="E737" s="457">
        <v>46939</v>
      </c>
      <c r="F737" s="458">
        <v>738.80994482200299</v>
      </c>
      <c r="G737" s="459">
        <v>34679</v>
      </c>
      <c r="H737" s="457">
        <v>6238</v>
      </c>
      <c r="I737" s="458">
        <v>791.76017954472593</v>
      </c>
      <c r="J737" s="459">
        <v>4939</v>
      </c>
      <c r="K737" s="457">
        <v>1725</v>
      </c>
      <c r="L737" s="460">
        <v>1432.463768115942</v>
      </c>
      <c r="M737" s="459">
        <v>2471</v>
      </c>
      <c r="N737" s="457">
        <v>4875</v>
      </c>
      <c r="O737" s="460">
        <v>600</v>
      </c>
      <c r="P737" s="459">
        <v>2925</v>
      </c>
      <c r="Q737" s="461"/>
      <c r="R737" s="462"/>
      <c r="S737" s="463"/>
      <c r="T737" s="461"/>
      <c r="U737" s="462"/>
      <c r="V737" s="463"/>
      <c r="W737" s="464">
        <f t="shared" si="99"/>
        <v>80145</v>
      </c>
      <c r="X737" s="465">
        <f t="shared" si="100"/>
        <v>58061</v>
      </c>
      <c r="Y737" s="66"/>
      <c r="Z737" s="214" t="s">
        <v>176</v>
      </c>
      <c r="AA737" s="214">
        <v>494586</v>
      </c>
      <c r="AB737" s="214"/>
      <c r="AC737" s="214">
        <v>442233.95999999996</v>
      </c>
      <c r="AD737" s="307">
        <v>233180</v>
      </c>
      <c r="AE737" s="307"/>
      <c r="AF737" s="307">
        <v>112020.713</v>
      </c>
      <c r="AG737" s="307">
        <v>123818</v>
      </c>
      <c r="AH737" s="307"/>
      <c r="AI737" s="307">
        <v>69088.392999999996</v>
      </c>
      <c r="AJ737" s="307">
        <v>444</v>
      </c>
      <c r="AK737" s="307"/>
      <c r="AL737" s="307">
        <v>443.55599999999998</v>
      </c>
      <c r="AM737" s="307">
        <v>3589.3</v>
      </c>
      <c r="AN737" s="307"/>
      <c r="AO737" s="307">
        <v>25928.394</v>
      </c>
      <c r="AP737" s="307">
        <v>9330</v>
      </c>
      <c r="AQ737" s="307"/>
      <c r="AR737" s="307">
        <v>142677.22829999999</v>
      </c>
      <c r="AS737" s="307">
        <v>864947.3</v>
      </c>
      <c r="AT737" s="307">
        <v>792392.24430000014</v>
      </c>
    </row>
    <row r="738" spans="1:49" x14ac:dyDescent="0.25">
      <c r="A738" s="456" t="s">
        <v>162</v>
      </c>
      <c r="B738" s="457">
        <v>22062</v>
      </c>
      <c r="C738" s="458">
        <v>518.68651980781431</v>
      </c>
      <c r="D738" s="459">
        <v>11443.261999999999</v>
      </c>
      <c r="E738" s="457">
        <v>45922</v>
      </c>
      <c r="F738" s="458">
        <v>789.49174687513607</v>
      </c>
      <c r="G738" s="459">
        <v>36255.040000000001</v>
      </c>
      <c r="H738" s="457">
        <v>13086</v>
      </c>
      <c r="I738" s="460">
        <v>793.77365123032246</v>
      </c>
      <c r="J738" s="459">
        <v>10387.322</v>
      </c>
      <c r="K738" s="457">
        <v>7843</v>
      </c>
      <c r="L738" s="460">
        <v>1277.5678949381613</v>
      </c>
      <c r="M738" s="459">
        <v>10019.964999999998</v>
      </c>
      <c r="N738" s="457"/>
      <c r="O738" s="458"/>
      <c r="P738" s="459"/>
      <c r="Q738" s="461"/>
      <c r="R738" s="462"/>
      <c r="S738" s="463"/>
      <c r="T738" s="461"/>
      <c r="U738" s="462"/>
      <c r="V738" s="463"/>
      <c r="W738" s="464">
        <f t="shared" si="99"/>
        <v>88913</v>
      </c>
      <c r="X738" s="465">
        <f t="shared" si="100"/>
        <v>68105.588999999993</v>
      </c>
      <c r="Y738" s="66"/>
      <c r="Z738" s="214" t="s">
        <v>218</v>
      </c>
      <c r="AA738" s="214">
        <f>AVERAGE(AA733:AA737)</f>
        <v>838425</v>
      </c>
      <c r="AB738" s="214"/>
      <c r="AC738" s="214">
        <f t="shared" ref="AC738:AT738" si="102">AVERAGE(AC733:AC737)</f>
        <v>484954.60283362155</v>
      </c>
      <c r="AD738" s="214">
        <f t="shared" si="102"/>
        <v>584160.05999999994</v>
      </c>
      <c r="AE738" s="214"/>
      <c r="AF738" s="214">
        <f t="shared" si="102"/>
        <v>451047.70636000001</v>
      </c>
      <c r="AG738" s="214">
        <f t="shared" si="102"/>
        <v>181227.38999999998</v>
      </c>
      <c r="AH738" s="214"/>
      <c r="AI738" s="214">
        <f t="shared" si="102"/>
        <v>225906.15746518518</v>
      </c>
      <c r="AJ738" s="214">
        <f t="shared" si="102"/>
        <v>10392.1</v>
      </c>
      <c r="AK738" s="214"/>
      <c r="AL738" s="214">
        <f t="shared" si="102"/>
        <v>23197.163200000003</v>
      </c>
      <c r="AM738" s="214">
        <f t="shared" si="102"/>
        <v>281475.72666666668</v>
      </c>
      <c r="AN738" s="214"/>
      <c r="AO738" s="214">
        <f t="shared" si="102"/>
        <v>290079.50340000005</v>
      </c>
      <c r="AP738" s="214">
        <f t="shared" si="102"/>
        <v>3014.884</v>
      </c>
      <c r="AQ738" s="214"/>
      <c r="AR738" s="214">
        <f t="shared" si="102"/>
        <v>31143.022059999999</v>
      </c>
      <c r="AS738" s="214">
        <f t="shared" si="102"/>
        <v>1754858.2008333334</v>
      </c>
      <c r="AT738" s="214">
        <f t="shared" si="102"/>
        <v>1277961.9493531203</v>
      </c>
    </row>
    <row r="739" spans="1:49" x14ac:dyDescent="0.25">
      <c r="A739" s="456" t="s">
        <v>163</v>
      </c>
      <c r="B739" s="457">
        <v>22611</v>
      </c>
      <c r="C739" s="458">
        <v>708.74985626464991</v>
      </c>
      <c r="D739" s="459">
        <v>16025.543</v>
      </c>
      <c r="E739" s="457">
        <v>67836</v>
      </c>
      <c r="F739" s="458">
        <v>848.85674273247241</v>
      </c>
      <c r="G739" s="459">
        <v>57583.046000000002</v>
      </c>
      <c r="H739" s="457">
        <v>12555</v>
      </c>
      <c r="I739" s="458">
        <v>803.09956192751895</v>
      </c>
      <c r="J739" s="459">
        <v>10082.915000000001</v>
      </c>
      <c r="K739" s="457">
        <v>11990</v>
      </c>
      <c r="L739" s="460">
        <v>1421.9576313594664</v>
      </c>
      <c r="M739" s="459">
        <v>17049.272000000001</v>
      </c>
      <c r="N739" s="457"/>
      <c r="O739" s="458"/>
      <c r="P739" s="459"/>
      <c r="Q739" s="461"/>
      <c r="R739" s="462"/>
      <c r="S739" s="463"/>
      <c r="T739" s="461"/>
      <c r="U739" s="462"/>
      <c r="V739" s="463"/>
      <c r="W739" s="464">
        <f t="shared" si="99"/>
        <v>114992</v>
      </c>
      <c r="X739" s="465">
        <f t="shared" si="100"/>
        <v>100740.77600000001</v>
      </c>
      <c r="Y739" s="66"/>
      <c r="Z739" s="214"/>
      <c r="AA739" s="214"/>
      <c r="AB739" s="214"/>
      <c r="AC739" s="214"/>
      <c r="AD739" s="307"/>
      <c r="AE739" s="307"/>
      <c r="AF739" s="307"/>
      <c r="AG739" s="307"/>
      <c r="AH739" s="307"/>
      <c r="AI739" s="307"/>
      <c r="AJ739" s="307"/>
      <c r="AK739" s="307"/>
      <c r="AL739" s="307"/>
      <c r="AM739" s="307"/>
      <c r="AN739" s="307"/>
      <c r="AO739" s="307"/>
      <c r="AP739" s="307"/>
      <c r="AQ739" s="307"/>
      <c r="AR739" s="307"/>
      <c r="AS739" s="307"/>
      <c r="AT739" s="307"/>
    </row>
    <row r="740" spans="1:49" ht="15.75" thickBot="1" x14ac:dyDescent="0.3">
      <c r="A740" s="468" t="s">
        <v>27</v>
      </c>
      <c r="B740" s="469">
        <v>30179</v>
      </c>
      <c r="C740" s="470">
        <v>488.96494250969221</v>
      </c>
      <c r="D740" s="471">
        <v>14756.473</v>
      </c>
      <c r="E740" s="469">
        <v>46849</v>
      </c>
      <c r="F740" s="470">
        <v>594.43588977352772</v>
      </c>
      <c r="G740" s="471">
        <v>27848.726999999999</v>
      </c>
      <c r="H740" s="469">
        <v>7705</v>
      </c>
      <c r="I740" s="472">
        <v>716.71512005191425</v>
      </c>
      <c r="J740" s="471">
        <v>5522.29</v>
      </c>
      <c r="K740" s="469">
        <v>36301</v>
      </c>
      <c r="L740" s="472">
        <v>1024.098124018622</v>
      </c>
      <c r="M740" s="471">
        <v>37175.786</v>
      </c>
      <c r="N740" s="469"/>
      <c r="O740" s="473"/>
      <c r="P740" s="471"/>
      <c r="Q740" s="474"/>
      <c r="R740" s="475"/>
      <c r="S740" s="476"/>
      <c r="T740" s="474"/>
      <c r="U740" s="475"/>
      <c r="V740" s="476"/>
      <c r="W740" s="477">
        <f t="shared" si="99"/>
        <v>121034</v>
      </c>
      <c r="X740" s="478">
        <f t="shared" si="100"/>
        <v>85303.275999999998</v>
      </c>
      <c r="Y740" s="66"/>
      <c r="Z740" s="66"/>
      <c r="AA740" s="66"/>
      <c r="AB740" s="66"/>
      <c r="AC740" s="66"/>
    </row>
    <row r="741" spans="1:49" ht="15.75" thickBot="1" x14ac:dyDescent="0.3">
      <c r="A741" s="497" t="s">
        <v>164</v>
      </c>
      <c r="B741" s="498">
        <f>SUM(B734:B740)</f>
        <v>165814</v>
      </c>
      <c r="C741" s="499"/>
      <c r="D741" s="500">
        <f>SUM(D734:D740)</f>
        <v>97534.847999999998</v>
      </c>
      <c r="E741" s="498">
        <f>SUM(E734:E740)</f>
        <v>421748</v>
      </c>
      <c r="F741" s="499"/>
      <c r="G741" s="500">
        <f t="shared" ref="G741:P741" si="103">SUM(G734:G740)</f>
        <v>334149.11100000003</v>
      </c>
      <c r="H741" s="498">
        <f t="shared" si="103"/>
        <v>91480</v>
      </c>
      <c r="I741" s="499"/>
      <c r="J741" s="500">
        <f t="shared" si="103"/>
        <v>98325.61099999999</v>
      </c>
      <c r="K741" s="498">
        <f t="shared" si="103"/>
        <v>113461</v>
      </c>
      <c r="L741" s="499"/>
      <c r="M741" s="500">
        <f t="shared" si="103"/>
        <v>152692.921</v>
      </c>
      <c r="N741" s="498">
        <f t="shared" si="103"/>
        <v>62663</v>
      </c>
      <c r="O741" s="499"/>
      <c r="P741" s="500">
        <f t="shared" si="103"/>
        <v>40238.444000000003</v>
      </c>
      <c r="Q741" s="501"/>
      <c r="R741" s="502"/>
      <c r="S741" s="503"/>
      <c r="T741" s="501"/>
      <c r="U741" s="502"/>
      <c r="V741" s="503"/>
      <c r="W741" s="504">
        <f>N741+K741+H741+E741+B741</f>
        <v>855166</v>
      </c>
      <c r="X741" s="505">
        <f t="shared" si="100"/>
        <v>722940.93500000006</v>
      </c>
      <c r="Y741" s="66"/>
      <c r="Z741" s="66"/>
      <c r="AA741" s="66"/>
      <c r="AB741" s="66"/>
      <c r="AC741" s="66"/>
    </row>
    <row r="742" spans="1:49" ht="16.5" thickBot="1" x14ac:dyDescent="0.3">
      <c r="A742" s="506" t="s">
        <v>32</v>
      </c>
      <c r="B742" s="507">
        <f>B733+B741</f>
        <v>918050</v>
      </c>
      <c r="C742" s="508"/>
      <c r="D742" s="509">
        <f t="shared" ref="D742:X742" si="104">D733+D741</f>
        <v>328942.31099999999</v>
      </c>
      <c r="E742" s="507">
        <f t="shared" si="104"/>
        <v>1031174</v>
      </c>
      <c r="F742" s="508"/>
      <c r="G742" s="509">
        <f t="shared" si="104"/>
        <v>647934.16</v>
      </c>
      <c r="H742" s="507">
        <f t="shared" si="104"/>
        <v>244046</v>
      </c>
      <c r="I742" s="510"/>
      <c r="J742" s="509">
        <f t="shared" si="104"/>
        <v>299472.21499999997</v>
      </c>
      <c r="K742" s="507">
        <f t="shared" si="104"/>
        <v>120791</v>
      </c>
      <c r="L742" s="510"/>
      <c r="M742" s="509">
        <f t="shared" si="104"/>
        <v>172686.826</v>
      </c>
      <c r="N742" s="507">
        <f t="shared" si="104"/>
        <v>304625</v>
      </c>
      <c r="O742" s="510"/>
      <c r="P742" s="509">
        <f t="shared" si="104"/>
        <v>206424.24800000002</v>
      </c>
      <c r="Q742" s="509">
        <v>957</v>
      </c>
      <c r="R742" s="509"/>
      <c r="S742" s="509">
        <v>1722.6</v>
      </c>
      <c r="T742" s="509"/>
      <c r="U742" s="509"/>
      <c r="V742" s="509"/>
      <c r="W742" s="509">
        <f t="shared" si="104"/>
        <v>2619643</v>
      </c>
      <c r="X742" s="509">
        <f t="shared" si="104"/>
        <v>1657182.3599999999</v>
      </c>
      <c r="Y742" s="66"/>
      <c r="Z742" s="451" t="s">
        <v>2</v>
      </c>
      <c r="AA742" s="953" t="s">
        <v>3</v>
      </c>
      <c r="AB742" s="954"/>
      <c r="AC742" s="955"/>
      <c r="AD742" s="950" t="s">
        <v>4</v>
      </c>
      <c r="AE742" s="951"/>
      <c r="AF742" s="952"/>
      <c r="AG742" s="950" t="s">
        <v>5</v>
      </c>
      <c r="AH742" s="951"/>
      <c r="AI742" s="952"/>
      <c r="AJ742" s="950" t="s">
        <v>6</v>
      </c>
      <c r="AK742" s="951"/>
      <c r="AL742" s="952"/>
      <c r="AM742" s="950" t="s">
        <v>7</v>
      </c>
      <c r="AN742" s="951"/>
      <c r="AO742" s="952"/>
      <c r="AP742" s="950" t="s">
        <v>8</v>
      </c>
      <c r="AQ742" s="951"/>
      <c r="AR742" s="952"/>
      <c r="AS742" s="950" t="s">
        <v>10</v>
      </c>
      <c r="AT742" s="952"/>
    </row>
    <row r="743" spans="1:49" x14ac:dyDescent="0.25">
      <c r="A743" s="511" t="s">
        <v>165</v>
      </c>
      <c r="B743" s="512"/>
      <c r="C743" s="512"/>
      <c r="D743" s="512"/>
      <c r="E743" s="512"/>
      <c r="F743" s="512"/>
      <c r="G743" s="512"/>
      <c r="H743" s="512"/>
      <c r="I743" s="512"/>
      <c r="J743" s="512"/>
      <c r="K743" s="512"/>
      <c r="L743" s="512"/>
      <c r="M743" s="512"/>
      <c r="N743" s="512"/>
      <c r="O743" s="512"/>
      <c r="P743" s="512"/>
      <c r="Q743" s="512"/>
      <c r="R743" s="512"/>
      <c r="S743" s="512"/>
      <c r="T743" s="512"/>
      <c r="U743" s="512"/>
      <c r="V743" s="512"/>
      <c r="W743" s="512"/>
      <c r="X743" s="512"/>
      <c r="Y743" s="66"/>
      <c r="Z743" s="452" t="s">
        <v>131</v>
      </c>
      <c r="AA743" s="453" t="s">
        <v>12</v>
      </c>
      <c r="AB743" s="454" t="s">
        <v>13</v>
      </c>
      <c r="AC743" s="455" t="s">
        <v>14</v>
      </c>
      <c r="AD743" s="453" t="s">
        <v>12</v>
      </c>
      <c r="AE743" s="454" t="s">
        <v>13</v>
      </c>
      <c r="AF743" s="455" t="s">
        <v>14</v>
      </c>
      <c r="AG743" s="453" t="s">
        <v>12</v>
      </c>
      <c r="AH743" s="454" t="s">
        <v>13</v>
      </c>
      <c r="AI743" s="455" t="s">
        <v>14</v>
      </c>
      <c r="AJ743" s="453" t="s">
        <v>12</v>
      </c>
      <c r="AK743" s="454" t="s">
        <v>13</v>
      </c>
      <c r="AL743" s="455" t="s">
        <v>14</v>
      </c>
      <c r="AM743" s="453" t="s">
        <v>12</v>
      </c>
      <c r="AN743" s="454" t="s">
        <v>13</v>
      </c>
      <c r="AO743" s="455" t="s">
        <v>14</v>
      </c>
      <c r="AP743" s="453" t="s">
        <v>12</v>
      </c>
      <c r="AQ743" s="454" t="s">
        <v>13</v>
      </c>
      <c r="AR743" s="455" t="s">
        <v>14</v>
      </c>
      <c r="AS743" s="453" t="s">
        <v>12</v>
      </c>
      <c r="AT743" s="455" t="s">
        <v>14</v>
      </c>
    </row>
    <row r="744" spans="1:49" x14ac:dyDescent="0.25">
      <c r="A744" s="450"/>
      <c r="B744" s="450"/>
      <c r="C744" s="450"/>
      <c r="D744" s="450"/>
      <c r="E744" s="450"/>
      <c r="F744" s="450"/>
      <c r="G744" s="450"/>
      <c r="H744" s="450"/>
      <c r="I744" s="450"/>
      <c r="J744" s="450"/>
      <c r="K744" s="450"/>
      <c r="L744" s="450"/>
      <c r="M744" s="450"/>
      <c r="N744" s="513"/>
      <c r="O744" s="450"/>
      <c r="P744" s="513"/>
      <c r="Q744" s="450"/>
      <c r="R744" s="450"/>
      <c r="S744" s="450"/>
      <c r="T744" s="450"/>
      <c r="U744" s="450"/>
      <c r="V744" s="450"/>
      <c r="W744" s="450"/>
      <c r="X744" s="450"/>
      <c r="Y744" s="66"/>
      <c r="Z744" s="214" t="s">
        <v>164</v>
      </c>
      <c r="AA744" s="214">
        <v>165814</v>
      </c>
      <c r="AB744" s="214"/>
      <c r="AC744" s="214">
        <v>97534.847999999998</v>
      </c>
      <c r="AD744" s="307">
        <v>421748</v>
      </c>
      <c r="AE744" s="307"/>
      <c r="AF744" s="785">
        <v>334149.11100000003</v>
      </c>
      <c r="AG744" s="307">
        <v>91480</v>
      </c>
      <c r="AH744" s="307"/>
      <c r="AI744" s="785">
        <v>98325.61099999999</v>
      </c>
      <c r="AJ744" s="785">
        <v>113461</v>
      </c>
      <c r="AK744" s="785"/>
      <c r="AL744" s="785">
        <v>152692.921</v>
      </c>
      <c r="AM744" s="785">
        <v>62663</v>
      </c>
      <c r="AN744" s="785"/>
      <c r="AO744" s="785">
        <v>40238.444000000003</v>
      </c>
      <c r="AP744" s="785"/>
      <c r="AQ744" s="307"/>
      <c r="AR744" s="307"/>
      <c r="AS744" s="307"/>
      <c r="AT744" s="307"/>
      <c r="AV744">
        <v>855166</v>
      </c>
      <c r="AW744">
        <v>722940.93500000006</v>
      </c>
    </row>
    <row r="745" spans="1:49" ht="15.75" x14ac:dyDescent="0.25">
      <c r="A745" s="514" t="s">
        <v>166</v>
      </c>
      <c r="B745" s="450"/>
      <c r="C745" s="450"/>
      <c r="D745" s="515"/>
      <c r="E745" s="515"/>
      <c r="F745" s="515"/>
      <c r="G745" s="515"/>
      <c r="H745" s="450"/>
      <c r="I745" s="450"/>
      <c r="J745" s="450"/>
      <c r="K745" s="450"/>
      <c r="L745" s="450"/>
      <c r="M745" s="450" t="s">
        <v>34</v>
      </c>
      <c r="N745" s="450"/>
      <c r="O745" s="450"/>
      <c r="P745" s="450" t="s">
        <v>102</v>
      </c>
      <c r="Q745" s="450"/>
      <c r="R745" s="450"/>
      <c r="S745" s="450"/>
      <c r="T745" s="450"/>
      <c r="U745" s="450" t="s">
        <v>36</v>
      </c>
      <c r="V745" s="450"/>
      <c r="W745" s="450"/>
      <c r="X745" s="450"/>
      <c r="Y745" s="66"/>
      <c r="Z745" s="214" t="s">
        <v>174</v>
      </c>
      <c r="AA745" s="214">
        <v>179474</v>
      </c>
      <c r="AB745" s="214"/>
      <c r="AC745" s="214">
        <v>114942.85907335907</v>
      </c>
      <c r="AD745" s="307">
        <v>422347</v>
      </c>
      <c r="AE745" s="307"/>
      <c r="AF745" s="785">
        <v>336554.93400000001</v>
      </c>
      <c r="AG745" s="307">
        <v>95186</v>
      </c>
      <c r="AH745" s="307"/>
      <c r="AI745" s="785">
        <v>83825.366999999998</v>
      </c>
      <c r="AJ745" s="785">
        <v>134121</v>
      </c>
      <c r="AK745" s="785"/>
      <c r="AL745" s="785">
        <v>161655.67799999999</v>
      </c>
      <c r="AM745" s="785">
        <v>88397</v>
      </c>
      <c r="AN745" s="785"/>
      <c r="AO745" s="785">
        <v>55640.197</v>
      </c>
      <c r="AP745" s="785">
        <v>0</v>
      </c>
      <c r="AQ745" s="307"/>
      <c r="AR745" s="307"/>
      <c r="AS745" s="307">
        <v>919525</v>
      </c>
      <c r="AT745" s="785">
        <v>752619.03507335903</v>
      </c>
    </row>
    <row r="746" spans="1:49" x14ac:dyDescent="0.25">
      <c r="A746" s="462" t="s">
        <v>2</v>
      </c>
      <c r="B746" s="964" t="s">
        <v>37</v>
      </c>
      <c r="C746" s="965"/>
      <c r="D746" s="966"/>
      <c r="E746" s="971" t="s">
        <v>38</v>
      </c>
      <c r="F746" s="972"/>
      <c r="G746" s="973"/>
      <c r="H746" s="971" t="s">
        <v>40</v>
      </c>
      <c r="I746" s="972"/>
      <c r="J746" s="973"/>
      <c r="K746" s="964" t="s">
        <v>39</v>
      </c>
      <c r="L746" s="965"/>
      <c r="M746" s="966"/>
      <c r="N746" s="964" t="s">
        <v>41</v>
      </c>
      <c r="O746" s="965"/>
      <c r="P746" s="966"/>
      <c r="Q746" s="964" t="s">
        <v>54</v>
      </c>
      <c r="R746" s="965"/>
      <c r="S746" s="966"/>
      <c r="T746" s="964" t="s">
        <v>43</v>
      </c>
      <c r="U746" s="965"/>
      <c r="V746" s="966"/>
      <c r="W746" s="964" t="s">
        <v>44</v>
      </c>
      <c r="X746" s="966"/>
      <c r="Y746" s="66"/>
      <c r="Z746" s="214" t="s">
        <v>164</v>
      </c>
      <c r="AA746" s="214">
        <v>224176.2</v>
      </c>
      <c r="AB746" s="214"/>
      <c r="AC746" s="214">
        <v>125894.54019592881</v>
      </c>
      <c r="AD746" s="785">
        <v>414466.67</v>
      </c>
      <c r="AE746" s="307"/>
      <c r="AF746" s="785">
        <v>331992.68717478227</v>
      </c>
      <c r="AG746" s="307">
        <v>121728</v>
      </c>
      <c r="AH746" s="307"/>
      <c r="AI746" s="785">
        <v>142245.57037302619</v>
      </c>
      <c r="AJ746" s="785">
        <v>202570</v>
      </c>
      <c r="AK746" s="785"/>
      <c r="AL746" s="785">
        <v>346064.36463829782</v>
      </c>
      <c r="AM746" s="785">
        <v>79958.333333333328</v>
      </c>
      <c r="AN746" s="785"/>
      <c r="AO746" s="785">
        <v>81509.661333333337</v>
      </c>
      <c r="AP746" s="785">
        <v>0</v>
      </c>
      <c r="AQ746" s="307"/>
      <c r="AR746" s="307">
        <v>0</v>
      </c>
      <c r="AS746" s="307">
        <v>0</v>
      </c>
      <c r="AT746" s="785"/>
      <c r="AU746">
        <v>0</v>
      </c>
      <c r="AV746">
        <v>1042899.2033333334</v>
      </c>
      <c r="AW746">
        <v>1027706.8237153684</v>
      </c>
    </row>
    <row r="747" spans="1:49" x14ac:dyDescent="0.25">
      <c r="A747" s="462" t="s">
        <v>131</v>
      </c>
      <c r="B747" s="516" t="s">
        <v>12</v>
      </c>
      <c r="C747" s="516" t="s">
        <v>13</v>
      </c>
      <c r="D747" s="516" t="s">
        <v>14</v>
      </c>
      <c r="E747" s="516" t="s">
        <v>12</v>
      </c>
      <c r="F747" s="516" t="s">
        <v>13</v>
      </c>
      <c r="G747" s="516" t="s">
        <v>14</v>
      </c>
      <c r="H747" s="516" t="s">
        <v>12</v>
      </c>
      <c r="I747" s="516" t="s">
        <v>13</v>
      </c>
      <c r="J747" s="516" t="s">
        <v>14</v>
      </c>
      <c r="K747" s="517" t="s">
        <v>12</v>
      </c>
      <c r="L747" s="516" t="s">
        <v>13</v>
      </c>
      <c r="M747" s="516" t="s">
        <v>14</v>
      </c>
      <c r="N747" s="516" t="s">
        <v>12</v>
      </c>
      <c r="O747" s="516" t="s">
        <v>13</v>
      </c>
      <c r="P747" s="516" t="s">
        <v>14</v>
      </c>
      <c r="Q747" s="516" t="s">
        <v>12</v>
      </c>
      <c r="R747" s="516" t="s">
        <v>13</v>
      </c>
      <c r="S747" s="516" t="s">
        <v>14</v>
      </c>
      <c r="T747" s="516" t="s">
        <v>12</v>
      </c>
      <c r="U747" s="516" t="s">
        <v>13</v>
      </c>
      <c r="V747" s="516" t="s">
        <v>14</v>
      </c>
      <c r="W747" s="516" t="s">
        <v>12</v>
      </c>
      <c r="X747" s="516" t="s">
        <v>14</v>
      </c>
      <c r="Y747" s="66"/>
      <c r="Z747" s="214" t="s">
        <v>174</v>
      </c>
      <c r="AA747" s="214">
        <v>156137</v>
      </c>
      <c r="AB747" s="214"/>
      <c r="AC747" s="214">
        <v>105418.136</v>
      </c>
      <c r="AD747" s="307">
        <v>432572</v>
      </c>
      <c r="AE747" s="307"/>
      <c r="AF747" s="785">
        <v>394547.05700000003</v>
      </c>
      <c r="AG747" s="307">
        <v>106316</v>
      </c>
      <c r="AH747" s="307"/>
      <c r="AI747" s="785">
        <v>121473.70600000001</v>
      </c>
      <c r="AJ747" s="785">
        <v>173545</v>
      </c>
      <c r="AK747" s="785"/>
      <c r="AL747" s="785">
        <v>268000.16899999999</v>
      </c>
      <c r="AM747" s="785">
        <v>89801</v>
      </c>
      <c r="AN747" s="785"/>
      <c r="AO747" s="785">
        <v>68671.596000000005</v>
      </c>
      <c r="AP747" s="785">
        <v>0</v>
      </c>
      <c r="AQ747" s="307"/>
      <c r="AR747" s="307">
        <v>0</v>
      </c>
      <c r="AS747" s="307">
        <v>958371</v>
      </c>
      <c r="AT747" s="785">
        <v>958110.66399999987</v>
      </c>
    </row>
    <row r="748" spans="1:49" x14ac:dyDescent="0.25">
      <c r="A748" s="462" t="s">
        <v>15</v>
      </c>
      <c r="B748" s="518">
        <v>18805</v>
      </c>
      <c r="C748" s="518">
        <f>(D748/B748)*1000</f>
        <v>415.86439776655141</v>
      </c>
      <c r="D748" s="518">
        <v>7820.33</v>
      </c>
      <c r="E748" s="518">
        <v>1843</v>
      </c>
      <c r="F748" s="518">
        <f>(G748/E748)*1000</f>
        <v>335.80032555615838</v>
      </c>
      <c r="G748" s="518">
        <v>618.88</v>
      </c>
      <c r="H748" s="518">
        <v>9898</v>
      </c>
      <c r="I748" s="518">
        <f>(J748/H748)*1000</f>
        <v>366.89432208526972</v>
      </c>
      <c r="J748" s="518">
        <v>3631.52</v>
      </c>
      <c r="K748" s="519">
        <v>306</v>
      </c>
      <c r="L748" s="519">
        <v>650</v>
      </c>
      <c r="M748" s="520">
        <f>K748*L748/1000</f>
        <v>198.9</v>
      </c>
      <c r="N748" s="462"/>
      <c r="O748" s="462"/>
      <c r="P748" s="462"/>
      <c r="Q748" s="462"/>
      <c r="R748" s="462"/>
      <c r="S748" s="462"/>
      <c r="T748" s="462"/>
      <c r="U748" s="462"/>
      <c r="V748" s="462"/>
      <c r="W748" s="466">
        <f t="shared" ref="W748:W758" si="105">T748+Q748+N748+K748+H748+E748+B748</f>
        <v>30852</v>
      </c>
      <c r="X748" s="466">
        <f t="shared" ref="X748:X758" si="106">D748+G748+J748+M748+P748+S748+V748</f>
        <v>12269.63</v>
      </c>
      <c r="Y748" s="66"/>
      <c r="Z748" s="214" t="s">
        <v>174</v>
      </c>
      <c r="AA748" s="214">
        <v>160081</v>
      </c>
      <c r="AB748" s="214"/>
      <c r="AC748" s="214">
        <v>109544.254</v>
      </c>
      <c r="AD748" s="307">
        <v>406175</v>
      </c>
      <c r="AE748" s="307"/>
      <c r="AF748" s="785">
        <v>322088.70799999998</v>
      </c>
      <c r="AG748" s="785">
        <v>101829.5</v>
      </c>
      <c r="AH748" s="307"/>
      <c r="AI748" s="785">
        <v>92939.358000000007</v>
      </c>
      <c r="AJ748" s="785">
        <v>148683</v>
      </c>
      <c r="AK748" s="785"/>
      <c r="AL748" s="785">
        <v>205512.8553061905</v>
      </c>
      <c r="AM748" s="785">
        <v>85792</v>
      </c>
      <c r="AN748" s="785"/>
      <c r="AO748" s="785">
        <v>62809.395437254316</v>
      </c>
      <c r="AP748" s="785">
        <v>0</v>
      </c>
      <c r="AQ748" s="307"/>
      <c r="AR748" s="307">
        <v>0</v>
      </c>
      <c r="AS748" s="785">
        <v>902560.5</v>
      </c>
      <c r="AT748" s="785">
        <v>792894.57074344496</v>
      </c>
    </row>
    <row r="749" spans="1:49" x14ac:dyDescent="0.25">
      <c r="A749" s="462" t="s">
        <v>132</v>
      </c>
      <c r="B749" s="518"/>
      <c r="C749" s="518"/>
      <c r="D749" s="518"/>
      <c r="E749" s="518"/>
      <c r="F749" s="518"/>
      <c r="G749" s="518"/>
      <c r="H749" s="518"/>
      <c r="I749" s="518"/>
      <c r="J749" s="518"/>
      <c r="K749" s="521"/>
      <c r="L749" s="520"/>
      <c r="M749" s="520"/>
      <c r="N749" s="462"/>
      <c r="O749" s="462"/>
      <c r="P749" s="462"/>
      <c r="Q749" s="462"/>
      <c r="R749" s="462"/>
      <c r="S749" s="462"/>
      <c r="T749" s="462"/>
      <c r="U749" s="462"/>
      <c r="V749" s="462"/>
      <c r="W749" s="462"/>
      <c r="X749" s="462"/>
      <c r="Y749" s="66"/>
      <c r="Z749" s="214" t="s">
        <v>218</v>
      </c>
      <c r="AA749" s="214">
        <f>AVERAGE(AA744:AA748)</f>
        <v>177136.44</v>
      </c>
      <c r="AB749" s="214"/>
      <c r="AC749" s="214">
        <f t="shared" ref="AC749:AT749" si="107">AVERAGE(AC744:AC748)</f>
        <v>110666.92745385757</v>
      </c>
      <c r="AD749" s="214">
        <f t="shared" si="107"/>
        <v>419461.734</v>
      </c>
      <c r="AE749" s="214"/>
      <c r="AF749" s="214">
        <f t="shared" si="107"/>
        <v>343866.49943495647</v>
      </c>
      <c r="AG749" s="214">
        <f t="shared" si="107"/>
        <v>103307.9</v>
      </c>
      <c r="AH749" s="214"/>
      <c r="AI749" s="214">
        <f t="shared" si="107"/>
        <v>107761.92247460524</v>
      </c>
      <c r="AJ749" s="214">
        <f t="shared" si="107"/>
        <v>154476</v>
      </c>
      <c r="AK749" s="214"/>
      <c r="AL749" s="214">
        <f t="shared" si="107"/>
        <v>226785.19758889763</v>
      </c>
      <c r="AM749" s="214">
        <f t="shared" si="107"/>
        <v>81322.266666666663</v>
      </c>
      <c r="AN749" s="214"/>
      <c r="AO749" s="214">
        <f t="shared" si="107"/>
        <v>61773.858754117544</v>
      </c>
      <c r="AP749" s="214">
        <f t="shared" si="107"/>
        <v>0</v>
      </c>
      <c r="AQ749" s="214"/>
      <c r="AR749" s="214">
        <f t="shared" si="107"/>
        <v>0</v>
      </c>
      <c r="AS749" s="214">
        <f t="shared" si="107"/>
        <v>695114.125</v>
      </c>
      <c r="AT749" s="214">
        <f t="shared" si="107"/>
        <v>834541.42327226792</v>
      </c>
    </row>
    <row r="750" spans="1:49" x14ac:dyDescent="0.25">
      <c r="A750" s="462" t="s">
        <v>103</v>
      </c>
      <c r="B750" s="518">
        <v>58341</v>
      </c>
      <c r="C750" s="518">
        <f>(D750/B750)*1000</f>
        <v>644.44608422892986</v>
      </c>
      <c r="D750" s="518">
        <v>37597.629000000001</v>
      </c>
      <c r="E750" s="518">
        <v>6619</v>
      </c>
      <c r="F750" s="518">
        <f>(G750/E750)*1000</f>
        <v>194.4916150475903</v>
      </c>
      <c r="G750" s="518">
        <v>1287.3400000000001</v>
      </c>
      <c r="H750" s="518">
        <v>11596</v>
      </c>
      <c r="I750" s="518">
        <f>(J750/H750)*1000</f>
        <v>573.47361159020352</v>
      </c>
      <c r="J750" s="518">
        <v>6650</v>
      </c>
      <c r="K750" s="521"/>
      <c r="L750" s="520"/>
      <c r="M750" s="520"/>
      <c r="N750" s="462"/>
      <c r="O750" s="462"/>
      <c r="P750" s="462"/>
      <c r="Q750" s="462"/>
      <c r="R750" s="462"/>
      <c r="S750" s="462"/>
      <c r="T750" s="462"/>
      <c r="U750" s="462"/>
      <c r="V750" s="462"/>
      <c r="W750" s="466">
        <f t="shared" si="105"/>
        <v>76556</v>
      </c>
      <c r="X750" s="466">
        <f t="shared" si="106"/>
        <v>45534.968999999997</v>
      </c>
      <c r="Y750" s="66"/>
      <c r="Z750" s="66"/>
      <c r="AA750" s="66"/>
      <c r="AB750" s="66"/>
      <c r="AC750" s="66"/>
    </row>
    <row r="751" spans="1:49" x14ac:dyDescent="0.25">
      <c r="A751" s="462" t="s">
        <v>104</v>
      </c>
      <c r="B751" s="518">
        <v>29802</v>
      </c>
      <c r="C751" s="518">
        <f>(D751/B751)*1000</f>
        <v>711.26266693510502</v>
      </c>
      <c r="D751" s="518">
        <v>21197.05</v>
      </c>
      <c r="E751" s="518">
        <v>8432</v>
      </c>
      <c r="F751" s="518">
        <f>(G751/E751)*1000</f>
        <v>377.66544117647055</v>
      </c>
      <c r="G751" s="518">
        <v>3184.4749999999999</v>
      </c>
      <c r="H751" s="518">
        <v>3988</v>
      </c>
      <c r="I751" s="518">
        <f>(J751/H751)*1000</f>
        <v>247.84353059177533</v>
      </c>
      <c r="J751" s="518">
        <v>988.4</v>
      </c>
      <c r="K751" s="521">
        <v>2174</v>
      </c>
      <c r="L751" s="519">
        <v>475</v>
      </c>
      <c r="M751" s="519">
        <f>K751*L751/1000</f>
        <v>1032.6500000000001</v>
      </c>
      <c r="N751" s="522">
        <v>281</v>
      </c>
      <c r="O751" s="519">
        <v>860</v>
      </c>
      <c r="P751" s="519">
        <f>N751*O751/1000</f>
        <v>241.66</v>
      </c>
      <c r="Q751" s="462"/>
      <c r="R751" s="462"/>
      <c r="S751" s="462"/>
      <c r="T751" s="462"/>
      <c r="U751" s="462"/>
      <c r="V751" s="462"/>
      <c r="W751" s="466">
        <f t="shared" si="105"/>
        <v>44677</v>
      </c>
      <c r="X751" s="466">
        <f t="shared" si="106"/>
        <v>26644.235000000001</v>
      </c>
      <c r="Y751" s="66"/>
      <c r="Z751" s="66"/>
      <c r="AA751" s="66"/>
      <c r="AB751" s="66"/>
      <c r="AC751" s="66"/>
      <c r="AM751" t="s">
        <v>225</v>
      </c>
    </row>
    <row r="752" spans="1:49" x14ac:dyDescent="0.25">
      <c r="A752" s="462" t="s">
        <v>133</v>
      </c>
      <c r="B752" s="518">
        <v>52184</v>
      </c>
      <c r="C752" s="518">
        <f>(D752/B752)*1000</f>
        <v>850.29863559711782</v>
      </c>
      <c r="D752" s="518">
        <v>44371.983999999997</v>
      </c>
      <c r="E752" s="518">
        <v>3000</v>
      </c>
      <c r="F752" s="518">
        <f>(G752/E752)*1000</f>
        <v>531.44999999999993</v>
      </c>
      <c r="G752" s="518">
        <v>1594.35</v>
      </c>
      <c r="H752" s="518">
        <v>14120</v>
      </c>
      <c r="I752" s="518">
        <f>(J752/H752)*1000</f>
        <v>830.45113314447588</v>
      </c>
      <c r="J752" s="518">
        <v>11725.97</v>
      </c>
      <c r="K752" s="521"/>
      <c r="L752" s="520"/>
      <c r="M752" s="520"/>
      <c r="N752" s="462"/>
      <c r="O752" s="462"/>
      <c r="P752" s="462"/>
      <c r="Q752" s="462"/>
      <c r="R752" s="462"/>
      <c r="S752" s="462"/>
      <c r="T752" s="462"/>
      <c r="U752" s="462"/>
      <c r="V752" s="462"/>
      <c r="W752" s="466">
        <f t="shared" si="105"/>
        <v>69304</v>
      </c>
      <c r="X752" s="466">
        <f t="shared" si="106"/>
        <v>57692.303999999996</v>
      </c>
      <c r="Y752" s="66"/>
      <c r="Z752" s="66"/>
      <c r="AA752" s="787"/>
      <c r="AB752" s="787" t="s">
        <v>209</v>
      </c>
      <c r="AC752" s="787" t="s">
        <v>200</v>
      </c>
      <c r="AD752" s="786" t="s">
        <v>201</v>
      </c>
      <c r="AE752" s="787" t="s">
        <v>202</v>
      </c>
      <c r="AF752" s="787" t="s">
        <v>210</v>
      </c>
      <c r="AG752" s="787" t="s">
        <v>222</v>
      </c>
      <c r="AH752" s="787" t="s">
        <v>57</v>
      </c>
    </row>
    <row r="753" spans="1:46" x14ac:dyDescent="0.25">
      <c r="A753" s="462" t="s">
        <v>21</v>
      </c>
      <c r="B753" s="523"/>
      <c r="C753" s="523"/>
      <c r="D753" s="523"/>
      <c r="E753" s="523"/>
      <c r="F753" s="523"/>
      <c r="G753" s="523"/>
      <c r="H753" s="524">
        <v>140</v>
      </c>
      <c r="I753" s="523">
        <v>100</v>
      </c>
      <c r="J753" s="523">
        <f>H753*I753/1000</f>
        <v>14</v>
      </c>
      <c r="K753" s="521"/>
      <c r="L753" s="520"/>
      <c r="M753" s="520"/>
      <c r="N753" s="462"/>
      <c r="O753" s="462"/>
      <c r="P753" s="462"/>
      <c r="Q753" s="462"/>
      <c r="R753" s="462"/>
      <c r="S753" s="462"/>
      <c r="T753" s="462"/>
      <c r="U753" s="462"/>
      <c r="V753" s="462"/>
      <c r="W753" s="462">
        <f t="shared" si="105"/>
        <v>140</v>
      </c>
      <c r="X753" s="462">
        <f t="shared" si="106"/>
        <v>14</v>
      </c>
      <c r="Y753" s="66"/>
      <c r="Z753" s="66"/>
      <c r="AA753" s="788" t="s">
        <v>219</v>
      </c>
      <c r="AB753" s="214"/>
      <c r="AC753" s="214"/>
      <c r="AD753" s="307"/>
      <c r="AE753" s="307"/>
      <c r="AF753" s="307"/>
      <c r="AG753" s="307"/>
      <c r="AH753" s="307"/>
      <c r="AJ753" s="788" t="s">
        <v>220</v>
      </c>
      <c r="AM753" s="786" t="s">
        <v>221</v>
      </c>
      <c r="AN753" s="787" t="s">
        <v>209</v>
      </c>
      <c r="AO753" s="787" t="s">
        <v>200</v>
      </c>
      <c r="AP753" s="786" t="s">
        <v>201</v>
      </c>
      <c r="AQ753" s="787" t="s">
        <v>202</v>
      </c>
      <c r="AR753" s="787" t="s">
        <v>210</v>
      </c>
      <c r="AS753" s="787" t="s">
        <v>222</v>
      </c>
      <c r="AT753" s="787" t="s">
        <v>57</v>
      </c>
    </row>
    <row r="754" spans="1:46" x14ac:dyDescent="0.25">
      <c r="A754" s="462" t="s">
        <v>22</v>
      </c>
      <c r="B754" s="521">
        <v>938</v>
      </c>
      <c r="C754" s="521">
        <v>140</v>
      </c>
      <c r="D754" s="521">
        <f>B754*C754/1000</f>
        <v>131.32</v>
      </c>
      <c r="E754" s="521"/>
      <c r="F754" s="521"/>
      <c r="G754" s="521"/>
      <c r="H754" s="522">
        <v>501</v>
      </c>
      <c r="I754" s="521">
        <v>166.66666666666669</v>
      </c>
      <c r="J754" s="521">
        <f>H754*I754/1000</f>
        <v>83.500000000000014</v>
      </c>
      <c r="K754" s="521"/>
      <c r="L754" s="519"/>
      <c r="M754" s="519"/>
      <c r="N754" s="525">
        <f>O754*P754/1000</f>
        <v>199530</v>
      </c>
      <c r="O754" s="466">
        <v>9000</v>
      </c>
      <c r="P754" s="525">
        <v>22170</v>
      </c>
      <c r="Q754" s="525">
        <f>R754*S754/1000</f>
        <v>266034</v>
      </c>
      <c r="R754" s="466">
        <v>6000</v>
      </c>
      <c r="S754" s="525">
        <v>44339</v>
      </c>
      <c r="T754" s="462"/>
      <c r="U754" s="462"/>
      <c r="V754" s="462"/>
      <c r="W754" s="466">
        <f t="shared" si="105"/>
        <v>467003</v>
      </c>
      <c r="X754" s="466">
        <f t="shared" si="106"/>
        <v>66723.820000000007</v>
      </c>
      <c r="Y754" s="66"/>
      <c r="Z754" s="66"/>
      <c r="AA754" s="788">
        <v>0.99950421417947444</v>
      </c>
      <c r="AB754" s="214"/>
      <c r="AC754" s="214"/>
      <c r="AD754" s="307"/>
      <c r="AE754" s="307"/>
      <c r="AF754" s="307"/>
      <c r="AG754" s="307"/>
      <c r="AH754" s="307"/>
      <c r="AM754" s="307" t="s">
        <v>223</v>
      </c>
      <c r="AN754" s="307"/>
      <c r="AO754" s="307"/>
      <c r="AP754" s="307"/>
      <c r="AQ754" s="307"/>
      <c r="AR754" s="307"/>
      <c r="AS754" s="307"/>
      <c r="AT754" s="307"/>
    </row>
    <row r="755" spans="1:46" x14ac:dyDescent="0.25">
      <c r="A755" s="462" t="s">
        <v>23</v>
      </c>
      <c r="B755" s="518">
        <v>95280</v>
      </c>
      <c r="C755" s="518">
        <v>471</v>
      </c>
      <c r="D755" s="518">
        <v>44876.88</v>
      </c>
      <c r="E755" s="518">
        <v>325</v>
      </c>
      <c r="F755" s="518">
        <v>288</v>
      </c>
      <c r="G755" s="518">
        <v>93.6</v>
      </c>
      <c r="H755" s="518">
        <v>556</v>
      </c>
      <c r="I755" s="518">
        <v>215</v>
      </c>
      <c r="J755" s="518">
        <v>119.54</v>
      </c>
      <c r="K755" s="521"/>
      <c r="L755" s="519"/>
      <c r="M755" s="519"/>
      <c r="N755" s="462"/>
      <c r="O755" s="462"/>
      <c r="P755" s="462"/>
      <c r="Q755" s="462"/>
      <c r="R755" s="462"/>
      <c r="S755" s="462"/>
      <c r="T755" s="462"/>
      <c r="U755" s="462"/>
      <c r="V755" s="462"/>
      <c r="W755" s="466">
        <f t="shared" si="105"/>
        <v>96161</v>
      </c>
      <c r="X755" s="466">
        <f t="shared" si="106"/>
        <v>45090.02</v>
      </c>
      <c r="Y755" s="66"/>
      <c r="Z755" s="66"/>
      <c r="AA755" s="788">
        <v>0.99950396825396826</v>
      </c>
      <c r="AB755" s="214"/>
      <c r="AC755" s="214"/>
      <c r="AD755" s="307"/>
      <c r="AE755" s="307"/>
      <c r="AF755" s="307"/>
      <c r="AG755" s="307"/>
      <c r="AH755" s="307"/>
      <c r="AM755" s="307" t="s">
        <v>199</v>
      </c>
      <c r="AN755" s="789">
        <f>AC737</f>
        <v>442233.95999999996</v>
      </c>
      <c r="AO755" s="785">
        <f>AF737</f>
        <v>112020.713</v>
      </c>
      <c r="AP755" s="785">
        <f>AI737</f>
        <v>69088.392999999996</v>
      </c>
      <c r="AQ755" s="790">
        <v>37965.544000000002</v>
      </c>
      <c r="AR755" s="785">
        <f>AO737</f>
        <v>25928.394</v>
      </c>
      <c r="AS755" s="789">
        <f>AR738</f>
        <v>31143.022059999999</v>
      </c>
      <c r="AT755" s="789">
        <f>SUM(AN755:AS755)</f>
        <v>718380.02605999995</v>
      </c>
    </row>
    <row r="756" spans="1:46" x14ac:dyDescent="0.25">
      <c r="A756" s="462" t="s">
        <v>24</v>
      </c>
      <c r="B756" s="518">
        <v>10756</v>
      </c>
      <c r="C756" s="518">
        <v>911</v>
      </c>
      <c r="D756" s="518">
        <v>9798.7160000000003</v>
      </c>
      <c r="E756" s="518">
        <v>3654</v>
      </c>
      <c r="F756" s="518">
        <v>655</v>
      </c>
      <c r="G756" s="518">
        <v>2393.37</v>
      </c>
      <c r="H756" s="518">
        <v>6786</v>
      </c>
      <c r="I756" s="518">
        <v>826</v>
      </c>
      <c r="J756" s="518">
        <v>5605.2359999999999</v>
      </c>
      <c r="K756" s="521">
        <v>671</v>
      </c>
      <c r="L756" s="519">
        <v>500</v>
      </c>
      <c r="M756" s="519">
        <f>K756*L756/1000</f>
        <v>335.5</v>
      </c>
      <c r="N756" s="462"/>
      <c r="O756" s="466"/>
      <c r="P756" s="466"/>
      <c r="Q756" s="462"/>
      <c r="R756" s="462"/>
      <c r="S756" s="462"/>
      <c r="T756" s="462"/>
      <c r="U756" s="462"/>
      <c r="V756" s="462"/>
      <c r="W756" s="466">
        <f t="shared" si="105"/>
        <v>21867</v>
      </c>
      <c r="X756" s="466">
        <f t="shared" si="106"/>
        <v>18132.822</v>
      </c>
      <c r="Y756" s="66"/>
      <c r="Z756" s="66"/>
      <c r="AA756" s="214"/>
      <c r="AB756" s="214"/>
      <c r="AC756" s="214"/>
      <c r="AD756" s="307"/>
      <c r="AE756" s="307"/>
      <c r="AF756" s="307"/>
      <c r="AG756" s="307"/>
      <c r="AH756" s="307"/>
      <c r="AM756" s="307" t="s">
        <v>224</v>
      </c>
      <c r="AN756" s="789">
        <f>AC738</f>
        <v>484954.60283362155</v>
      </c>
      <c r="AO756" s="789">
        <f>AF738</f>
        <v>451047.70636000001</v>
      </c>
      <c r="AP756" s="789">
        <f>AI738</f>
        <v>225906.15746518518</v>
      </c>
      <c r="AQ756" s="789">
        <f>AL738</f>
        <v>23197.163200000003</v>
      </c>
      <c r="AR756" s="789">
        <f>AO738</f>
        <v>290079.50340000005</v>
      </c>
      <c r="AS756" s="789">
        <f>AR738</f>
        <v>31143.022059999999</v>
      </c>
      <c r="AT756" s="789">
        <f>AT738</f>
        <v>1277961.9493531203</v>
      </c>
    </row>
    <row r="757" spans="1:46" x14ac:dyDescent="0.25">
      <c r="A757" s="462" t="s">
        <v>134</v>
      </c>
      <c r="B757" s="518">
        <v>95164</v>
      </c>
      <c r="C757" s="518">
        <f>(D757/B757)*1000</f>
        <v>853.09422680845694</v>
      </c>
      <c r="D757" s="518">
        <v>81183.858999999997</v>
      </c>
      <c r="E757" s="518">
        <v>27276</v>
      </c>
      <c r="F757" s="518">
        <f>(G757/E757)*1000</f>
        <v>536.80627658014373</v>
      </c>
      <c r="G757" s="518">
        <v>14641.928</v>
      </c>
      <c r="H757" s="518">
        <v>8509</v>
      </c>
      <c r="I757" s="518">
        <f>(J757/H757)*1000</f>
        <v>400.72652485603481</v>
      </c>
      <c r="J757" s="518">
        <v>3409.7820000000002</v>
      </c>
      <c r="K757" s="523"/>
      <c r="L757" s="520"/>
      <c r="M757" s="520"/>
      <c r="N757" s="462"/>
      <c r="O757" s="462"/>
      <c r="P757" s="462"/>
      <c r="Q757" s="462"/>
      <c r="R757" s="462"/>
      <c r="S757" s="462"/>
      <c r="T757" s="462"/>
      <c r="U757" s="462"/>
      <c r="V757" s="462"/>
      <c r="W757" s="466">
        <f t="shared" si="105"/>
        <v>130949</v>
      </c>
      <c r="X757" s="466">
        <f t="shared" si="106"/>
        <v>99235.569000000003</v>
      </c>
      <c r="Y757" s="66"/>
      <c r="Z757" s="66"/>
      <c r="AA757" s="214"/>
      <c r="AB757" s="214"/>
      <c r="AC757" s="214"/>
      <c r="AD757" s="307"/>
      <c r="AE757" s="307"/>
      <c r="AF757" s="307"/>
      <c r="AG757" s="307"/>
      <c r="AH757" s="307"/>
      <c r="AM757" s="307" t="s">
        <v>226</v>
      </c>
      <c r="AN757" s="307"/>
      <c r="AO757" s="307"/>
      <c r="AP757" s="307"/>
      <c r="AQ757" s="307"/>
      <c r="AR757" s="307"/>
      <c r="AS757" s="307"/>
      <c r="AT757" s="307"/>
    </row>
    <row r="758" spans="1:46" x14ac:dyDescent="0.25">
      <c r="A758" s="462" t="s">
        <v>161</v>
      </c>
      <c r="B758" s="518">
        <v>36249</v>
      </c>
      <c r="C758" s="518">
        <f>(D758/B758)*1000</f>
        <v>269.65927335926511</v>
      </c>
      <c r="D758" s="518">
        <v>9774.8790000000008</v>
      </c>
      <c r="E758" s="518">
        <v>16564</v>
      </c>
      <c r="F758" s="518">
        <f>(G758/E758)*1000</f>
        <v>250.31828060854866</v>
      </c>
      <c r="G758" s="518">
        <v>4146.2719999999999</v>
      </c>
      <c r="H758" s="518">
        <v>2633</v>
      </c>
      <c r="I758" s="518">
        <f>(J758/H758)*1000</f>
        <v>197.76642612988988</v>
      </c>
      <c r="J758" s="518">
        <v>520.71900000000005</v>
      </c>
      <c r="K758" s="526"/>
      <c r="L758" s="527"/>
      <c r="M758" s="527"/>
      <c r="N758" s="462"/>
      <c r="O758" s="462"/>
      <c r="P758" s="462"/>
      <c r="Q758" s="462"/>
      <c r="R758" s="462"/>
      <c r="S758" s="462"/>
      <c r="T758" s="462"/>
      <c r="U758" s="462"/>
      <c r="V758" s="462"/>
      <c r="W758" s="466">
        <f t="shared" si="105"/>
        <v>55446</v>
      </c>
      <c r="X758" s="466">
        <f t="shared" si="106"/>
        <v>14441.870000000003</v>
      </c>
      <c r="Y758" s="66"/>
      <c r="Z758" s="66"/>
      <c r="AA758" s="214"/>
      <c r="AB758" s="214"/>
      <c r="AC758" s="214"/>
      <c r="AD758" s="307"/>
      <c r="AE758" s="307"/>
      <c r="AF758" s="307"/>
      <c r="AG758" s="307"/>
      <c r="AH758" s="307"/>
      <c r="AM758" s="307" t="s">
        <v>227</v>
      </c>
      <c r="AN758" s="307"/>
      <c r="AO758" s="307"/>
      <c r="AP758" s="307"/>
      <c r="AQ758" s="307"/>
      <c r="AR758" s="307"/>
      <c r="AS758" s="307"/>
      <c r="AT758" s="307"/>
    </row>
    <row r="759" spans="1:46" x14ac:dyDescent="0.25">
      <c r="A759" s="528" t="s">
        <v>128</v>
      </c>
      <c r="B759" s="529">
        <f>SUM(B748:B758)</f>
        <v>397519</v>
      </c>
      <c r="C759" s="530"/>
      <c r="D759" s="530">
        <f>SUM(D748:D758)</f>
        <v>256752.647</v>
      </c>
      <c r="E759" s="530">
        <f t="shared" ref="E759:J759" si="108">SUM(E748:E758)</f>
        <v>67713</v>
      </c>
      <c r="F759" s="530"/>
      <c r="G759" s="530">
        <f>SUM(G748:G758)</f>
        <v>27960.215</v>
      </c>
      <c r="H759" s="529">
        <f t="shared" si="108"/>
        <v>58727</v>
      </c>
      <c r="I759" s="530"/>
      <c r="J759" s="529">
        <f t="shared" si="108"/>
        <v>32748.667000000001</v>
      </c>
      <c r="K759" s="531">
        <f>SUM(K748:K758)</f>
        <v>3151</v>
      </c>
      <c r="L759" s="532">
        <f>SUM(L748:L758)</f>
        <v>1625</v>
      </c>
      <c r="M759" s="532">
        <f>SUM(M748:M758)</f>
        <v>1567.0500000000002</v>
      </c>
      <c r="N759" s="533">
        <f>N751+N754</f>
        <v>199811</v>
      </c>
      <c r="O759" s="533"/>
      <c r="P759" s="533">
        <f>P751+P754</f>
        <v>22411.66</v>
      </c>
      <c r="Q759" s="531">
        <v>266034</v>
      </c>
      <c r="R759" s="534"/>
      <c r="S759" s="531">
        <v>44339</v>
      </c>
      <c r="T759" s="534"/>
      <c r="U759" s="534"/>
      <c r="V759" s="534"/>
      <c r="W759" s="532">
        <f>SUM(W748:W758)</f>
        <v>992955</v>
      </c>
      <c r="X759" s="532">
        <f>SUM(X748:X758)</f>
        <v>385779.239</v>
      </c>
      <c r="Y759" s="66"/>
      <c r="Z759" s="66"/>
      <c r="AA759" s="214"/>
      <c r="AB759" s="214"/>
      <c r="AC759" s="214"/>
      <c r="AD759" s="307"/>
      <c r="AE759" s="307"/>
      <c r="AF759" s="307"/>
      <c r="AG759" s="307"/>
      <c r="AH759" s="307"/>
    </row>
    <row r="760" spans="1:46" x14ac:dyDescent="0.25">
      <c r="A760" s="462" t="s">
        <v>135</v>
      </c>
      <c r="B760" s="535">
        <v>46643</v>
      </c>
      <c r="C760" s="518">
        <f t="shared" ref="C760:C766" si="109">(D760/B760)*1000</f>
        <v>1358.3573097785306</v>
      </c>
      <c r="D760" s="535">
        <v>63357.86</v>
      </c>
      <c r="E760" s="535">
        <v>18778</v>
      </c>
      <c r="F760" s="518">
        <f t="shared" ref="F760:F766" si="110">(G760/E760)*1000</f>
        <v>358.35818511023535</v>
      </c>
      <c r="G760" s="535">
        <v>6729.25</v>
      </c>
      <c r="H760" s="535">
        <v>26034</v>
      </c>
      <c r="I760" s="518">
        <f t="shared" ref="I760:I766" si="111">(J760/H760)*1000</f>
        <v>640.71379734193749</v>
      </c>
      <c r="J760" s="536">
        <v>16680.343000000001</v>
      </c>
      <c r="K760" s="521">
        <v>6848</v>
      </c>
      <c r="L760" s="519">
        <v>500</v>
      </c>
      <c r="M760" s="519">
        <f>K760*L760/1000</f>
        <v>3424</v>
      </c>
      <c r="N760" s="462">
        <v>4659</v>
      </c>
      <c r="O760" s="470">
        <f t="shared" ref="O760:O766" si="112">(P760/N760)*1000</f>
        <v>2810.6065679330336</v>
      </c>
      <c r="P760" s="466">
        <v>13094.616000000002</v>
      </c>
      <c r="Q760" s="522"/>
      <c r="R760" s="519"/>
      <c r="S760" s="519"/>
      <c r="T760" s="524">
        <v>948</v>
      </c>
      <c r="U760" s="523">
        <v>1200</v>
      </c>
      <c r="V760" s="520">
        <f t="shared" ref="V760:V766" si="113">T760*U760/1000</f>
        <v>1137.5999999999999</v>
      </c>
      <c r="W760" s="466">
        <f t="shared" ref="W760:W766" si="114">T760+Q760+N760+K760+H760+E760+B760</f>
        <v>103910</v>
      </c>
      <c r="X760" s="466">
        <f t="shared" ref="X760:X767" si="115">D760+G760+J760+M760+P760+S760+V760</f>
        <v>104423.66900000002</v>
      </c>
      <c r="Y760" s="66"/>
      <c r="Z760" s="66"/>
      <c r="AA760" s="214"/>
      <c r="AB760" s="214"/>
      <c r="AC760" s="214"/>
      <c r="AD760" s="307"/>
      <c r="AE760" s="307"/>
      <c r="AF760" s="307"/>
      <c r="AG760" s="307"/>
      <c r="AH760" s="307"/>
    </row>
    <row r="761" spans="1:46" x14ac:dyDescent="0.25">
      <c r="A761" s="462" t="s">
        <v>136</v>
      </c>
      <c r="B761" s="535">
        <v>24719</v>
      </c>
      <c r="C761" s="518">
        <f t="shared" si="109"/>
        <v>927.10061086613541</v>
      </c>
      <c r="D761" s="535">
        <v>22917</v>
      </c>
      <c r="E761" s="535">
        <v>13310</v>
      </c>
      <c r="F761" s="518">
        <f t="shared" si="110"/>
        <v>357.85123966942149</v>
      </c>
      <c r="G761" s="535">
        <v>4763</v>
      </c>
      <c r="H761" s="535">
        <v>11054</v>
      </c>
      <c r="I761" s="518">
        <f t="shared" si="111"/>
        <v>424.28080332911162</v>
      </c>
      <c r="J761" s="535">
        <v>4690</v>
      </c>
      <c r="K761" s="521">
        <v>8083</v>
      </c>
      <c r="L761" s="519">
        <v>180</v>
      </c>
      <c r="M761" s="519">
        <f>K761*L761/1000</f>
        <v>1454.94</v>
      </c>
      <c r="N761" s="466">
        <v>4499</v>
      </c>
      <c r="O761" s="470">
        <f t="shared" si="112"/>
        <v>6911.3136252500562</v>
      </c>
      <c r="P761" s="466">
        <v>31094</v>
      </c>
      <c r="Q761" s="522">
        <v>1447</v>
      </c>
      <c r="R761" s="519">
        <v>3240</v>
      </c>
      <c r="S761" s="519">
        <f t="shared" ref="S761:S766" si="116">Q761*R761/1000</f>
        <v>4688.28</v>
      </c>
      <c r="T761" s="522">
        <v>3664</v>
      </c>
      <c r="U761" s="521">
        <v>7412</v>
      </c>
      <c r="V761" s="519">
        <f t="shared" si="113"/>
        <v>27157.567999999999</v>
      </c>
      <c r="W761" s="466">
        <f t="shared" si="114"/>
        <v>66776</v>
      </c>
      <c r="X761" s="466">
        <f t="shared" si="115"/>
        <v>96764.788</v>
      </c>
      <c r="Y761" s="66"/>
      <c r="Z761" s="66"/>
      <c r="AA761" s="66"/>
      <c r="AB761" s="66"/>
      <c r="AC761" s="66"/>
    </row>
    <row r="762" spans="1:46" x14ac:dyDescent="0.25">
      <c r="A762" s="462" t="s">
        <v>137</v>
      </c>
      <c r="B762" s="535">
        <v>37436</v>
      </c>
      <c r="C762" s="518">
        <f t="shared" si="109"/>
        <v>1169.0084410727641</v>
      </c>
      <c r="D762" s="537">
        <v>43763</v>
      </c>
      <c r="E762" s="535">
        <v>6247</v>
      </c>
      <c r="F762" s="518">
        <f t="shared" si="110"/>
        <v>426.12453977909399</v>
      </c>
      <c r="G762" s="535">
        <v>2662</v>
      </c>
      <c r="H762" s="535">
        <v>8965</v>
      </c>
      <c r="I762" s="518">
        <f t="shared" si="111"/>
        <v>553.93195761293919</v>
      </c>
      <c r="J762" s="535">
        <v>4966</v>
      </c>
      <c r="K762" s="521">
        <v>3028</v>
      </c>
      <c r="L762" s="519">
        <v>765</v>
      </c>
      <c r="M762" s="519">
        <f>K762*L762/1000</f>
        <v>2316.42</v>
      </c>
      <c r="N762" s="466">
        <v>6605</v>
      </c>
      <c r="O762" s="470">
        <f t="shared" si="112"/>
        <v>2323.6941710825131</v>
      </c>
      <c r="P762" s="466">
        <v>15348</v>
      </c>
      <c r="Q762" s="522">
        <v>1400</v>
      </c>
      <c r="R762" s="519">
        <v>3240</v>
      </c>
      <c r="S762" s="519">
        <f t="shared" si="116"/>
        <v>4536</v>
      </c>
      <c r="T762" s="522">
        <v>346</v>
      </c>
      <c r="U762" s="521">
        <v>3133</v>
      </c>
      <c r="V762" s="519">
        <f t="shared" si="113"/>
        <v>1084.018</v>
      </c>
      <c r="W762" s="466">
        <f t="shared" si="114"/>
        <v>64027</v>
      </c>
      <c r="X762" s="466">
        <f t="shared" si="115"/>
        <v>74675.437999999995</v>
      </c>
      <c r="Y762" s="66"/>
      <c r="Z762" s="66"/>
      <c r="AA762" s="66"/>
      <c r="AB762" s="66"/>
      <c r="AC762" s="66"/>
    </row>
    <row r="763" spans="1:46" x14ac:dyDescent="0.25">
      <c r="A763" s="462" t="s">
        <v>73</v>
      </c>
      <c r="B763" s="535">
        <v>33084</v>
      </c>
      <c r="C763" s="518">
        <f t="shared" si="109"/>
        <v>1288.9614315076774</v>
      </c>
      <c r="D763" s="535">
        <v>42644</v>
      </c>
      <c r="E763" s="535">
        <v>4246</v>
      </c>
      <c r="F763" s="518">
        <f t="shared" si="110"/>
        <v>391.66274140367403</v>
      </c>
      <c r="G763" s="535">
        <v>1663</v>
      </c>
      <c r="H763" s="535">
        <v>9738</v>
      </c>
      <c r="I763" s="518">
        <f t="shared" si="111"/>
        <v>560.62867118504823</v>
      </c>
      <c r="J763" s="538">
        <v>5459.402</v>
      </c>
      <c r="K763" s="521">
        <v>3040</v>
      </c>
      <c r="L763" s="519">
        <v>500</v>
      </c>
      <c r="M763" s="519">
        <f>K763*L763/1000</f>
        <v>1520</v>
      </c>
      <c r="N763" s="466">
        <v>3218</v>
      </c>
      <c r="O763" s="470">
        <f t="shared" si="112"/>
        <v>7530.4536979490367</v>
      </c>
      <c r="P763" s="466">
        <v>24233</v>
      </c>
      <c r="Q763" s="522"/>
      <c r="R763" s="519"/>
      <c r="S763" s="519"/>
      <c r="T763" s="524">
        <v>720</v>
      </c>
      <c r="U763" s="523">
        <v>1200</v>
      </c>
      <c r="V763" s="520">
        <f t="shared" si="113"/>
        <v>864</v>
      </c>
      <c r="W763" s="466">
        <f t="shared" si="114"/>
        <v>54046</v>
      </c>
      <c r="X763" s="466">
        <f t="shared" si="115"/>
        <v>76383.402000000002</v>
      </c>
      <c r="Y763" s="66"/>
      <c r="Z763" s="66"/>
      <c r="AA763" s="66"/>
      <c r="AB763" s="66"/>
      <c r="AC763" s="66"/>
    </row>
    <row r="764" spans="1:46" x14ac:dyDescent="0.25">
      <c r="A764" s="462" t="s">
        <v>162</v>
      </c>
      <c r="B764" s="535">
        <v>54141</v>
      </c>
      <c r="C764" s="518">
        <f t="shared" si="109"/>
        <v>1138.9519957148925</v>
      </c>
      <c r="D764" s="535">
        <v>61664</v>
      </c>
      <c r="E764" s="535">
        <v>36251</v>
      </c>
      <c r="F764" s="518">
        <f t="shared" si="110"/>
        <v>473.80761910016275</v>
      </c>
      <c r="G764" s="535">
        <v>17176</v>
      </c>
      <c r="H764" s="535">
        <v>12523</v>
      </c>
      <c r="I764" s="518">
        <f t="shared" si="111"/>
        <v>348.66573504751256</v>
      </c>
      <c r="J764" s="538">
        <v>4366.3410000000003</v>
      </c>
      <c r="K764" s="521"/>
      <c r="L764" s="519"/>
      <c r="M764" s="519"/>
      <c r="N764" s="466">
        <v>11241</v>
      </c>
      <c r="O764" s="470">
        <f t="shared" si="112"/>
        <v>10595.32070100525</v>
      </c>
      <c r="P764" s="466">
        <v>119102</v>
      </c>
      <c r="Q764" s="522">
        <v>23900</v>
      </c>
      <c r="R764" s="519">
        <v>4300</v>
      </c>
      <c r="S764" s="519">
        <f t="shared" si="116"/>
        <v>102770</v>
      </c>
      <c r="T764" s="524">
        <v>35</v>
      </c>
      <c r="U764" s="523">
        <v>800</v>
      </c>
      <c r="V764" s="520">
        <f t="shared" si="113"/>
        <v>28</v>
      </c>
      <c r="W764" s="466">
        <f t="shared" si="114"/>
        <v>138091</v>
      </c>
      <c r="X764" s="466">
        <f t="shared" si="115"/>
        <v>305106.34100000001</v>
      </c>
      <c r="Y764" s="66"/>
      <c r="Z764" s="66"/>
      <c r="AA764" s="66"/>
      <c r="AB764" s="66"/>
      <c r="AC764" s="66"/>
    </row>
    <row r="765" spans="1:46" x14ac:dyDescent="0.25">
      <c r="A765" s="462" t="s">
        <v>163</v>
      </c>
      <c r="B765" s="537">
        <v>47265</v>
      </c>
      <c r="C765" s="525">
        <f t="shared" si="109"/>
        <v>1082.2596001269437</v>
      </c>
      <c r="D765" s="535">
        <v>51153</v>
      </c>
      <c r="E765" s="537">
        <v>13238</v>
      </c>
      <c r="F765" s="525">
        <f t="shared" si="110"/>
        <v>439.79453089590572</v>
      </c>
      <c r="G765" s="535">
        <v>5822</v>
      </c>
      <c r="H765" s="537">
        <v>10322</v>
      </c>
      <c r="I765" s="525">
        <f t="shared" si="111"/>
        <v>473.74539817864752</v>
      </c>
      <c r="J765" s="535">
        <v>4890</v>
      </c>
      <c r="K765" s="521"/>
      <c r="L765" s="519"/>
      <c r="M765" s="519"/>
      <c r="N765" s="539">
        <v>6322</v>
      </c>
      <c r="O765" s="470">
        <f t="shared" si="112"/>
        <v>5425.4982600442891</v>
      </c>
      <c r="P765" s="466">
        <v>34300</v>
      </c>
      <c r="Q765" s="522">
        <v>10371</v>
      </c>
      <c r="R765" s="519">
        <v>4000</v>
      </c>
      <c r="S765" s="519">
        <f t="shared" si="116"/>
        <v>41484</v>
      </c>
      <c r="T765" s="524"/>
      <c r="U765" s="523"/>
      <c r="V765" s="520"/>
      <c r="W765" s="466">
        <f t="shared" si="114"/>
        <v>87518</v>
      </c>
      <c r="X765" s="466">
        <f t="shared" si="115"/>
        <v>137649</v>
      </c>
      <c r="Y765" s="66"/>
      <c r="Z765" s="66"/>
      <c r="AA765" s="66"/>
      <c r="AB765" s="66"/>
      <c r="AC765" s="66"/>
    </row>
    <row r="766" spans="1:46" x14ac:dyDescent="0.25">
      <c r="A766" s="462" t="s">
        <v>27</v>
      </c>
      <c r="B766" s="535">
        <v>34758</v>
      </c>
      <c r="C766" s="525">
        <f t="shared" si="109"/>
        <v>796.27711605961213</v>
      </c>
      <c r="D766" s="535">
        <v>27677</v>
      </c>
      <c r="E766" s="535">
        <v>15468</v>
      </c>
      <c r="F766" s="525">
        <f t="shared" si="110"/>
        <v>377.16576157227826</v>
      </c>
      <c r="G766" s="535">
        <v>5834</v>
      </c>
      <c r="H766" s="535">
        <v>16867</v>
      </c>
      <c r="I766" s="525">
        <f t="shared" si="111"/>
        <v>388.33224639829251</v>
      </c>
      <c r="J766" s="535">
        <v>6550</v>
      </c>
      <c r="K766" s="540"/>
      <c r="L766" s="519"/>
      <c r="M766" s="519"/>
      <c r="N766" s="466">
        <v>8828</v>
      </c>
      <c r="O766" s="470">
        <f t="shared" si="112"/>
        <v>7268.9170820117806</v>
      </c>
      <c r="P766" s="466">
        <v>64170</v>
      </c>
      <c r="Q766" s="522">
        <v>3868</v>
      </c>
      <c r="R766" s="519">
        <v>4846</v>
      </c>
      <c r="S766" s="519">
        <f t="shared" si="116"/>
        <v>18744.328000000001</v>
      </c>
      <c r="T766" s="524">
        <v>1038</v>
      </c>
      <c r="U766" s="523">
        <v>1200</v>
      </c>
      <c r="V766" s="520">
        <f t="shared" si="113"/>
        <v>1245.5999999999999</v>
      </c>
      <c r="W766" s="466">
        <f t="shared" si="114"/>
        <v>80827</v>
      </c>
      <c r="X766" s="466">
        <f t="shared" si="115"/>
        <v>124220.92800000001</v>
      </c>
      <c r="Y766" s="66"/>
      <c r="Z766" s="66"/>
      <c r="AA766" s="66"/>
      <c r="AB766" s="66"/>
      <c r="AC766" s="66"/>
    </row>
    <row r="767" spans="1:46" x14ac:dyDescent="0.25">
      <c r="A767" s="534" t="s">
        <v>167</v>
      </c>
      <c r="B767" s="541">
        <f>SUM(B760:B766)</f>
        <v>278046</v>
      </c>
      <c r="C767" s="541"/>
      <c r="D767" s="541">
        <f t="shared" ref="D767:P767" si="117">SUM(D760:D766)</f>
        <v>313175.86</v>
      </c>
      <c r="E767" s="541">
        <f t="shared" si="117"/>
        <v>107538</v>
      </c>
      <c r="F767" s="541"/>
      <c r="G767" s="541">
        <f t="shared" si="117"/>
        <v>44649.25</v>
      </c>
      <c r="H767" s="541">
        <f t="shared" si="117"/>
        <v>95503</v>
      </c>
      <c r="I767" s="541"/>
      <c r="J767" s="542">
        <f t="shared" si="117"/>
        <v>47602.086000000003</v>
      </c>
      <c r="K767" s="543">
        <f>SUM(K760:K765)</f>
        <v>20999</v>
      </c>
      <c r="L767" s="543"/>
      <c r="M767" s="543">
        <f>SUM(M760:M765)</f>
        <v>8715.36</v>
      </c>
      <c r="N767" s="532">
        <f t="shared" si="117"/>
        <v>45372</v>
      </c>
      <c r="O767" s="532"/>
      <c r="P767" s="532">
        <f t="shared" si="117"/>
        <v>301341.61600000004</v>
      </c>
      <c r="Q767" s="534">
        <f>SUM(Q760:Q766)</f>
        <v>40986</v>
      </c>
      <c r="R767" s="532"/>
      <c r="S767" s="532">
        <f>SUM(S760:S766)</f>
        <v>172222.60800000001</v>
      </c>
      <c r="T767" s="534">
        <f>SUM(T760:T766)</f>
        <v>6751</v>
      </c>
      <c r="U767" s="532"/>
      <c r="V767" s="532">
        <f>SUM(V760:V766)</f>
        <v>31516.785999999996</v>
      </c>
      <c r="W767" s="532">
        <f>T767+Q767+N767+K767+H767+E767+B767</f>
        <v>595195</v>
      </c>
      <c r="X767" s="532">
        <f t="shared" si="115"/>
        <v>919223.56599999999</v>
      </c>
      <c r="Y767" s="66"/>
      <c r="Z767" s="66"/>
      <c r="AA767" s="66"/>
      <c r="AB767" s="66"/>
      <c r="AC767" s="66"/>
    </row>
    <row r="768" spans="1:46" x14ac:dyDescent="0.25">
      <c r="A768" s="544" t="s">
        <v>32</v>
      </c>
      <c r="B768" s="545">
        <f>B759+B767</f>
        <v>675565</v>
      </c>
      <c r="C768" s="545"/>
      <c r="D768" s="545">
        <f t="shared" ref="D768:X768" si="118">D759+D767</f>
        <v>569928.50699999998</v>
      </c>
      <c r="E768" s="545">
        <f t="shared" si="118"/>
        <v>175251</v>
      </c>
      <c r="F768" s="545"/>
      <c r="G768" s="545">
        <f t="shared" si="118"/>
        <v>72609.464999999997</v>
      </c>
      <c r="H768" s="545">
        <f t="shared" si="118"/>
        <v>154230</v>
      </c>
      <c r="I768" s="545"/>
      <c r="J768" s="545">
        <f t="shared" si="118"/>
        <v>80350.752999999997</v>
      </c>
      <c r="K768" s="545">
        <f t="shared" si="118"/>
        <v>24150</v>
      </c>
      <c r="L768" s="545">
        <f t="shared" si="118"/>
        <v>1625</v>
      </c>
      <c r="M768" s="545">
        <f t="shared" si="118"/>
        <v>10282.41</v>
      </c>
      <c r="N768" s="545">
        <f t="shared" si="118"/>
        <v>245183</v>
      </c>
      <c r="O768" s="545"/>
      <c r="P768" s="545">
        <f t="shared" si="118"/>
        <v>323753.27600000001</v>
      </c>
      <c r="Q768" s="545">
        <f t="shared" si="118"/>
        <v>307020</v>
      </c>
      <c r="R768" s="545"/>
      <c r="S768" s="545">
        <f t="shared" si="118"/>
        <v>216561.60800000001</v>
      </c>
      <c r="T768" s="545">
        <f t="shared" si="118"/>
        <v>6751</v>
      </c>
      <c r="U768" s="545"/>
      <c r="V768" s="545">
        <f t="shared" si="118"/>
        <v>31516.785999999996</v>
      </c>
      <c r="W768" s="545">
        <f t="shared" si="118"/>
        <v>1588150</v>
      </c>
      <c r="X768" s="545">
        <f t="shared" si="118"/>
        <v>1305002.8049999999</v>
      </c>
      <c r="Y768" s="66"/>
      <c r="Z768" s="66"/>
      <c r="AA768" s="66"/>
      <c r="AB768" s="66"/>
      <c r="AC768" s="66"/>
    </row>
    <row r="769" spans="1:29" x14ac:dyDescent="0.25">
      <c r="A769" s="66"/>
      <c r="B769" s="66"/>
      <c r="C769" s="66"/>
      <c r="D769" s="66"/>
      <c r="E769" s="66"/>
      <c r="F769" s="66"/>
      <c r="G769" s="66"/>
      <c r="H769" s="66"/>
      <c r="I769" s="66"/>
      <c r="J769" s="66"/>
      <c r="K769" s="66"/>
      <c r="L769" s="66"/>
      <c r="M769" s="66"/>
      <c r="N769" s="66"/>
      <c r="O769" s="66"/>
      <c r="P769" s="66"/>
      <c r="Q769" s="66"/>
      <c r="R769" s="66"/>
      <c r="S769" s="66"/>
      <c r="T769" s="66"/>
      <c r="U769" s="66"/>
      <c r="V769" s="66"/>
      <c r="W769" s="66"/>
      <c r="X769" s="66"/>
      <c r="Y769" s="66"/>
      <c r="Z769" s="66"/>
      <c r="AA769" s="66"/>
      <c r="AB769" s="66"/>
      <c r="AC769" s="66"/>
    </row>
    <row r="770" spans="1:29" x14ac:dyDescent="0.25">
      <c r="A770" s="66"/>
      <c r="B770" s="66"/>
      <c r="C770" s="66"/>
      <c r="D770" s="66"/>
      <c r="E770" s="66"/>
      <c r="F770" s="66"/>
      <c r="G770" s="66"/>
      <c r="H770" s="66"/>
      <c r="I770" s="66"/>
      <c r="J770" s="66"/>
      <c r="K770" s="66"/>
      <c r="L770" s="66"/>
      <c r="M770" s="66"/>
      <c r="N770" s="66"/>
      <c r="O770" s="66"/>
      <c r="P770" s="66"/>
      <c r="Q770" s="66"/>
      <c r="R770" s="66"/>
      <c r="S770" s="66"/>
      <c r="T770" s="66"/>
      <c r="U770" s="66"/>
      <c r="V770" s="66"/>
      <c r="W770" s="66"/>
      <c r="X770" s="66"/>
      <c r="Y770" s="66"/>
      <c r="Z770" s="66"/>
      <c r="AA770" s="66"/>
      <c r="AB770" s="66"/>
      <c r="AC770" s="66"/>
    </row>
    <row r="771" spans="1:29" x14ac:dyDescent="0.25">
      <c r="A771" s="967" t="s">
        <v>168</v>
      </c>
      <c r="B771" s="967"/>
      <c r="C771" s="967"/>
      <c r="D771" s="967"/>
      <c r="E771" s="967"/>
      <c r="F771" s="967"/>
      <c r="G771" s="967"/>
      <c r="H771" s="967"/>
      <c r="I771" s="967"/>
      <c r="J771" s="967"/>
      <c r="K771" s="967"/>
      <c r="L771" s="967"/>
      <c r="M771" s="967"/>
      <c r="N771" s="967"/>
      <c r="O771" s="967"/>
      <c r="P771" s="967"/>
      <c r="Q771" s="967"/>
      <c r="R771" s="967"/>
      <c r="S771" s="967"/>
      <c r="T771" s="967"/>
      <c r="U771" s="967"/>
      <c r="V771" s="66"/>
      <c r="W771" s="66"/>
      <c r="X771" s="66"/>
      <c r="Y771" s="66"/>
      <c r="Z771" s="66"/>
      <c r="AA771" s="66"/>
      <c r="AB771" s="66"/>
      <c r="AC771" s="66"/>
    </row>
    <row r="772" spans="1:29" ht="15.75" thickBot="1" x14ac:dyDescent="0.3">
      <c r="A772" s="546" t="s">
        <v>123</v>
      </c>
      <c r="B772" s="547"/>
      <c r="C772" s="547"/>
      <c r="D772" s="547"/>
      <c r="E772" s="547"/>
      <c r="F772" s="547" t="s">
        <v>34</v>
      </c>
      <c r="G772" s="547"/>
      <c r="H772" s="547"/>
      <c r="I772" s="547" t="s">
        <v>102</v>
      </c>
      <c r="J772" s="547"/>
      <c r="K772" s="547"/>
      <c r="L772" s="547"/>
      <c r="M772" s="547"/>
      <c r="N772" s="547" t="s">
        <v>36</v>
      </c>
      <c r="O772" s="547"/>
      <c r="P772" s="547"/>
      <c r="Q772" s="547"/>
      <c r="R772" s="547"/>
      <c r="S772" s="547"/>
      <c r="T772" s="547"/>
      <c r="U772" s="547"/>
      <c r="V772" s="66"/>
      <c r="W772" s="66"/>
      <c r="X772" s="66"/>
      <c r="Y772" s="66"/>
      <c r="Z772" s="66"/>
      <c r="AA772" s="66"/>
      <c r="AB772" s="66"/>
      <c r="AC772" s="66"/>
    </row>
    <row r="773" spans="1:29" ht="15.75" thickTop="1" x14ac:dyDescent="0.25">
      <c r="A773" s="548" t="s">
        <v>2</v>
      </c>
      <c r="B773" s="968" t="s">
        <v>3</v>
      </c>
      <c r="C773" s="968"/>
      <c r="D773" s="968"/>
      <c r="E773" s="968" t="s">
        <v>4</v>
      </c>
      <c r="F773" s="968"/>
      <c r="G773" s="968"/>
      <c r="H773" s="968" t="s">
        <v>5</v>
      </c>
      <c r="I773" s="968"/>
      <c r="J773" s="968"/>
      <c r="K773" s="968" t="s">
        <v>6</v>
      </c>
      <c r="L773" s="968"/>
      <c r="M773" s="968"/>
      <c r="N773" s="968" t="s">
        <v>169</v>
      </c>
      <c r="O773" s="968"/>
      <c r="P773" s="968"/>
      <c r="Q773" s="968" t="s">
        <v>8</v>
      </c>
      <c r="R773" s="968"/>
      <c r="S773" s="968"/>
      <c r="T773" s="969" t="s">
        <v>44</v>
      </c>
      <c r="U773" s="970"/>
      <c r="V773" s="66"/>
      <c r="W773" s="66"/>
      <c r="X773" s="66"/>
      <c r="Y773" s="66"/>
      <c r="Z773" s="66"/>
      <c r="AA773" s="66"/>
      <c r="AB773" s="66"/>
      <c r="AC773" s="66"/>
    </row>
    <row r="774" spans="1:29" x14ac:dyDescent="0.25">
      <c r="A774" s="549" t="s">
        <v>131</v>
      </c>
      <c r="B774" s="550" t="s">
        <v>170</v>
      </c>
      <c r="C774" s="550" t="s">
        <v>171</v>
      </c>
      <c r="D774" s="550" t="s">
        <v>172</v>
      </c>
      <c r="E774" s="550" t="s">
        <v>170</v>
      </c>
      <c r="F774" s="550" t="s">
        <v>171</v>
      </c>
      <c r="G774" s="550" t="s">
        <v>172</v>
      </c>
      <c r="H774" s="550" t="s">
        <v>170</v>
      </c>
      <c r="I774" s="550" t="s">
        <v>171</v>
      </c>
      <c r="J774" s="550" t="s">
        <v>172</v>
      </c>
      <c r="K774" s="550" t="s">
        <v>170</v>
      </c>
      <c r="L774" s="550" t="s">
        <v>171</v>
      </c>
      <c r="M774" s="550" t="s">
        <v>172</v>
      </c>
      <c r="N774" s="550" t="s">
        <v>170</v>
      </c>
      <c r="O774" s="550" t="s">
        <v>171</v>
      </c>
      <c r="P774" s="550" t="s">
        <v>172</v>
      </c>
      <c r="Q774" s="550" t="s">
        <v>170</v>
      </c>
      <c r="R774" s="550" t="s">
        <v>171</v>
      </c>
      <c r="S774" s="550" t="s">
        <v>172</v>
      </c>
      <c r="T774" s="551" t="s">
        <v>170</v>
      </c>
      <c r="U774" s="552" t="s">
        <v>172</v>
      </c>
      <c r="V774" s="66"/>
      <c r="W774" s="66"/>
      <c r="X774" s="66"/>
      <c r="Y774" s="66"/>
      <c r="Z774" s="66"/>
      <c r="AA774" s="66"/>
      <c r="AB774" s="66"/>
      <c r="AC774" s="66"/>
    </row>
    <row r="775" spans="1:29" x14ac:dyDescent="0.25">
      <c r="A775" s="553" t="s">
        <v>15</v>
      </c>
      <c r="B775" s="554">
        <v>195104</v>
      </c>
      <c r="C775" s="554">
        <v>306.30217391304348</v>
      </c>
      <c r="D775" s="554">
        <f>(C775*B775)/1000</f>
        <v>59760.779339130429</v>
      </c>
      <c r="E775" s="555">
        <f>8157+64466</f>
        <v>72623</v>
      </c>
      <c r="F775" s="554">
        <v>122</v>
      </c>
      <c r="G775" s="554">
        <f>(F775*E775)/1000</f>
        <v>8860.0059999999994</v>
      </c>
      <c r="H775" s="555"/>
      <c r="I775" s="554"/>
      <c r="J775" s="554">
        <f t="shared" ref="J775:J785" si="119">(I775*H775)/1000</f>
        <v>0</v>
      </c>
      <c r="K775" s="555">
        <v>4</v>
      </c>
      <c r="L775" s="554">
        <v>1215</v>
      </c>
      <c r="M775" s="554">
        <f t="shared" ref="M775:M793" si="120">(L775*K775)/1000</f>
        <v>4.8600000000000003</v>
      </c>
      <c r="N775" s="556">
        <v>99711</v>
      </c>
      <c r="O775" s="554">
        <v>800</v>
      </c>
      <c r="P775" s="554">
        <f>(O775*N775)/1000</f>
        <v>79768.800000000003</v>
      </c>
      <c r="Q775" s="554"/>
      <c r="R775" s="554"/>
      <c r="S775" s="554"/>
      <c r="T775" s="557">
        <f>N775+K775+H775+E775+B775</f>
        <v>367442</v>
      </c>
      <c r="U775" s="558">
        <f t="shared" ref="U775:U785" si="121">P775+M775+J775+G775+D775</f>
        <v>148394.44533913041</v>
      </c>
      <c r="V775" s="66"/>
      <c r="W775" s="66"/>
      <c r="X775" s="66"/>
      <c r="Y775" s="66"/>
      <c r="Z775" s="66"/>
      <c r="AA775" s="66"/>
      <c r="AB775" s="66"/>
      <c r="AC775" s="66"/>
    </row>
    <row r="776" spans="1:29" x14ac:dyDescent="0.25">
      <c r="A776" s="553" t="s">
        <v>132</v>
      </c>
      <c r="B776" s="554">
        <v>34640</v>
      </c>
      <c r="C776" s="554">
        <v>400</v>
      </c>
      <c r="D776" s="554">
        <f t="shared" ref="D776:D781" si="122">(C777*B776)/1000</f>
        <v>23744.701176470589</v>
      </c>
      <c r="E776" s="555">
        <v>100</v>
      </c>
      <c r="F776" s="554">
        <v>600</v>
      </c>
      <c r="G776" s="554">
        <f>(F776*E776)/1000</f>
        <v>60</v>
      </c>
      <c r="H776" s="555">
        <v>4000</v>
      </c>
      <c r="I776" s="554">
        <v>500</v>
      </c>
      <c r="J776" s="554">
        <f t="shared" si="119"/>
        <v>2000</v>
      </c>
      <c r="K776" s="555">
        <v>0</v>
      </c>
      <c r="L776" s="554"/>
      <c r="M776" s="554">
        <f t="shared" si="120"/>
        <v>0</v>
      </c>
      <c r="N776" s="556"/>
      <c r="O776" s="554"/>
      <c r="P776" s="554">
        <f>(O776*N776)/1000</f>
        <v>0</v>
      </c>
      <c r="Q776" s="554"/>
      <c r="R776" s="554"/>
      <c r="S776" s="554"/>
      <c r="T776" s="557">
        <f>N776+K776+H776+E776+B776</f>
        <v>38740</v>
      </c>
      <c r="U776" s="558">
        <f t="shared" si="121"/>
        <v>25804.701176470589</v>
      </c>
      <c r="V776" s="66"/>
      <c r="W776" s="66"/>
      <c r="X776" s="66"/>
      <c r="Y776" s="66"/>
      <c r="Z776" s="66"/>
      <c r="AA776" s="66"/>
      <c r="AB776" s="66"/>
      <c r="AC776" s="66"/>
    </row>
    <row r="777" spans="1:29" x14ac:dyDescent="0.25">
      <c r="A777" s="553" t="s">
        <v>103</v>
      </c>
      <c r="B777" s="554">
        <v>93706</v>
      </c>
      <c r="C777" s="554">
        <v>685.47058823529414</v>
      </c>
      <c r="D777" s="554">
        <f t="shared" si="122"/>
        <v>72203.150314285725</v>
      </c>
      <c r="E777" s="555">
        <v>124281</v>
      </c>
      <c r="F777" s="554">
        <v>666</v>
      </c>
      <c r="G777" s="554">
        <f>(F777*E777)/1000</f>
        <v>82771.145999999993</v>
      </c>
      <c r="H777" s="555">
        <v>24841</v>
      </c>
      <c r="I777" s="554">
        <v>797</v>
      </c>
      <c r="J777" s="554">
        <f t="shared" si="119"/>
        <v>19798.276999999998</v>
      </c>
      <c r="K777" s="555">
        <v>3776</v>
      </c>
      <c r="L777" s="554"/>
      <c r="M777" s="554">
        <f t="shared" si="120"/>
        <v>0</v>
      </c>
      <c r="N777" s="556">
        <v>3009</v>
      </c>
      <c r="O777" s="554">
        <v>1953</v>
      </c>
      <c r="P777" s="554">
        <f>(O777*N777)/1000</f>
        <v>5876.5770000000002</v>
      </c>
      <c r="Q777" s="554"/>
      <c r="R777" s="554"/>
      <c r="S777" s="554"/>
      <c r="T777" s="559">
        <f t="shared" ref="T777:T793" si="123">N777+K777+H777+E777+B777</f>
        <v>249613</v>
      </c>
      <c r="U777" s="560">
        <f t="shared" si="121"/>
        <v>180649.15031428571</v>
      </c>
      <c r="V777" s="66"/>
      <c r="W777" s="66"/>
      <c r="X777" s="66"/>
      <c r="Y777" s="66"/>
      <c r="Z777" s="66"/>
      <c r="AA777" s="66"/>
      <c r="AB777" s="66"/>
      <c r="AC777" s="66"/>
    </row>
    <row r="778" spans="1:29" x14ac:dyDescent="0.25">
      <c r="A778" s="553" t="s">
        <v>20</v>
      </c>
      <c r="B778" s="554">
        <v>61590</v>
      </c>
      <c r="C778" s="554">
        <v>770.52857142857147</v>
      </c>
      <c r="D778" s="554">
        <f t="shared" si="122"/>
        <v>20188.5861</v>
      </c>
      <c r="E778" s="555">
        <f>86246+16208</f>
        <v>102454</v>
      </c>
      <c r="F778" s="554">
        <v>2517</v>
      </c>
      <c r="G778" s="554">
        <f t="shared" ref="G778:G793" si="124">(F778*E778)/1000</f>
        <v>257876.71799999999</v>
      </c>
      <c r="H778" s="555">
        <f>429+1350</f>
        <v>1779</v>
      </c>
      <c r="I778" s="554">
        <v>700</v>
      </c>
      <c r="J778" s="554">
        <f t="shared" si="119"/>
        <v>1245.3</v>
      </c>
      <c r="K778" s="555">
        <f>242+305</f>
        <v>547</v>
      </c>
      <c r="L778" s="554">
        <v>1200</v>
      </c>
      <c r="M778" s="554">
        <f t="shared" si="120"/>
        <v>656.4</v>
      </c>
      <c r="N778" s="556">
        <v>11344</v>
      </c>
      <c r="O778" s="554">
        <v>1342</v>
      </c>
      <c r="P778" s="554">
        <f>(O778*N778)/1000</f>
        <v>15223.647999999999</v>
      </c>
      <c r="Q778" s="554"/>
      <c r="R778" s="554"/>
      <c r="S778" s="554"/>
      <c r="T778" s="559">
        <f t="shared" si="123"/>
        <v>177714</v>
      </c>
      <c r="U778" s="560">
        <f t="shared" si="121"/>
        <v>295190.65210000001</v>
      </c>
      <c r="V778" s="66"/>
      <c r="W778" s="66"/>
      <c r="X778" s="66"/>
      <c r="Y778" s="66"/>
      <c r="Z778" s="66"/>
      <c r="AA778" s="66"/>
      <c r="AB778" s="66"/>
      <c r="AC778" s="66"/>
    </row>
    <row r="779" spans="1:29" x14ac:dyDescent="0.25">
      <c r="A779" s="553" t="s">
        <v>133</v>
      </c>
      <c r="B779" s="554">
        <v>76554</v>
      </c>
      <c r="C779" s="554">
        <v>327.79</v>
      </c>
      <c r="D779" s="554">
        <f t="shared" si="122"/>
        <v>26247.474559999999</v>
      </c>
      <c r="E779" s="555">
        <v>89852</v>
      </c>
      <c r="F779" s="554">
        <v>383</v>
      </c>
      <c r="G779" s="554">
        <f t="shared" si="124"/>
        <v>34413.315999999999</v>
      </c>
      <c r="H779" s="555">
        <v>46093</v>
      </c>
      <c r="I779" s="554">
        <v>1077</v>
      </c>
      <c r="J779" s="554">
        <f t="shared" si="119"/>
        <v>49642.161</v>
      </c>
      <c r="K779" s="555">
        <v>779</v>
      </c>
      <c r="L779" s="554">
        <v>6000</v>
      </c>
      <c r="M779" s="554">
        <f t="shared" si="120"/>
        <v>4674</v>
      </c>
      <c r="N779" s="556">
        <v>950</v>
      </c>
      <c r="O779" s="554">
        <v>2217</v>
      </c>
      <c r="P779" s="554">
        <f>(O779*N779)/1000</f>
        <v>2106.15</v>
      </c>
      <c r="Q779" s="554"/>
      <c r="R779" s="554"/>
      <c r="S779" s="554"/>
      <c r="T779" s="559">
        <f t="shared" si="123"/>
        <v>214228</v>
      </c>
      <c r="U779" s="560">
        <f t="shared" si="121"/>
        <v>117083.10156000001</v>
      </c>
      <c r="V779" s="66"/>
      <c r="W779" s="66"/>
      <c r="X779" s="66"/>
      <c r="Y779" s="66"/>
      <c r="Z779" s="66"/>
      <c r="AA779" s="66"/>
      <c r="AB779" s="66"/>
      <c r="AC779" s="66"/>
    </row>
    <row r="780" spans="1:29" x14ac:dyDescent="0.25">
      <c r="A780" s="553" t="s">
        <v>21</v>
      </c>
      <c r="B780" s="554">
        <v>46150</v>
      </c>
      <c r="C780" s="554">
        <v>342.86222222222221</v>
      </c>
      <c r="D780" s="554">
        <f t="shared" si="122"/>
        <v>25165.1335</v>
      </c>
      <c r="E780" s="555">
        <v>0</v>
      </c>
      <c r="F780" s="554"/>
      <c r="G780" s="554">
        <f t="shared" si="124"/>
        <v>0</v>
      </c>
      <c r="H780" s="555">
        <v>1020</v>
      </c>
      <c r="I780" s="554">
        <v>450</v>
      </c>
      <c r="J780" s="554">
        <f t="shared" si="119"/>
        <v>459</v>
      </c>
      <c r="K780" s="555">
        <v>0</v>
      </c>
      <c r="L780" s="554">
        <v>5000</v>
      </c>
      <c r="M780" s="554">
        <f t="shared" si="120"/>
        <v>0</v>
      </c>
      <c r="N780" s="556"/>
      <c r="O780" s="554"/>
      <c r="P780" s="554">
        <f t="shared" ref="P780:P785" si="125">(O780*N780)/1000</f>
        <v>0</v>
      </c>
      <c r="Q780" s="554"/>
      <c r="R780" s="554"/>
      <c r="S780" s="554"/>
      <c r="T780" s="559">
        <f t="shared" si="123"/>
        <v>47170</v>
      </c>
      <c r="U780" s="560">
        <f t="shared" si="121"/>
        <v>25624.1335</v>
      </c>
      <c r="V780" s="66"/>
      <c r="W780" s="66"/>
      <c r="X780" s="66"/>
      <c r="Y780" s="66"/>
      <c r="Z780" s="66"/>
      <c r="AA780" s="66"/>
      <c r="AB780" s="66"/>
      <c r="AC780" s="66"/>
    </row>
    <row r="781" spans="1:29" x14ac:dyDescent="0.25">
      <c r="A781" s="553" t="s">
        <v>22</v>
      </c>
      <c r="B781" s="554">
        <v>29069</v>
      </c>
      <c r="C781" s="554">
        <v>545.29</v>
      </c>
      <c r="D781" s="554">
        <f t="shared" si="122"/>
        <v>25435.375</v>
      </c>
      <c r="E781" s="555">
        <v>364</v>
      </c>
      <c r="F781" s="554">
        <v>1900</v>
      </c>
      <c r="G781" s="554">
        <f t="shared" si="124"/>
        <v>691.6</v>
      </c>
      <c r="H781" s="555">
        <v>32513</v>
      </c>
      <c r="I781" s="554">
        <v>2355</v>
      </c>
      <c r="J781" s="554">
        <f t="shared" si="119"/>
        <v>76568.115000000005</v>
      </c>
      <c r="K781" s="555">
        <v>592</v>
      </c>
      <c r="L781" s="554"/>
      <c r="M781" s="554">
        <f>(L781*K781)/1000</f>
        <v>0</v>
      </c>
      <c r="N781" s="556">
        <v>500</v>
      </c>
      <c r="O781" s="554">
        <v>1900</v>
      </c>
      <c r="P781" s="554">
        <f t="shared" si="125"/>
        <v>950</v>
      </c>
      <c r="Q781" s="561">
        <v>3500</v>
      </c>
      <c r="R781" s="554">
        <v>2500</v>
      </c>
      <c r="S781" s="554">
        <f>(R781*Q781)/1000</f>
        <v>8750</v>
      </c>
      <c r="T781" s="559">
        <f t="shared" si="123"/>
        <v>63038</v>
      </c>
      <c r="U781" s="560">
        <f>P781+M781+J781+G781+D781+S781</f>
        <v>112395.09000000001</v>
      </c>
      <c r="V781" s="66"/>
      <c r="W781" s="66"/>
      <c r="X781" s="66"/>
      <c r="Y781" s="66"/>
      <c r="Z781" s="66"/>
      <c r="AA781" s="66"/>
      <c r="AB781" s="66"/>
      <c r="AC781" s="66"/>
    </row>
    <row r="782" spans="1:29" s="729" customFormat="1" x14ac:dyDescent="0.25">
      <c r="A782" s="740" t="s">
        <v>23</v>
      </c>
      <c r="B782" s="741">
        <v>253093</v>
      </c>
      <c r="C782" s="741">
        <v>875</v>
      </c>
      <c r="D782" s="741">
        <f>(C783*B782)/1000</f>
        <v>188048.09899999999</v>
      </c>
      <c r="E782" s="742">
        <v>118906</v>
      </c>
      <c r="F782" s="741"/>
      <c r="G782" s="741">
        <f t="shared" si="124"/>
        <v>0</v>
      </c>
      <c r="H782" s="742">
        <v>257</v>
      </c>
      <c r="I782" s="741">
        <v>961</v>
      </c>
      <c r="J782" s="741">
        <f t="shared" si="119"/>
        <v>246.977</v>
      </c>
      <c r="K782" s="742"/>
      <c r="L782" s="741"/>
      <c r="M782" s="741">
        <f t="shared" si="120"/>
        <v>0</v>
      </c>
      <c r="N782" s="743">
        <v>850</v>
      </c>
      <c r="O782" s="741">
        <v>950</v>
      </c>
      <c r="P782" s="741">
        <f t="shared" si="125"/>
        <v>807.5</v>
      </c>
      <c r="Q782" s="741"/>
      <c r="R782" s="741"/>
      <c r="S782" s="741"/>
      <c r="T782" s="744">
        <f t="shared" si="123"/>
        <v>373106</v>
      </c>
      <c r="U782" s="745">
        <f t="shared" si="121"/>
        <v>189102.576</v>
      </c>
      <c r="V782" s="739"/>
      <c r="W782" s="739"/>
      <c r="X782" s="739"/>
      <c r="Y782" s="739"/>
      <c r="Z782" s="739"/>
      <c r="AA782" s="739"/>
      <c r="AB782" s="739"/>
      <c r="AC782" s="739"/>
    </row>
    <row r="783" spans="1:29" x14ac:dyDescent="0.25">
      <c r="A783" s="553" t="s">
        <v>24</v>
      </c>
      <c r="B783" s="554">
        <v>9198</v>
      </c>
      <c r="C783" s="554">
        <v>743</v>
      </c>
      <c r="D783" s="554">
        <f>(C783*B783)/1000</f>
        <v>6834.1139999999996</v>
      </c>
      <c r="E783" s="555">
        <v>22947</v>
      </c>
      <c r="F783" s="554">
        <v>948</v>
      </c>
      <c r="G783" s="554">
        <f t="shared" si="124"/>
        <v>21753.756000000001</v>
      </c>
      <c r="H783" s="555">
        <v>30429</v>
      </c>
      <c r="I783" s="554">
        <v>1200</v>
      </c>
      <c r="J783" s="554">
        <f t="shared" si="119"/>
        <v>36514.800000000003</v>
      </c>
      <c r="K783" s="555">
        <v>5194</v>
      </c>
      <c r="L783" s="554">
        <v>4051</v>
      </c>
      <c r="M783" s="554">
        <f>(L783*K783)/1000</f>
        <v>21040.894</v>
      </c>
      <c r="N783" s="556">
        <v>211540</v>
      </c>
      <c r="O783" s="554">
        <v>1561</v>
      </c>
      <c r="P783" s="554">
        <f t="shared" si="125"/>
        <v>330213.94</v>
      </c>
      <c r="Q783" s="554"/>
      <c r="R783" s="554"/>
      <c r="S783" s="554"/>
      <c r="T783" s="559">
        <f t="shared" si="123"/>
        <v>279308</v>
      </c>
      <c r="U783" s="560">
        <f t="shared" si="121"/>
        <v>416357.50400000002</v>
      </c>
      <c r="V783" s="66"/>
      <c r="W783" s="66"/>
      <c r="X783" s="66"/>
      <c r="Y783" s="66"/>
      <c r="Z783" s="66"/>
      <c r="AA783" s="66"/>
      <c r="AB783" s="66"/>
      <c r="AC783" s="66"/>
    </row>
    <row r="784" spans="1:29" x14ac:dyDescent="0.25">
      <c r="A784" s="553" t="s">
        <v>134</v>
      </c>
      <c r="B784" s="554">
        <v>170767</v>
      </c>
      <c r="C784" s="554">
        <v>1132</v>
      </c>
      <c r="D784" s="554">
        <f>(C784*B784)/1000</f>
        <v>193308.24400000001</v>
      </c>
      <c r="E784" s="555">
        <f>88224+76249</f>
        <v>164473</v>
      </c>
      <c r="F784" s="554">
        <v>1432</v>
      </c>
      <c r="G784" s="554">
        <f t="shared" si="124"/>
        <v>235525.33600000001</v>
      </c>
      <c r="H784" s="555">
        <v>97207</v>
      </c>
      <c r="I784" s="554">
        <v>1910</v>
      </c>
      <c r="J784" s="554">
        <f t="shared" si="119"/>
        <v>185665.37</v>
      </c>
      <c r="K784" s="555">
        <v>547</v>
      </c>
      <c r="L784" s="554">
        <v>1608</v>
      </c>
      <c r="M784" s="554">
        <f t="shared" si="120"/>
        <v>879.57600000000002</v>
      </c>
      <c r="N784" s="556">
        <v>6233</v>
      </c>
      <c r="O784" s="554">
        <v>1523</v>
      </c>
      <c r="P784" s="554">
        <f>(O784*N784)/1000</f>
        <v>9492.8590000000004</v>
      </c>
      <c r="Q784" s="554"/>
      <c r="R784" s="554"/>
      <c r="S784" s="554"/>
      <c r="T784" s="559">
        <f t="shared" si="123"/>
        <v>439227</v>
      </c>
      <c r="U784" s="560">
        <f t="shared" si="121"/>
        <v>624871.38500000001</v>
      </c>
      <c r="V784" s="66"/>
      <c r="W784" s="66"/>
      <c r="X784" s="66"/>
      <c r="Y784" s="66"/>
      <c r="Z784" s="66"/>
      <c r="AA784" s="66"/>
      <c r="AB784" s="66"/>
      <c r="AC784" s="66"/>
    </row>
    <row r="785" spans="1:29" x14ac:dyDescent="0.25">
      <c r="A785" s="553" t="s">
        <v>161</v>
      </c>
      <c r="B785" s="554">
        <v>181421</v>
      </c>
      <c r="C785" s="554">
        <v>502.55833333333328</v>
      </c>
      <c r="D785" s="554">
        <f t="shared" ref="D785:D793" si="126">(C785*B785)/1000</f>
        <v>91174.635391666656</v>
      </c>
      <c r="E785" s="555">
        <f>31022+8482</f>
        <v>39504</v>
      </c>
      <c r="F785" s="554">
        <v>4888.7</v>
      </c>
      <c r="G785" s="554">
        <f t="shared" si="124"/>
        <v>193123.20479999998</v>
      </c>
      <c r="H785" s="555"/>
      <c r="I785" s="554"/>
      <c r="J785" s="554">
        <f t="shared" si="119"/>
        <v>0</v>
      </c>
      <c r="K785" s="555"/>
      <c r="L785" s="554"/>
      <c r="M785" s="554">
        <f t="shared" si="120"/>
        <v>0</v>
      </c>
      <c r="N785" s="556">
        <v>32</v>
      </c>
      <c r="O785" s="554">
        <v>700</v>
      </c>
      <c r="P785" s="554">
        <f t="shared" si="125"/>
        <v>22.4</v>
      </c>
      <c r="Q785" s="554"/>
      <c r="R785" s="554"/>
      <c r="S785" s="554"/>
      <c r="T785" s="559">
        <f t="shared" si="123"/>
        <v>220957</v>
      </c>
      <c r="U785" s="560">
        <f t="shared" si="121"/>
        <v>284320.24019166664</v>
      </c>
      <c r="V785" s="66"/>
      <c r="W785" s="66"/>
      <c r="X785" s="66"/>
      <c r="Y785" s="66"/>
      <c r="Z785" s="66"/>
      <c r="AA785" s="66"/>
      <c r="AB785" s="66"/>
      <c r="AC785" s="66"/>
    </row>
    <row r="786" spans="1:29" x14ac:dyDescent="0.25">
      <c r="A786" s="549" t="s">
        <v>173</v>
      </c>
      <c r="B786" s="562">
        <f>SUM(B775:B785)</f>
        <v>1151292</v>
      </c>
      <c r="C786" s="554"/>
      <c r="D786" s="562">
        <f>SUM(D775:D785)</f>
        <v>732110.29238155345</v>
      </c>
      <c r="E786" s="562">
        <f>SUM(E775:E785)</f>
        <v>735504</v>
      </c>
      <c r="F786" s="554"/>
      <c r="G786" s="562">
        <f>SUM(G775:G785)</f>
        <v>835075.08279999997</v>
      </c>
      <c r="H786" s="562">
        <f>SUM(H775:H785)</f>
        <v>238139</v>
      </c>
      <c r="I786" s="554"/>
      <c r="J786" s="562">
        <f>SUM(J775:J785)</f>
        <v>372140</v>
      </c>
      <c r="K786" s="562">
        <f>SUM(K775:K785)</f>
        <v>11439</v>
      </c>
      <c r="L786" s="554"/>
      <c r="M786" s="562">
        <f>SUM(M775:M785)</f>
        <v>27255.730000000003</v>
      </c>
      <c r="N786" s="562">
        <f>SUM(N775:N785)</f>
        <v>334169</v>
      </c>
      <c r="O786" s="554"/>
      <c r="P786" s="562">
        <f>SUM(P775:P785)</f>
        <v>444461.87400000001</v>
      </c>
      <c r="Q786" s="562">
        <f>SUM(Q775:Q785)</f>
        <v>3500</v>
      </c>
      <c r="R786" s="562"/>
      <c r="S786" s="562">
        <f>SUM(S775:S785)</f>
        <v>8750</v>
      </c>
      <c r="T786" s="557">
        <f>Q786+N786+K786+H786+E786+B786</f>
        <v>2474043</v>
      </c>
      <c r="U786" s="563">
        <f>SUM(U775:U785)</f>
        <v>2419792.9791815532</v>
      </c>
      <c r="V786" s="66"/>
      <c r="W786" s="66"/>
      <c r="X786" s="66">
        <f t="shared" ref="X786:X795" si="127">+(U786+X733+X703+X677+X623)/5</f>
        <v>1479172.1280363107</v>
      </c>
      <c r="Y786" s="66"/>
      <c r="Z786" s="66"/>
      <c r="AA786" s="66"/>
      <c r="AB786" s="66"/>
      <c r="AC786" s="66"/>
    </row>
    <row r="787" spans="1:29" x14ac:dyDescent="0.25">
      <c r="A787" s="564" t="s">
        <v>135</v>
      </c>
      <c r="B787" s="555">
        <v>41246</v>
      </c>
      <c r="C787" s="554">
        <v>460.86486486486478</v>
      </c>
      <c r="D787" s="554">
        <f t="shared" si="126"/>
        <v>19008.832216216215</v>
      </c>
      <c r="E787" s="555">
        <v>99826</v>
      </c>
      <c r="F787" s="554">
        <v>432</v>
      </c>
      <c r="G787" s="554">
        <f t="shared" si="124"/>
        <v>43124.832000000002</v>
      </c>
      <c r="H787" s="555">
        <v>9922</v>
      </c>
      <c r="I787" s="554">
        <v>1121</v>
      </c>
      <c r="J787" s="554">
        <f t="shared" ref="J787:J793" si="128">(I787*H787)/1000</f>
        <v>11122.562</v>
      </c>
      <c r="K787" s="555">
        <v>12321</v>
      </c>
      <c r="L787" s="554">
        <v>906</v>
      </c>
      <c r="M787" s="554">
        <f t="shared" si="120"/>
        <v>11162.825999999999</v>
      </c>
      <c r="N787" s="555"/>
      <c r="O787" s="554"/>
      <c r="P787" s="554">
        <f t="shared" ref="P787:P793" si="129">(O787*N787)/1000</f>
        <v>0</v>
      </c>
      <c r="Q787" s="554"/>
      <c r="R787" s="554"/>
      <c r="S787" s="554"/>
      <c r="T787" s="559">
        <f t="shared" si="123"/>
        <v>163315</v>
      </c>
      <c r="U787" s="560">
        <f>P787+M787+J787+G787+D787</f>
        <v>84419.052216216223</v>
      </c>
      <c r="V787" s="66"/>
      <c r="W787" s="66"/>
      <c r="X787" s="66">
        <f t="shared" si="127"/>
        <v>131664.43224324324</v>
      </c>
      <c r="Y787" s="66"/>
      <c r="Z787" s="66"/>
      <c r="AA787" s="66"/>
      <c r="AB787" s="66"/>
      <c r="AC787" s="66"/>
    </row>
    <row r="788" spans="1:29" x14ac:dyDescent="0.25">
      <c r="A788" s="564" t="s">
        <v>136</v>
      </c>
      <c r="B788" s="555">
        <f>8261+2108+2356+6142</f>
        <v>18867</v>
      </c>
      <c r="C788" s="554">
        <v>576</v>
      </c>
      <c r="D788" s="554">
        <f t="shared" si="126"/>
        <v>10867.392</v>
      </c>
      <c r="E788" s="555">
        <f>15292+11952+14013+9545</f>
        <v>50802</v>
      </c>
      <c r="F788" s="554">
        <v>953</v>
      </c>
      <c r="G788" s="554">
        <f t="shared" si="124"/>
        <v>48414.305999999997</v>
      </c>
      <c r="H788" s="555">
        <f>4639+1645+1146+1228</f>
        <v>8658</v>
      </c>
      <c r="I788" s="554">
        <v>2353</v>
      </c>
      <c r="J788" s="554">
        <f t="shared" si="128"/>
        <v>20372.274000000001</v>
      </c>
      <c r="K788" s="555">
        <f>14585+3957+8555+152</f>
        <v>27249</v>
      </c>
      <c r="L788" s="554">
        <v>2328</v>
      </c>
      <c r="M788" s="554">
        <f t="shared" si="120"/>
        <v>63435.671999999999</v>
      </c>
      <c r="N788" s="555">
        <v>76331</v>
      </c>
      <c r="O788" s="554">
        <v>545</v>
      </c>
      <c r="P788" s="554">
        <f t="shared" si="129"/>
        <v>41600.394999999997</v>
      </c>
      <c r="Q788" s="554"/>
      <c r="R788" s="554"/>
      <c r="S788" s="554"/>
      <c r="T788" s="559">
        <f t="shared" si="123"/>
        <v>181907</v>
      </c>
      <c r="U788" s="560">
        <f t="shared" ref="U788:U793" si="130">P788+M788+J788+G788+D788</f>
        <v>184690.03899999999</v>
      </c>
      <c r="V788" s="66"/>
      <c r="W788" s="66"/>
      <c r="X788" s="66">
        <f t="shared" si="127"/>
        <v>144506.40239999999</v>
      </c>
      <c r="Y788" s="66"/>
      <c r="Z788" s="66"/>
      <c r="AA788" s="66"/>
      <c r="AB788" s="66"/>
      <c r="AC788" s="66"/>
    </row>
    <row r="789" spans="1:29" x14ac:dyDescent="0.25">
      <c r="A789" s="564" t="s">
        <v>137</v>
      </c>
      <c r="B789" s="555">
        <f>3053+2710</f>
        <v>5763</v>
      </c>
      <c r="C789" s="554">
        <v>491</v>
      </c>
      <c r="D789" s="554">
        <f>(C789*B789)/1000</f>
        <v>2829.6329999999998</v>
      </c>
      <c r="E789" s="555">
        <f>36479+33259</f>
        <v>69738</v>
      </c>
      <c r="F789" s="554">
        <v>760</v>
      </c>
      <c r="G789" s="554">
        <f t="shared" si="124"/>
        <v>53000.88</v>
      </c>
      <c r="H789" s="555">
        <f>21142+16709</f>
        <v>37851</v>
      </c>
      <c r="I789" s="554">
        <v>762</v>
      </c>
      <c r="J789" s="554">
        <f t="shared" si="128"/>
        <v>28842.462</v>
      </c>
      <c r="K789" s="555">
        <f>2653+4272</f>
        <v>6925</v>
      </c>
      <c r="L789" s="554">
        <v>2610</v>
      </c>
      <c r="M789" s="554">
        <f t="shared" si="120"/>
        <v>18074.25</v>
      </c>
      <c r="N789" s="555">
        <v>10761</v>
      </c>
      <c r="O789" s="554">
        <v>732</v>
      </c>
      <c r="P789" s="554">
        <f t="shared" si="129"/>
        <v>7877.0519999999997</v>
      </c>
      <c r="Q789" s="554"/>
      <c r="R789" s="554"/>
      <c r="S789" s="554"/>
      <c r="T789" s="559">
        <f t="shared" si="123"/>
        <v>131038</v>
      </c>
      <c r="U789" s="560">
        <f t="shared" si="130"/>
        <v>110624.277</v>
      </c>
      <c r="V789" s="66"/>
      <c r="W789" s="66"/>
      <c r="X789" s="66">
        <f t="shared" si="127"/>
        <v>95895.677200000006</v>
      </c>
      <c r="Y789" s="66"/>
      <c r="Z789" s="66"/>
      <c r="AA789" s="66"/>
      <c r="AB789" s="66"/>
      <c r="AC789" s="66"/>
    </row>
    <row r="790" spans="1:29" x14ac:dyDescent="0.25">
      <c r="A790" s="564" t="s">
        <v>73</v>
      </c>
      <c r="B790" s="555">
        <v>27532</v>
      </c>
      <c r="C790" s="554">
        <v>534</v>
      </c>
      <c r="D790" s="554">
        <f>(C789*B790)/1000</f>
        <v>13518.212</v>
      </c>
      <c r="E790" s="555">
        <v>53221</v>
      </c>
      <c r="F790" s="554">
        <v>777</v>
      </c>
      <c r="G790" s="554">
        <f t="shared" si="124"/>
        <v>41352.716999999997</v>
      </c>
      <c r="H790" s="555">
        <v>9357</v>
      </c>
      <c r="I790" s="554">
        <v>367</v>
      </c>
      <c r="J790" s="554">
        <f t="shared" si="128"/>
        <v>3434.0189999999998</v>
      </c>
      <c r="K790" s="555">
        <v>2230</v>
      </c>
      <c r="L790" s="554">
        <v>1590</v>
      </c>
      <c r="M790" s="554">
        <f t="shared" si="120"/>
        <v>3545.7</v>
      </c>
      <c r="N790" s="555">
        <v>675</v>
      </c>
      <c r="O790" s="554">
        <v>9130</v>
      </c>
      <c r="P790" s="554">
        <f t="shared" si="129"/>
        <v>6162.75</v>
      </c>
      <c r="Q790" s="554"/>
      <c r="R790" s="554"/>
      <c r="S790" s="554"/>
      <c r="T790" s="559">
        <f t="shared" si="123"/>
        <v>93015</v>
      </c>
      <c r="U790" s="560">
        <f t="shared" si="130"/>
        <v>68013.398000000001</v>
      </c>
      <c r="V790" s="66"/>
      <c r="W790" s="66"/>
      <c r="X790" s="66">
        <f t="shared" si="127"/>
        <v>91306.194799999997</v>
      </c>
      <c r="Y790" s="66"/>
      <c r="Z790" s="66"/>
      <c r="AA790" s="66"/>
      <c r="AB790" s="66"/>
      <c r="AC790" s="66"/>
    </row>
    <row r="791" spans="1:29" x14ac:dyDescent="0.25">
      <c r="A791" s="564" t="s">
        <v>162</v>
      </c>
      <c r="B791" s="555">
        <v>22755</v>
      </c>
      <c r="C791" s="554">
        <v>533.57142857142856</v>
      </c>
      <c r="D791" s="554">
        <f t="shared" si="126"/>
        <v>12141.417857142857</v>
      </c>
      <c r="E791" s="555">
        <v>49478</v>
      </c>
      <c r="F791" s="554">
        <v>380</v>
      </c>
      <c r="G791" s="554">
        <f t="shared" si="124"/>
        <v>18801.64</v>
      </c>
      <c r="H791" s="555">
        <v>13911</v>
      </c>
      <c r="I791" s="554">
        <v>800</v>
      </c>
      <c r="J791" s="554">
        <f t="shared" si="128"/>
        <v>11128.8</v>
      </c>
      <c r="K791" s="555">
        <v>14256</v>
      </c>
      <c r="L791" s="554">
        <v>750</v>
      </c>
      <c r="M791" s="554">
        <f t="shared" si="120"/>
        <v>10692</v>
      </c>
      <c r="N791" s="555"/>
      <c r="O791" s="554"/>
      <c r="P791" s="554">
        <f t="shared" si="129"/>
        <v>0</v>
      </c>
      <c r="Q791" s="554"/>
      <c r="R791" s="554"/>
      <c r="S791" s="554"/>
      <c r="T791" s="559">
        <f t="shared" si="123"/>
        <v>100400</v>
      </c>
      <c r="U791" s="560">
        <f t="shared" si="130"/>
        <v>52763.857857142859</v>
      </c>
      <c r="V791" s="66"/>
      <c r="W791" s="66"/>
      <c r="X791" s="66">
        <f t="shared" si="127"/>
        <v>127875.33277142858</v>
      </c>
      <c r="Y791" s="66"/>
      <c r="Z791" s="66"/>
      <c r="AA791" s="66"/>
      <c r="AB791" s="66"/>
      <c r="AC791" s="66"/>
    </row>
    <row r="792" spans="1:29" x14ac:dyDescent="0.25">
      <c r="A792" s="564" t="s">
        <v>163</v>
      </c>
      <c r="B792" s="555">
        <v>26591</v>
      </c>
      <c r="C792" s="554">
        <v>1092</v>
      </c>
      <c r="D792" s="554">
        <f t="shared" si="126"/>
        <v>29037.371999999999</v>
      </c>
      <c r="E792" s="555">
        <v>46933</v>
      </c>
      <c r="F792" s="554">
        <v>1973</v>
      </c>
      <c r="G792" s="554">
        <f t="shared" si="124"/>
        <v>92598.808999999994</v>
      </c>
      <c r="H792" s="555">
        <v>10760</v>
      </c>
      <c r="I792" s="554">
        <v>500</v>
      </c>
      <c r="J792" s="554">
        <f t="shared" si="128"/>
        <v>5380</v>
      </c>
      <c r="K792" s="555">
        <v>22186</v>
      </c>
      <c r="L792" s="554">
        <v>1062</v>
      </c>
      <c r="M792" s="554">
        <f t="shared" si="120"/>
        <v>23561.531999999999</v>
      </c>
      <c r="N792" s="555"/>
      <c r="O792" s="554"/>
      <c r="P792" s="554">
        <f t="shared" si="129"/>
        <v>0</v>
      </c>
      <c r="Q792" s="554"/>
      <c r="R792" s="554"/>
      <c r="S792" s="554"/>
      <c r="T792" s="559">
        <f t="shared" si="123"/>
        <v>106470</v>
      </c>
      <c r="U792" s="560">
        <f t="shared" si="130"/>
        <v>150577.71299999999</v>
      </c>
      <c r="V792" s="66"/>
      <c r="W792" s="66"/>
      <c r="X792" s="66">
        <f t="shared" si="127"/>
        <v>275067.73599999998</v>
      </c>
      <c r="Y792" s="66"/>
      <c r="Z792" s="66"/>
      <c r="AA792" s="66"/>
      <c r="AB792" s="66"/>
      <c r="AC792" s="66"/>
    </row>
    <row r="793" spans="1:29" x14ac:dyDescent="0.25">
      <c r="A793" s="564" t="s">
        <v>27</v>
      </c>
      <c r="B793" s="555">
        <v>36720</v>
      </c>
      <c r="C793" s="554">
        <v>750</v>
      </c>
      <c r="D793" s="554">
        <f t="shared" si="126"/>
        <v>27540</v>
      </c>
      <c r="E793" s="555">
        <v>52349</v>
      </c>
      <c r="F793" s="554">
        <v>750</v>
      </c>
      <c r="G793" s="554">
        <f t="shared" si="124"/>
        <v>39261.75</v>
      </c>
      <c r="H793" s="555">
        <v>4727</v>
      </c>
      <c r="I793" s="554">
        <v>750</v>
      </c>
      <c r="J793" s="554">
        <f t="shared" si="128"/>
        <v>3545.25</v>
      </c>
      <c r="K793" s="555">
        <v>48954</v>
      </c>
      <c r="L793" s="554">
        <v>637</v>
      </c>
      <c r="M793" s="554">
        <f t="shared" si="120"/>
        <v>31183.698</v>
      </c>
      <c r="N793" s="555">
        <v>630</v>
      </c>
      <c r="O793" s="554"/>
      <c r="P793" s="554">
        <f t="shared" si="129"/>
        <v>0</v>
      </c>
      <c r="Q793" s="554"/>
      <c r="R793" s="554"/>
      <c r="S793" s="554"/>
      <c r="T793" s="559">
        <f t="shared" si="123"/>
        <v>143380</v>
      </c>
      <c r="U793" s="560">
        <f t="shared" si="130"/>
        <v>101530.698</v>
      </c>
      <c r="V793" s="66"/>
      <c r="W793" s="66"/>
      <c r="X793" s="66">
        <f t="shared" si="127"/>
        <v>400170.30579999997</v>
      </c>
      <c r="Y793" s="66"/>
      <c r="Z793" s="66"/>
      <c r="AA793" s="66"/>
      <c r="AB793" s="66"/>
      <c r="AC793" s="66"/>
    </row>
    <row r="794" spans="1:29" x14ac:dyDescent="0.25">
      <c r="A794" s="565" t="s">
        <v>174</v>
      </c>
      <c r="B794" s="562">
        <f>SUM(B787:B793)</f>
        <v>179474</v>
      </c>
      <c r="C794" s="554"/>
      <c r="D794" s="562">
        <f>SUM(D787:D793)</f>
        <v>114942.85907335907</v>
      </c>
      <c r="E794" s="562">
        <f>SUM(E787:E793)</f>
        <v>422347</v>
      </c>
      <c r="F794" s="554"/>
      <c r="G794" s="562">
        <f>SUM(G787:G793)</f>
        <v>336554.93400000001</v>
      </c>
      <c r="H794" s="562">
        <f>SUM(H787:H793)</f>
        <v>95186</v>
      </c>
      <c r="I794" s="554"/>
      <c r="J794" s="562">
        <f>SUM(J787:J793)</f>
        <v>83825.366999999998</v>
      </c>
      <c r="K794" s="562">
        <f>SUM(K787:K793)</f>
        <v>134121</v>
      </c>
      <c r="L794" s="554"/>
      <c r="M794" s="562">
        <f>SUM(M787:M793)</f>
        <v>161655.67799999999</v>
      </c>
      <c r="N794" s="562">
        <f>SUM(N787:N793)</f>
        <v>88397</v>
      </c>
      <c r="O794" s="554"/>
      <c r="P794" s="562">
        <f>SUM(P787:P793)</f>
        <v>55640.197</v>
      </c>
      <c r="Q794" s="562">
        <f>SUM(Q787:Q793)</f>
        <v>0</v>
      </c>
      <c r="R794" s="562"/>
      <c r="S794" s="562"/>
      <c r="T794" s="557">
        <f>Q794+N794+K794+H794+E794+B794</f>
        <v>919525</v>
      </c>
      <c r="U794" s="558">
        <f>SUM(U787:U793)</f>
        <v>752619.03507335903</v>
      </c>
      <c r="V794" s="66"/>
      <c r="W794" s="66"/>
      <c r="X794" s="66">
        <f t="shared" si="127"/>
        <v>637952.51441467181</v>
      </c>
      <c r="Y794" s="66"/>
      <c r="Z794" s="66"/>
      <c r="AA794" s="66"/>
      <c r="AB794" s="66"/>
      <c r="AC794" s="66"/>
    </row>
    <row r="795" spans="1:29" ht="15.75" thickBot="1" x14ac:dyDescent="0.3">
      <c r="A795" s="566" t="s">
        <v>32</v>
      </c>
      <c r="B795" s="567">
        <f>B794+B786</f>
        <v>1330766</v>
      </c>
      <c r="C795" s="568"/>
      <c r="D795" s="567">
        <f>D794+D786</f>
        <v>847053.1514549125</v>
      </c>
      <c r="E795" s="567">
        <f>E794+E786</f>
        <v>1157851</v>
      </c>
      <c r="F795" s="568"/>
      <c r="G795" s="567">
        <f>G794+G786</f>
        <v>1171630.0167999999</v>
      </c>
      <c r="H795" s="567">
        <f>H794+H786</f>
        <v>333325</v>
      </c>
      <c r="I795" s="568"/>
      <c r="J795" s="567">
        <f>J794+J786</f>
        <v>455965.36699999997</v>
      </c>
      <c r="K795" s="567">
        <f>K794+K786</f>
        <v>145560</v>
      </c>
      <c r="L795" s="568"/>
      <c r="M795" s="567">
        <f>M794+M786</f>
        <v>188911.408</v>
      </c>
      <c r="N795" s="567">
        <f>N794+N786</f>
        <v>422566</v>
      </c>
      <c r="O795" s="568"/>
      <c r="P795" s="567">
        <f>P794+P786</f>
        <v>500102.071</v>
      </c>
      <c r="Q795" s="567">
        <f>SUM(Q784:Q794)</f>
        <v>3500</v>
      </c>
      <c r="R795" s="567"/>
      <c r="S795" s="567">
        <f>SUM(S784:S794)</f>
        <v>8750</v>
      </c>
      <c r="T795" s="569">
        <f>T794+T786</f>
        <v>3393568</v>
      </c>
      <c r="U795" s="570">
        <f>U786+U794</f>
        <v>3172412.0142549123</v>
      </c>
      <c r="V795" s="66"/>
      <c r="W795" s="66"/>
      <c r="X795" s="66">
        <f t="shared" si="127"/>
        <v>1958856.5598509826</v>
      </c>
      <c r="Y795" s="66"/>
      <c r="Z795" s="66"/>
      <c r="AA795" s="66"/>
      <c r="AB795" s="66"/>
      <c r="AC795" s="66"/>
    </row>
    <row r="796" spans="1:29" ht="15.75" thickTop="1" x14ac:dyDescent="0.25">
      <c r="A796" s="571" t="s">
        <v>165</v>
      </c>
      <c r="B796" s="572"/>
      <c r="C796" s="572"/>
      <c r="D796" s="572"/>
      <c r="E796" s="572"/>
      <c r="F796" s="572"/>
      <c r="G796" s="572"/>
      <c r="H796" s="572"/>
      <c r="I796" s="572"/>
      <c r="J796" s="572"/>
      <c r="K796" s="572"/>
      <c r="L796" s="572"/>
      <c r="M796" s="572"/>
      <c r="N796" s="572"/>
      <c r="O796" s="572"/>
      <c r="P796" s="572"/>
      <c r="Q796" s="572"/>
      <c r="R796" s="572"/>
      <c r="S796" s="572"/>
      <c r="T796" s="572"/>
      <c r="U796" s="572"/>
      <c r="V796" s="66"/>
      <c r="W796" s="66"/>
      <c r="X796" s="66"/>
      <c r="Y796" s="66"/>
      <c r="Z796" s="66"/>
      <c r="AA796" s="66"/>
      <c r="AB796" s="66"/>
      <c r="AC796" s="66"/>
    </row>
    <row r="797" spans="1:29" x14ac:dyDescent="0.25">
      <c r="A797" s="571"/>
      <c r="B797" s="572"/>
      <c r="C797" s="572"/>
      <c r="D797" s="572"/>
      <c r="E797" s="572"/>
      <c r="F797" s="572"/>
      <c r="G797" s="572"/>
      <c r="H797" s="572"/>
      <c r="I797" s="572"/>
      <c r="J797" s="572"/>
      <c r="K797" s="572"/>
      <c r="L797" s="572"/>
      <c r="M797" s="572"/>
      <c r="N797" s="572"/>
      <c r="O797" s="572"/>
      <c r="P797" s="572"/>
      <c r="Q797" s="572"/>
      <c r="R797" s="572"/>
      <c r="S797" s="572"/>
      <c r="T797" s="572"/>
      <c r="U797" s="572"/>
      <c r="V797" s="66"/>
      <c r="W797" s="66"/>
      <c r="X797" s="66"/>
      <c r="Y797" s="66"/>
      <c r="Z797" s="66"/>
      <c r="AA797" s="66"/>
      <c r="AB797" s="66"/>
      <c r="AC797" s="66"/>
    </row>
    <row r="798" spans="1:29" ht="15.75" thickBot="1" x14ac:dyDescent="0.3">
      <c r="A798" s="573" t="s">
        <v>175</v>
      </c>
      <c r="B798" s="574"/>
      <c r="C798" s="574"/>
      <c r="D798" s="575"/>
      <c r="E798" s="575"/>
      <c r="F798" s="547"/>
      <c r="G798" s="547" t="s">
        <v>34</v>
      </c>
      <c r="H798" s="547"/>
      <c r="I798" s="547"/>
      <c r="J798" s="547" t="s">
        <v>102</v>
      </c>
      <c r="K798" s="547"/>
      <c r="L798" s="547"/>
      <c r="M798" s="547"/>
      <c r="N798" s="547"/>
      <c r="O798" s="547" t="s">
        <v>36</v>
      </c>
      <c r="P798" s="547"/>
      <c r="Q798" s="572"/>
      <c r="R798" s="572"/>
      <c r="S798" s="572"/>
      <c r="T798" s="572"/>
      <c r="U798" s="572"/>
      <c r="V798" s="66"/>
      <c r="W798" s="66"/>
      <c r="X798" s="66"/>
      <c r="Y798" s="66"/>
      <c r="Z798" s="66"/>
      <c r="AA798" s="66"/>
      <c r="AB798" s="66"/>
      <c r="AC798" s="66"/>
    </row>
    <row r="799" spans="1:29" ht="15.75" thickTop="1" x14ac:dyDescent="0.25">
      <c r="A799" s="576" t="s">
        <v>2</v>
      </c>
      <c r="B799" s="969" t="s">
        <v>37</v>
      </c>
      <c r="C799" s="969"/>
      <c r="D799" s="969"/>
      <c r="E799" s="969" t="s">
        <v>38</v>
      </c>
      <c r="F799" s="969"/>
      <c r="G799" s="969"/>
      <c r="H799" s="969" t="s">
        <v>40</v>
      </c>
      <c r="I799" s="969"/>
      <c r="J799" s="969"/>
      <c r="K799" s="969" t="s">
        <v>70</v>
      </c>
      <c r="L799" s="969"/>
      <c r="M799" s="969"/>
      <c r="N799" s="969" t="s">
        <v>41</v>
      </c>
      <c r="O799" s="969"/>
      <c r="P799" s="969"/>
      <c r="Q799" s="969" t="s">
        <v>54</v>
      </c>
      <c r="R799" s="969"/>
      <c r="S799" s="969"/>
      <c r="T799" s="969" t="s">
        <v>44</v>
      </c>
      <c r="U799" s="970"/>
      <c r="V799" s="66"/>
      <c r="W799" s="66"/>
      <c r="X799" s="66"/>
      <c r="Y799" s="66"/>
      <c r="Z799" s="66"/>
      <c r="AA799" s="66"/>
      <c r="AB799" s="66"/>
      <c r="AC799" s="66"/>
    </row>
    <row r="800" spans="1:29" x14ac:dyDescent="0.25">
      <c r="A800" s="577" t="s">
        <v>131</v>
      </c>
      <c r="B800" s="578" t="s">
        <v>12</v>
      </c>
      <c r="C800" s="578" t="s">
        <v>171</v>
      </c>
      <c r="D800" s="578" t="s">
        <v>14</v>
      </c>
      <c r="E800" s="578" t="s">
        <v>12</v>
      </c>
      <c r="F800" s="578" t="s">
        <v>171</v>
      </c>
      <c r="G800" s="578" t="s">
        <v>14</v>
      </c>
      <c r="H800" s="578" t="s">
        <v>12</v>
      </c>
      <c r="I800" s="578" t="s">
        <v>171</v>
      </c>
      <c r="J800" s="578" t="s">
        <v>14</v>
      </c>
      <c r="K800" s="578" t="s">
        <v>12</v>
      </c>
      <c r="L800" s="578" t="s">
        <v>171</v>
      </c>
      <c r="M800" s="578" t="s">
        <v>14</v>
      </c>
      <c r="N800" s="578" t="s">
        <v>12</v>
      </c>
      <c r="O800" s="578" t="s">
        <v>171</v>
      </c>
      <c r="P800" s="578" t="s">
        <v>14</v>
      </c>
      <c r="Q800" s="578" t="s">
        <v>12</v>
      </c>
      <c r="R800" s="578" t="s">
        <v>171</v>
      </c>
      <c r="S800" s="578" t="s">
        <v>14</v>
      </c>
      <c r="T800" s="578" t="s">
        <v>12</v>
      </c>
      <c r="U800" s="579" t="s">
        <v>14</v>
      </c>
      <c r="V800" s="66"/>
      <c r="W800" s="66"/>
      <c r="X800" s="66"/>
      <c r="Y800" s="66"/>
      <c r="Z800" s="66"/>
      <c r="AA800" s="66"/>
      <c r="AB800" s="66"/>
      <c r="AC800" s="66"/>
    </row>
    <row r="801" spans="1:29" x14ac:dyDescent="0.25">
      <c r="A801" s="580" t="s">
        <v>15</v>
      </c>
      <c r="B801" s="581">
        <f>3412+33075</f>
        <v>36487</v>
      </c>
      <c r="C801" s="559">
        <v>1623</v>
      </c>
      <c r="D801" s="559">
        <f>(C801*B801)/1000</f>
        <v>59218.400999999998</v>
      </c>
      <c r="E801" s="581">
        <f>1023+7127</f>
        <v>8150</v>
      </c>
      <c r="F801" s="559">
        <v>460</v>
      </c>
      <c r="G801" s="559">
        <f t="shared" ref="G801:G811" si="131">(F801*E801)/1000</f>
        <v>3749</v>
      </c>
      <c r="H801" s="559">
        <v>24657</v>
      </c>
      <c r="I801" s="559">
        <v>480</v>
      </c>
      <c r="J801" s="559">
        <f>(I801*H801)/1000</f>
        <v>11835.36</v>
      </c>
      <c r="K801" s="582">
        <v>324</v>
      </c>
      <c r="L801" s="559">
        <v>625</v>
      </c>
      <c r="M801" s="559">
        <f t="shared" ref="M801:M811" si="132">(L801*K801)/1000</f>
        <v>202.5</v>
      </c>
      <c r="N801" s="581"/>
      <c r="O801" s="559"/>
      <c r="P801" s="559">
        <f t="shared" ref="P801:P811" si="133">(N801*O801)/1000</f>
        <v>0</v>
      </c>
      <c r="Q801" s="581"/>
      <c r="R801" s="559"/>
      <c r="S801" s="559">
        <f>(R801*Q801)/1000</f>
        <v>0</v>
      </c>
      <c r="T801" s="583">
        <f>Q801+N801+K801+H801+S801+E801+B801</f>
        <v>69618</v>
      </c>
      <c r="U801" s="560">
        <f>S801+P801+M801+J801+G801+D801</f>
        <v>75005.260999999999</v>
      </c>
      <c r="V801" s="66"/>
      <c r="W801" s="66"/>
      <c r="X801" s="66"/>
      <c r="Y801" s="66"/>
      <c r="Z801" s="66"/>
      <c r="AA801" s="66"/>
      <c r="AB801" s="66"/>
      <c r="AC801" s="66"/>
    </row>
    <row r="802" spans="1:29" x14ac:dyDescent="0.25">
      <c r="A802" s="580" t="s">
        <v>132</v>
      </c>
      <c r="B802" s="581">
        <v>641</v>
      </c>
      <c r="C802" s="559"/>
      <c r="D802" s="559">
        <f>(C802*B802)/1000</f>
        <v>0</v>
      </c>
      <c r="E802" s="581"/>
      <c r="F802" s="559"/>
      <c r="G802" s="559">
        <f t="shared" si="131"/>
        <v>0</v>
      </c>
      <c r="H802" s="559"/>
      <c r="I802" s="559"/>
      <c r="J802" s="559">
        <f>(I802*H802)/1000</f>
        <v>0</v>
      </c>
      <c r="K802" s="582"/>
      <c r="L802" s="559"/>
      <c r="M802" s="559">
        <f t="shared" si="132"/>
        <v>0</v>
      </c>
      <c r="N802" s="581"/>
      <c r="O802" s="559"/>
      <c r="P802" s="559">
        <f t="shared" si="133"/>
        <v>0</v>
      </c>
      <c r="Q802" s="581"/>
      <c r="R802" s="559"/>
      <c r="S802" s="559">
        <f>(R802*Q802)/1000</f>
        <v>0</v>
      </c>
      <c r="T802" s="583">
        <f>Q802+N802+K802+H802+S802+E802+B802</f>
        <v>641</v>
      </c>
      <c r="U802" s="560">
        <f>S802+P802+M802+J802+G802+D802</f>
        <v>0</v>
      </c>
      <c r="V802" s="66"/>
      <c r="W802" s="66"/>
      <c r="X802" s="66"/>
      <c r="Y802" s="66"/>
      <c r="Z802" s="66"/>
      <c r="AA802" s="66"/>
      <c r="AB802" s="66"/>
      <c r="AC802" s="66"/>
    </row>
    <row r="803" spans="1:29" x14ac:dyDescent="0.25">
      <c r="A803" s="580" t="s">
        <v>103</v>
      </c>
      <c r="B803" s="581">
        <v>18311</v>
      </c>
      <c r="C803" s="559">
        <v>1777</v>
      </c>
      <c r="D803" s="559">
        <f>(C803*B803)/1000</f>
        <v>32538.647000000001</v>
      </c>
      <c r="E803" s="581">
        <v>10619</v>
      </c>
      <c r="F803" s="559">
        <v>435</v>
      </c>
      <c r="G803" s="559">
        <f t="shared" si="131"/>
        <v>4619.2650000000003</v>
      </c>
      <c r="H803" s="559">
        <v>22457</v>
      </c>
      <c r="I803" s="559">
        <v>600</v>
      </c>
      <c r="J803" s="559">
        <f>(I803*H803)/1000</f>
        <v>13474.2</v>
      </c>
      <c r="K803" s="582">
        <v>1204</v>
      </c>
      <c r="L803" s="559">
        <v>1800</v>
      </c>
      <c r="M803" s="559">
        <f t="shared" si="132"/>
        <v>2167.1999999999998</v>
      </c>
      <c r="N803" s="581">
        <v>1089</v>
      </c>
      <c r="O803" s="559"/>
      <c r="P803" s="559">
        <f t="shared" si="133"/>
        <v>0</v>
      </c>
      <c r="Q803" s="581">
        <v>500</v>
      </c>
      <c r="R803" s="559"/>
      <c r="S803" s="559">
        <f>(R803*Q803)/1000</f>
        <v>0</v>
      </c>
      <c r="T803" s="583">
        <f>Q803+N803+K803+H803+S803+E803+B803</f>
        <v>54180</v>
      </c>
      <c r="U803" s="560">
        <f>S803+P803+M803+J803+G803+D803</f>
        <v>52799.312000000005</v>
      </c>
      <c r="V803" s="66"/>
      <c r="W803" s="66"/>
      <c r="X803" s="66"/>
      <c r="Y803" s="66"/>
      <c r="Z803" s="66"/>
      <c r="AA803" s="66"/>
      <c r="AB803" s="66"/>
      <c r="AC803" s="66"/>
    </row>
    <row r="804" spans="1:29" x14ac:dyDescent="0.25">
      <c r="A804" s="580" t="s">
        <v>104</v>
      </c>
      <c r="B804" s="581">
        <v>26843</v>
      </c>
      <c r="C804" s="559">
        <v>1107</v>
      </c>
      <c r="D804" s="559">
        <f>(C804*B804)/1000</f>
        <v>29715.201000000001</v>
      </c>
      <c r="E804" s="581">
        <f>9102+1912</f>
        <v>11014</v>
      </c>
      <c r="F804" s="559">
        <v>294</v>
      </c>
      <c r="G804" s="559">
        <f t="shared" si="131"/>
        <v>3238.116</v>
      </c>
      <c r="H804" s="559">
        <v>7430</v>
      </c>
      <c r="I804" s="559">
        <v>575</v>
      </c>
      <c r="J804" s="559">
        <f>(I804*H804)/1000</f>
        <v>4272.25</v>
      </c>
      <c r="K804" s="582">
        <f>2256+1747</f>
        <v>4003</v>
      </c>
      <c r="L804" s="559">
        <v>1050</v>
      </c>
      <c r="M804" s="559">
        <f t="shared" si="132"/>
        <v>4203.1499999999996</v>
      </c>
      <c r="N804" s="555">
        <v>330</v>
      </c>
      <c r="O804" s="559"/>
      <c r="P804" s="559">
        <f t="shared" si="133"/>
        <v>0</v>
      </c>
      <c r="Q804" s="581">
        <v>450</v>
      </c>
      <c r="R804" s="559"/>
      <c r="S804" s="559">
        <f>(R804*Q804)/1000</f>
        <v>0</v>
      </c>
      <c r="T804" s="583">
        <f t="shared" ref="T804:T818" si="134">Q804+N804+K804+H804+S804+E804+B804</f>
        <v>50070</v>
      </c>
      <c r="U804" s="560">
        <f t="shared" ref="U804:U820" si="135">S804+P804+M804+J804+G804+D804</f>
        <v>41428.717000000004</v>
      </c>
      <c r="V804" s="66"/>
      <c r="W804" s="66"/>
      <c r="X804" s="66"/>
      <c r="Y804" s="66"/>
      <c r="Z804" s="66"/>
      <c r="AA804" s="66"/>
      <c r="AB804" s="66"/>
      <c r="AC804" s="66"/>
    </row>
    <row r="805" spans="1:29" x14ac:dyDescent="0.25">
      <c r="A805" s="580" t="s">
        <v>133</v>
      </c>
      <c r="B805" s="581">
        <v>71253</v>
      </c>
      <c r="C805" s="559">
        <v>736</v>
      </c>
      <c r="D805" s="559">
        <f t="shared" ref="D805:D819" si="136">(C805*B805)/1000</f>
        <v>52442.207999999999</v>
      </c>
      <c r="E805" s="581">
        <f>5300+2981</f>
        <v>8281</v>
      </c>
      <c r="F805" s="559">
        <v>440</v>
      </c>
      <c r="G805" s="559">
        <f t="shared" si="131"/>
        <v>3643.64</v>
      </c>
      <c r="H805" s="559">
        <v>17410</v>
      </c>
      <c r="I805" s="559">
        <v>600</v>
      </c>
      <c r="J805" s="559">
        <f>(I805*H805)/1000</f>
        <v>10446</v>
      </c>
      <c r="K805" s="582"/>
      <c r="L805" s="559"/>
      <c r="M805" s="559">
        <f t="shared" si="132"/>
        <v>0</v>
      </c>
      <c r="N805" s="581">
        <v>1550</v>
      </c>
      <c r="O805" s="559"/>
      <c r="P805" s="559">
        <f t="shared" si="133"/>
        <v>0</v>
      </c>
      <c r="Q805" s="581">
        <v>662</v>
      </c>
      <c r="R805" s="559">
        <v>8500</v>
      </c>
      <c r="S805" s="559">
        <f>(R805*Q805)/1000</f>
        <v>5627</v>
      </c>
      <c r="T805" s="583">
        <f t="shared" si="134"/>
        <v>104783</v>
      </c>
      <c r="U805" s="560">
        <f t="shared" si="135"/>
        <v>72158.847999999998</v>
      </c>
      <c r="V805" s="66"/>
      <c r="W805" s="66"/>
      <c r="X805" s="66"/>
      <c r="Y805" s="66"/>
      <c r="Z805" s="66"/>
      <c r="AA805" s="66"/>
      <c r="AB805" s="66"/>
      <c r="AC805" s="66"/>
    </row>
    <row r="806" spans="1:29" x14ac:dyDescent="0.25">
      <c r="A806" s="580" t="s">
        <v>21</v>
      </c>
      <c r="B806" s="581"/>
      <c r="C806" s="559"/>
      <c r="D806" s="559">
        <f t="shared" si="136"/>
        <v>0</v>
      </c>
      <c r="E806" s="582"/>
      <c r="F806" s="559"/>
      <c r="G806" s="559">
        <f t="shared" si="131"/>
        <v>0</v>
      </c>
      <c r="H806" s="559">
        <v>375</v>
      </c>
      <c r="I806" s="559">
        <v>400</v>
      </c>
      <c r="J806" s="559">
        <f t="shared" ref="J806:J819" si="137">(I806*H806)/1000</f>
        <v>150</v>
      </c>
      <c r="K806" s="582"/>
      <c r="L806" s="559"/>
      <c r="M806" s="559">
        <f t="shared" si="132"/>
        <v>0</v>
      </c>
      <c r="N806" s="581"/>
      <c r="O806" s="559"/>
      <c r="P806" s="559">
        <f t="shared" si="133"/>
        <v>0</v>
      </c>
      <c r="Q806" s="581"/>
      <c r="R806" s="559"/>
      <c r="S806" s="559">
        <f t="shared" ref="S806:S811" si="138">(R806*Q806)/1000</f>
        <v>0</v>
      </c>
      <c r="T806" s="583">
        <f t="shared" si="134"/>
        <v>375</v>
      </c>
      <c r="U806" s="560">
        <f t="shared" si="135"/>
        <v>150</v>
      </c>
      <c r="V806" s="66"/>
      <c r="W806" s="66"/>
      <c r="X806" s="66"/>
      <c r="Y806" s="66"/>
      <c r="Z806" s="66"/>
      <c r="AA806" s="66"/>
      <c r="AB806" s="66"/>
      <c r="AC806" s="66"/>
    </row>
    <row r="807" spans="1:29" x14ac:dyDescent="0.25">
      <c r="A807" s="580" t="s">
        <v>22</v>
      </c>
      <c r="B807" s="581">
        <v>533</v>
      </c>
      <c r="C807" s="559">
        <v>1770</v>
      </c>
      <c r="D807" s="559">
        <f t="shared" si="136"/>
        <v>943.41</v>
      </c>
      <c r="E807" s="582"/>
      <c r="F807" s="559">
        <v>0.29272695324355841</v>
      </c>
      <c r="G807" s="559">
        <f t="shared" si="131"/>
        <v>0</v>
      </c>
      <c r="H807" s="559">
        <f>907 +148</f>
        <v>1055</v>
      </c>
      <c r="I807" s="559">
        <v>1100</v>
      </c>
      <c r="J807" s="559">
        <f t="shared" si="137"/>
        <v>1160.5</v>
      </c>
      <c r="K807" s="582"/>
      <c r="L807" s="559"/>
      <c r="M807" s="559">
        <f t="shared" si="132"/>
        <v>0</v>
      </c>
      <c r="N807" s="581">
        <v>90</v>
      </c>
      <c r="O807" s="559">
        <v>17700</v>
      </c>
      <c r="P807" s="559">
        <f t="shared" si="133"/>
        <v>1593</v>
      </c>
      <c r="Q807" s="581">
        <f>24900+32</f>
        <v>24932</v>
      </c>
      <c r="R807" s="559">
        <v>19500</v>
      </c>
      <c r="S807" s="559">
        <f t="shared" si="138"/>
        <v>486174</v>
      </c>
      <c r="T807" s="583">
        <f t="shared" si="134"/>
        <v>512784</v>
      </c>
      <c r="U807" s="560">
        <f t="shared" si="135"/>
        <v>489870.91</v>
      </c>
      <c r="V807" s="66"/>
      <c r="W807" s="66"/>
      <c r="X807" s="66"/>
      <c r="Y807" s="66"/>
      <c r="Z807" s="66"/>
      <c r="AA807" s="66"/>
      <c r="AB807" s="66"/>
      <c r="AC807" s="66"/>
    </row>
    <row r="808" spans="1:29" x14ac:dyDescent="0.25">
      <c r="A808" s="580" t="s">
        <v>23</v>
      </c>
      <c r="B808" s="581">
        <v>230981</v>
      </c>
      <c r="C808" s="559">
        <v>1233</v>
      </c>
      <c r="D808" s="559">
        <f t="shared" si="136"/>
        <v>284799.57299999997</v>
      </c>
      <c r="E808" s="581">
        <v>37380</v>
      </c>
      <c r="F808" s="559">
        <v>835</v>
      </c>
      <c r="G808" s="559">
        <f t="shared" si="131"/>
        <v>31212.3</v>
      </c>
      <c r="H808" s="559">
        <v>10200</v>
      </c>
      <c r="I808" s="559">
        <v>365</v>
      </c>
      <c r="J808" s="559">
        <f t="shared" si="137"/>
        <v>3723</v>
      </c>
      <c r="K808" s="582"/>
      <c r="L808" s="559"/>
      <c r="M808" s="559">
        <f t="shared" si="132"/>
        <v>0</v>
      </c>
      <c r="N808" s="581"/>
      <c r="O808" s="559"/>
      <c r="P808" s="559">
        <f t="shared" si="133"/>
        <v>0</v>
      </c>
      <c r="Q808" s="581"/>
      <c r="R808" s="559"/>
      <c r="S808" s="559">
        <f t="shared" si="138"/>
        <v>0</v>
      </c>
      <c r="T808" s="583">
        <f t="shared" si="134"/>
        <v>278561</v>
      </c>
      <c r="U808" s="560">
        <f t="shared" si="135"/>
        <v>319734.87299999996</v>
      </c>
      <c r="V808" s="66"/>
      <c r="W808" s="66"/>
      <c r="X808" s="66"/>
      <c r="Y808" s="66"/>
      <c r="Z808" s="66"/>
      <c r="AA808" s="66"/>
      <c r="AB808" s="66"/>
      <c r="AC808" s="66"/>
    </row>
    <row r="809" spans="1:29" x14ac:dyDescent="0.25">
      <c r="A809" s="580" t="s">
        <v>24</v>
      </c>
      <c r="B809" s="581">
        <v>11555</v>
      </c>
      <c r="C809" s="559">
        <v>963</v>
      </c>
      <c r="D809" s="559">
        <f t="shared" si="136"/>
        <v>11127.465</v>
      </c>
      <c r="E809" s="581">
        <v>5390</v>
      </c>
      <c r="F809" s="559">
        <v>614</v>
      </c>
      <c r="G809" s="559">
        <f t="shared" si="131"/>
        <v>3309.46</v>
      </c>
      <c r="H809" s="559">
        <v>7178</v>
      </c>
      <c r="I809" s="559">
        <v>848</v>
      </c>
      <c r="J809" s="559">
        <f t="shared" si="137"/>
        <v>6086.9440000000004</v>
      </c>
      <c r="K809" s="582">
        <v>548</v>
      </c>
      <c r="L809" s="559">
        <v>1074</v>
      </c>
      <c r="M809" s="559">
        <f t="shared" si="132"/>
        <v>588.55200000000002</v>
      </c>
      <c r="N809" s="581"/>
      <c r="O809" s="559"/>
      <c r="P809" s="559">
        <f t="shared" si="133"/>
        <v>0</v>
      </c>
      <c r="Q809" s="581">
        <v>2524</v>
      </c>
      <c r="R809" s="559">
        <v>10558</v>
      </c>
      <c r="S809" s="559">
        <f t="shared" si="138"/>
        <v>26648.392</v>
      </c>
      <c r="T809" s="583">
        <f t="shared" si="134"/>
        <v>53843.392</v>
      </c>
      <c r="U809" s="560">
        <f t="shared" si="135"/>
        <v>47760.812999999995</v>
      </c>
      <c r="V809" s="66"/>
      <c r="W809" s="66"/>
      <c r="X809" s="66"/>
      <c r="Y809" s="66"/>
      <c r="Z809" s="66"/>
      <c r="AA809" s="66"/>
      <c r="AB809" s="66"/>
      <c r="AC809" s="66"/>
    </row>
    <row r="810" spans="1:29" x14ac:dyDescent="0.25">
      <c r="A810" s="580" t="s">
        <v>134</v>
      </c>
      <c r="B810" s="581">
        <f>76734+105079</f>
        <v>181813</v>
      </c>
      <c r="C810" s="559">
        <v>1978</v>
      </c>
      <c r="D810" s="559">
        <f t="shared" si="136"/>
        <v>359626.114</v>
      </c>
      <c r="E810" s="581">
        <f>32025+2200</f>
        <v>34225</v>
      </c>
      <c r="F810" s="559">
        <v>800</v>
      </c>
      <c r="G810" s="559">
        <f t="shared" si="131"/>
        <v>27380</v>
      </c>
      <c r="H810" s="559">
        <v>26964</v>
      </c>
      <c r="I810" s="559">
        <v>767</v>
      </c>
      <c r="J810" s="559">
        <f t="shared" si="137"/>
        <v>20681.387999999999</v>
      </c>
      <c r="K810" s="582"/>
      <c r="L810" s="559"/>
      <c r="M810" s="559">
        <f t="shared" si="132"/>
        <v>0</v>
      </c>
      <c r="N810" s="581"/>
      <c r="O810" s="559"/>
      <c r="P810" s="559">
        <f t="shared" si="133"/>
        <v>0</v>
      </c>
      <c r="Q810" s="581"/>
      <c r="R810" s="559"/>
      <c r="S810" s="559">
        <f t="shared" si="138"/>
        <v>0</v>
      </c>
      <c r="T810" s="583">
        <f t="shared" si="134"/>
        <v>243002</v>
      </c>
      <c r="U810" s="560">
        <f t="shared" si="135"/>
        <v>407687.50199999998</v>
      </c>
      <c r="V810" s="66"/>
      <c r="W810" s="66"/>
      <c r="X810" s="66"/>
      <c r="Y810" s="66"/>
      <c r="Z810" s="66"/>
      <c r="AA810" s="66"/>
      <c r="AB810" s="66"/>
      <c r="AC810" s="66"/>
    </row>
    <row r="811" spans="1:29" x14ac:dyDescent="0.25">
      <c r="A811" s="580" t="s">
        <v>161</v>
      </c>
      <c r="B811" s="581">
        <f>19333+11258</f>
        <v>30591</v>
      </c>
      <c r="C811" s="559">
        <v>2147</v>
      </c>
      <c r="D811" s="559">
        <f t="shared" si="136"/>
        <v>65678.876999999993</v>
      </c>
      <c r="E811" s="581">
        <f>112+819</f>
        <v>931</v>
      </c>
      <c r="F811" s="559">
        <v>246</v>
      </c>
      <c r="G811" s="559">
        <f t="shared" si="131"/>
        <v>229.02600000000001</v>
      </c>
      <c r="H811" s="559">
        <v>3945</v>
      </c>
      <c r="I811" s="559">
        <v>419</v>
      </c>
      <c r="J811" s="559">
        <f t="shared" si="137"/>
        <v>1652.9549999999999</v>
      </c>
      <c r="K811" s="584"/>
      <c r="L811" s="559"/>
      <c r="M811" s="559">
        <f t="shared" si="132"/>
        <v>0</v>
      </c>
      <c r="N811" s="581"/>
      <c r="O811" s="559"/>
      <c r="P811" s="559">
        <f t="shared" si="133"/>
        <v>0</v>
      </c>
      <c r="Q811" s="581"/>
      <c r="R811" s="559"/>
      <c r="S811" s="559">
        <f t="shared" si="138"/>
        <v>0</v>
      </c>
      <c r="T811" s="583">
        <f t="shared" si="134"/>
        <v>35467</v>
      </c>
      <c r="U811" s="560">
        <f t="shared" si="135"/>
        <v>67560.857999999993</v>
      </c>
      <c r="V811" s="66"/>
      <c r="W811" s="66"/>
      <c r="X811" s="66"/>
      <c r="Y811" s="66"/>
      <c r="Z811" s="66"/>
      <c r="AA811" s="66"/>
      <c r="AB811" s="66"/>
      <c r="AC811" s="66"/>
    </row>
    <row r="812" spans="1:29" x14ac:dyDescent="0.25">
      <c r="A812" s="585" t="s">
        <v>176</v>
      </c>
      <c r="B812" s="586">
        <f>SUM(B801:B811)</f>
        <v>609008</v>
      </c>
      <c r="C812" s="587"/>
      <c r="D812" s="586">
        <f>SUM(D801:D811)</f>
        <v>896089.89599999995</v>
      </c>
      <c r="E812" s="586">
        <f>SUM(E801:E811)</f>
        <v>115990</v>
      </c>
      <c r="F812" s="586"/>
      <c r="G812" s="586">
        <f>SUM(G801:G811)</f>
        <v>77380.806999999986</v>
      </c>
      <c r="H812" s="586">
        <f>SUM(H801:H811)</f>
        <v>121671</v>
      </c>
      <c r="I812" s="586"/>
      <c r="J812" s="586">
        <f>SUM(J801:J811)</f>
        <v>73482.596999999994</v>
      </c>
      <c r="K812" s="586">
        <f>SUM(K801:K811)</f>
        <v>6079</v>
      </c>
      <c r="L812" s="586"/>
      <c r="M812" s="586">
        <f>SUM(M801:M811)</f>
        <v>7161.4019999999991</v>
      </c>
      <c r="N812" s="586">
        <f>SUM(N801:N811)</f>
        <v>3059</v>
      </c>
      <c r="O812" s="586"/>
      <c r="P812" s="586">
        <f>SUM(P801:P811)</f>
        <v>1593</v>
      </c>
      <c r="Q812" s="586">
        <f>SUM(Q801:Q811)</f>
        <v>29068</v>
      </c>
      <c r="R812" s="586"/>
      <c r="S812" s="586">
        <f>SUM(S801:S811)</f>
        <v>518449.39199999999</v>
      </c>
      <c r="T812" s="588">
        <f>Q812+N812+K812+H812+S812+E812+B812</f>
        <v>1403324.392</v>
      </c>
      <c r="U812" s="589">
        <f>S812+P812+M812+J812+G812+D812</f>
        <v>1574157.094</v>
      </c>
      <c r="V812" s="66"/>
      <c r="W812" s="66"/>
      <c r="X812" s="66"/>
      <c r="Y812" s="66"/>
      <c r="Z812" s="66"/>
      <c r="AA812" s="66"/>
      <c r="AB812" s="66"/>
      <c r="AC812" s="66"/>
    </row>
    <row r="813" spans="1:29" x14ac:dyDescent="0.25">
      <c r="A813" s="580" t="s">
        <v>135</v>
      </c>
      <c r="B813" s="581">
        <v>59009</v>
      </c>
      <c r="C813" s="559">
        <v>1499</v>
      </c>
      <c r="D813" s="559">
        <f t="shared" si="136"/>
        <v>88454.490999999995</v>
      </c>
      <c r="E813" s="581">
        <v>18432</v>
      </c>
      <c r="F813" s="559">
        <v>411</v>
      </c>
      <c r="G813" s="559">
        <f t="shared" ref="G813:G819" si="139">(F813*E813)/1000</f>
        <v>7575.5519999999997</v>
      </c>
      <c r="H813" s="581">
        <v>17792</v>
      </c>
      <c r="I813" s="559">
        <v>791</v>
      </c>
      <c r="J813" s="559">
        <f t="shared" si="137"/>
        <v>14073.472</v>
      </c>
      <c r="K813" s="582">
        <v>9242</v>
      </c>
      <c r="L813" s="559">
        <v>1003</v>
      </c>
      <c r="M813" s="559">
        <f t="shared" ref="M813:M818" si="140">(L813*K813)/1000</f>
        <v>9269.7260000000006</v>
      </c>
      <c r="N813" s="581">
        <v>3602</v>
      </c>
      <c r="O813" s="559">
        <v>9720</v>
      </c>
      <c r="P813" s="559">
        <f t="shared" ref="P813:P819" si="141">(N813*O813)/1000</f>
        <v>35011.440000000002</v>
      </c>
      <c r="Q813" s="582"/>
      <c r="R813" s="559"/>
      <c r="S813" s="559">
        <f t="shared" ref="S813:S819" si="142">(R813*Q813)/1000</f>
        <v>0</v>
      </c>
      <c r="T813" s="583">
        <f t="shared" si="134"/>
        <v>108077</v>
      </c>
      <c r="U813" s="560">
        <f t="shared" si="135"/>
        <v>154384.68099999998</v>
      </c>
      <c r="V813" s="66"/>
      <c r="W813" s="66"/>
      <c r="X813" s="66"/>
      <c r="Y813" s="66"/>
      <c r="Z813" s="66"/>
      <c r="AA813" s="66"/>
      <c r="AB813" s="66"/>
      <c r="AC813" s="66"/>
    </row>
    <row r="814" spans="1:29" x14ac:dyDescent="0.25">
      <c r="A814" s="580" t="s">
        <v>136</v>
      </c>
      <c r="B814" s="581">
        <f>12172+2205+4351+1521</f>
        <v>20249</v>
      </c>
      <c r="C814" s="559">
        <v>2735</v>
      </c>
      <c r="D814" s="559">
        <f t="shared" si="136"/>
        <v>55381.014999999999</v>
      </c>
      <c r="E814" s="581">
        <f>1854+2803+1795+1412</f>
        <v>7864</v>
      </c>
      <c r="F814" s="559">
        <v>433</v>
      </c>
      <c r="G814" s="559">
        <f t="shared" si="139"/>
        <v>3405.1120000000001</v>
      </c>
      <c r="H814" s="581">
        <f>5621+2402+1313+3591</f>
        <v>12927</v>
      </c>
      <c r="I814" s="559">
        <v>470</v>
      </c>
      <c r="J814" s="559">
        <f t="shared" si="137"/>
        <v>6075.69</v>
      </c>
      <c r="K814" s="582">
        <f>747+1917+127</f>
        <v>2791</v>
      </c>
      <c r="L814" s="559">
        <v>708</v>
      </c>
      <c r="M814" s="559">
        <f t="shared" si="140"/>
        <v>1976.028</v>
      </c>
      <c r="N814" s="581">
        <f>292+601+2235</f>
        <v>3128</v>
      </c>
      <c r="O814" s="559">
        <v>11000</v>
      </c>
      <c r="P814" s="559">
        <f t="shared" si="141"/>
        <v>34408</v>
      </c>
      <c r="Q814" s="582"/>
      <c r="R814" s="559"/>
      <c r="S814" s="559">
        <f t="shared" si="142"/>
        <v>0</v>
      </c>
      <c r="T814" s="583">
        <f t="shared" si="134"/>
        <v>46959</v>
      </c>
      <c r="U814" s="560">
        <f t="shared" si="135"/>
        <v>101245.845</v>
      </c>
      <c r="V814" s="66"/>
      <c r="W814" s="66"/>
      <c r="X814" s="66"/>
      <c r="Y814" s="66"/>
      <c r="Z814" s="66"/>
      <c r="AA814" s="66"/>
      <c r="AB814" s="66"/>
      <c r="AC814" s="66"/>
    </row>
    <row r="815" spans="1:29" x14ac:dyDescent="0.25">
      <c r="A815" s="580" t="s">
        <v>137</v>
      </c>
      <c r="B815" s="581">
        <f>17568+26223</f>
        <v>43791</v>
      </c>
      <c r="C815" s="559">
        <v>983</v>
      </c>
      <c r="D815" s="559">
        <f t="shared" si="136"/>
        <v>43046.553</v>
      </c>
      <c r="E815" s="581">
        <f>2301+12972</f>
        <v>15273</v>
      </c>
      <c r="F815" s="559">
        <v>400</v>
      </c>
      <c r="G815" s="559">
        <f t="shared" si="139"/>
        <v>6109.2</v>
      </c>
      <c r="H815" s="581">
        <f>5021+6242</f>
        <v>11263</v>
      </c>
      <c r="I815" s="559">
        <v>514</v>
      </c>
      <c r="J815" s="559">
        <f t="shared" si="137"/>
        <v>5789.1819999999998</v>
      </c>
      <c r="K815" s="582"/>
      <c r="L815" s="559"/>
      <c r="M815" s="559">
        <f t="shared" si="140"/>
        <v>0</v>
      </c>
      <c r="N815" s="581">
        <f>2117+3146</f>
        <v>5263</v>
      </c>
      <c r="O815" s="559">
        <v>4333</v>
      </c>
      <c r="P815" s="559">
        <f t="shared" si="141"/>
        <v>22804.579000000002</v>
      </c>
      <c r="Q815" s="582"/>
      <c r="R815" s="559"/>
      <c r="S815" s="559">
        <f t="shared" si="142"/>
        <v>0</v>
      </c>
      <c r="T815" s="583">
        <f t="shared" si="134"/>
        <v>75590</v>
      </c>
      <c r="U815" s="560">
        <f t="shared" si="135"/>
        <v>77749.513999999996</v>
      </c>
      <c r="V815" s="66"/>
      <c r="W815" s="66"/>
      <c r="X815" s="66"/>
      <c r="Y815" s="66"/>
      <c r="Z815" s="66"/>
      <c r="AA815" s="66"/>
      <c r="AB815" s="66"/>
      <c r="AC815" s="66"/>
    </row>
    <row r="816" spans="1:29" x14ac:dyDescent="0.25">
      <c r="A816" s="580" t="s">
        <v>73</v>
      </c>
      <c r="B816" s="581">
        <v>44911</v>
      </c>
      <c r="C816" s="559">
        <v>1376</v>
      </c>
      <c r="D816" s="559">
        <f t="shared" si="136"/>
        <v>61797.536</v>
      </c>
      <c r="E816" s="581">
        <v>3601</v>
      </c>
      <c r="F816" s="559">
        <v>410</v>
      </c>
      <c r="G816" s="559">
        <f t="shared" si="139"/>
        <v>1476.41</v>
      </c>
      <c r="H816" s="581">
        <v>7374</v>
      </c>
      <c r="I816" s="559">
        <v>706</v>
      </c>
      <c r="J816" s="559">
        <f t="shared" si="137"/>
        <v>5206.0439999999999</v>
      </c>
      <c r="K816" s="582">
        <v>2301</v>
      </c>
      <c r="L816" s="559">
        <v>1250</v>
      </c>
      <c r="M816" s="559">
        <f t="shared" si="140"/>
        <v>2876.25</v>
      </c>
      <c r="N816" s="581">
        <v>2368</v>
      </c>
      <c r="O816" s="559">
        <v>780</v>
      </c>
      <c r="P816" s="559">
        <f t="shared" si="141"/>
        <v>1847.04</v>
      </c>
      <c r="Q816" s="582"/>
      <c r="R816" s="559"/>
      <c r="S816" s="559">
        <f t="shared" si="142"/>
        <v>0</v>
      </c>
      <c r="T816" s="583">
        <f t="shared" si="134"/>
        <v>60555</v>
      </c>
      <c r="U816" s="560">
        <f t="shared" si="135"/>
        <v>73203.28</v>
      </c>
      <c r="V816" s="66"/>
      <c r="W816" s="66"/>
      <c r="X816" s="66"/>
      <c r="Y816" s="66"/>
      <c r="Z816" s="66"/>
      <c r="AA816" s="66"/>
      <c r="AB816" s="66"/>
      <c r="AC816" s="66"/>
    </row>
    <row r="817" spans="1:29" x14ac:dyDescent="0.25">
      <c r="A817" s="580" t="s">
        <v>162</v>
      </c>
      <c r="B817" s="581">
        <v>66425</v>
      </c>
      <c r="C817" s="559">
        <v>1464</v>
      </c>
      <c r="D817" s="559">
        <f t="shared" si="136"/>
        <v>97246.2</v>
      </c>
      <c r="E817" s="581">
        <v>31690</v>
      </c>
      <c r="F817" s="559">
        <v>500</v>
      </c>
      <c r="G817" s="559">
        <f t="shared" si="139"/>
        <v>15845</v>
      </c>
      <c r="H817" s="581">
        <v>13660</v>
      </c>
      <c r="I817" s="559">
        <v>450</v>
      </c>
      <c r="J817" s="559">
        <f t="shared" si="137"/>
        <v>6147</v>
      </c>
      <c r="K817" s="582"/>
      <c r="L817" s="559"/>
      <c r="M817" s="559">
        <f t="shared" si="140"/>
        <v>0</v>
      </c>
      <c r="N817" s="581">
        <v>7395</v>
      </c>
      <c r="O817" s="559">
        <v>9377</v>
      </c>
      <c r="P817" s="559">
        <f t="shared" si="141"/>
        <v>69342.914999999994</v>
      </c>
      <c r="Q817" s="582"/>
      <c r="R817" s="559"/>
      <c r="S817" s="559">
        <f t="shared" si="142"/>
        <v>0</v>
      </c>
      <c r="T817" s="583">
        <f t="shared" si="134"/>
        <v>119170</v>
      </c>
      <c r="U817" s="560">
        <f t="shared" si="135"/>
        <v>188581.11499999999</v>
      </c>
      <c r="V817" s="66"/>
      <c r="W817" s="66"/>
      <c r="X817" s="66"/>
      <c r="Y817" s="66"/>
      <c r="Z817" s="66"/>
      <c r="AA817" s="66"/>
      <c r="AB817" s="66"/>
      <c r="AC817" s="66"/>
    </row>
    <row r="818" spans="1:29" x14ac:dyDescent="0.25">
      <c r="A818" s="580" t="s">
        <v>163</v>
      </c>
      <c r="B818" s="581">
        <v>42049</v>
      </c>
      <c r="C818" s="559">
        <v>667</v>
      </c>
      <c r="D818" s="559">
        <f t="shared" si="136"/>
        <v>28046.683000000001</v>
      </c>
      <c r="E818" s="581">
        <v>16902</v>
      </c>
      <c r="F818" s="559">
        <v>500</v>
      </c>
      <c r="G818" s="559">
        <f t="shared" si="139"/>
        <v>8451</v>
      </c>
      <c r="H818" s="581">
        <v>12021</v>
      </c>
      <c r="I818" s="559">
        <v>780</v>
      </c>
      <c r="J818" s="559">
        <f t="shared" si="137"/>
        <v>9376.3799999999992</v>
      </c>
      <c r="K818" s="582">
        <v>2476</v>
      </c>
      <c r="L818" s="559">
        <v>1394</v>
      </c>
      <c r="M818" s="559">
        <f t="shared" si="140"/>
        <v>3451.5439999999999</v>
      </c>
      <c r="N818" s="581">
        <v>3050</v>
      </c>
      <c r="O818" s="559">
        <v>8000</v>
      </c>
      <c r="P818" s="559">
        <f t="shared" si="141"/>
        <v>24400</v>
      </c>
      <c r="Q818" s="582"/>
      <c r="R818" s="559">
        <v>1270</v>
      </c>
      <c r="S818" s="559">
        <f t="shared" si="142"/>
        <v>0</v>
      </c>
      <c r="T818" s="583">
        <f t="shared" si="134"/>
        <v>76498</v>
      </c>
      <c r="U818" s="560">
        <f t="shared" si="135"/>
        <v>73725.607000000004</v>
      </c>
      <c r="V818" s="66"/>
      <c r="W818" s="66"/>
      <c r="X818" s="66"/>
      <c r="Y818" s="66"/>
      <c r="Z818" s="66"/>
      <c r="AA818" s="66"/>
      <c r="AB818" s="66"/>
      <c r="AC818" s="66"/>
    </row>
    <row r="819" spans="1:29" x14ac:dyDescent="0.25">
      <c r="A819" s="580" t="s">
        <v>27</v>
      </c>
      <c r="B819" s="581">
        <v>34476</v>
      </c>
      <c r="C819" s="559">
        <v>802</v>
      </c>
      <c r="D819" s="559">
        <f t="shared" si="136"/>
        <v>27649.752</v>
      </c>
      <c r="E819" s="581">
        <v>8763</v>
      </c>
      <c r="F819" s="559">
        <v>500</v>
      </c>
      <c r="G819" s="559">
        <f t="shared" si="139"/>
        <v>4381.5</v>
      </c>
      <c r="H819" s="581">
        <v>9774</v>
      </c>
      <c r="I819" s="559">
        <v>400</v>
      </c>
      <c r="J819" s="559">
        <f t="shared" si="137"/>
        <v>3909.6</v>
      </c>
      <c r="K819" s="581">
        <v>2647</v>
      </c>
      <c r="L819" s="559"/>
      <c r="M819" s="559"/>
      <c r="N819" s="581">
        <v>2374</v>
      </c>
      <c r="O819" s="559">
        <v>14000</v>
      </c>
      <c r="P819" s="559">
        <f t="shared" si="141"/>
        <v>33236</v>
      </c>
      <c r="Q819" s="582">
        <v>7000</v>
      </c>
      <c r="R819" s="559"/>
      <c r="S819" s="559">
        <f t="shared" si="142"/>
        <v>0</v>
      </c>
      <c r="T819" s="583">
        <f>Q819+N819+K819+H819+S819+E819+B819</f>
        <v>65034</v>
      </c>
      <c r="U819" s="560">
        <f t="shared" si="135"/>
        <v>69176.851999999999</v>
      </c>
      <c r="V819" s="66"/>
      <c r="W819" s="66"/>
      <c r="X819" s="66"/>
      <c r="Y819" s="66"/>
      <c r="Z819" s="66"/>
      <c r="AA819" s="66"/>
      <c r="AB819" s="66"/>
      <c r="AC819" s="66"/>
    </row>
    <row r="820" spans="1:29" x14ac:dyDescent="0.25">
      <c r="A820" s="590" t="s">
        <v>177</v>
      </c>
      <c r="B820" s="557">
        <f>SUM(B813:B819)</f>
        <v>310910</v>
      </c>
      <c r="C820" s="557"/>
      <c r="D820" s="557">
        <f>SUM(D813:D819)</f>
        <v>401622.23</v>
      </c>
      <c r="E820" s="557">
        <f>SUM(E813:E819)</f>
        <v>102525</v>
      </c>
      <c r="F820" s="557"/>
      <c r="G820" s="557">
        <f>SUM(G813:G819)</f>
        <v>47243.774000000005</v>
      </c>
      <c r="H820" s="557">
        <f>SUM(H813:H819)</f>
        <v>84811</v>
      </c>
      <c r="I820" s="557"/>
      <c r="J820" s="557">
        <f>SUM(J813:J819)</f>
        <v>50577.367999999995</v>
      </c>
      <c r="K820" s="557">
        <f>SUM(K813:K819)</f>
        <v>19457</v>
      </c>
      <c r="L820" s="557"/>
      <c r="M820" s="557">
        <f>SUM(M813:M819)</f>
        <v>17573.548000000003</v>
      </c>
      <c r="N820" s="557">
        <f>SUM(N813:N819)</f>
        <v>27180</v>
      </c>
      <c r="O820" s="557"/>
      <c r="P820" s="557">
        <f>SUM(P813:P819)</f>
        <v>221049.97399999999</v>
      </c>
      <c r="Q820" s="557">
        <f>SUM(Q813:Q819)</f>
        <v>7000</v>
      </c>
      <c r="R820" s="557"/>
      <c r="S820" s="557">
        <f>SUM(S813:S819)</f>
        <v>0</v>
      </c>
      <c r="T820" s="557">
        <f>Q820+N820+K820+H820+S820+E820+B820</f>
        <v>551883</v>
      </c>
      <c r="U820" s="558">
        <f t="shared" si="135"/>
        <v>738066.89399999997</v>
      </c>
      <c r="V820" s="66"/>
      <c r="W820" s="66"/>
      <c r="X820" s="66"/>
      <c r="Y820" s="66"/>
      <c r="Z820" s="66"/>
      <c r="AA820" s="66"/>
      <c r="AB820" s="66"/>
      <c r="AC820" s="66"/>
    </row>
    <row r="821" spans="1:29" ht="15.75" thickBot="1" x14ac:dyDescent="0.3">
      <c r="A821" s="591" t="s">
        <v>32</v>
      </c>
      <c r="B821" s="569">
        <f>B820+B812</f>
        <v>919918</v>
      </c>
      <c r="C821" s="569"/>
      <c r="D821" s="569">
        <f>D820+D812</f>
        <v>1297712.1259999999</v>
      </c>
      <c r="E821" s="569">
        <f>E820+E812</f>
        <v>218515</v>
      </c>
      <c r="F821" s="569"/>
      <c r="G821" s="569">
        <f>G820+G812</f>
        <v>124624.58099999999</v>
      </c>
      <c r="H821" s="569">
        <f>H820+H812</f>
        <v>206482</v>
      </c>
      <c r="I821" s="569"/>
      <c r="J821" s="569">
        <f>J820+J812</f>
        <v>124059.965</v>
      </c>
      <c r="K821" s="569">
        <f>K820+K812</f>
        <v>25536</v>
      </c>
      <c r="L821" s="569"/>
      <c r="M821" s="569">
        <f>M820+M812</f>
        <v>24734.95</v>
      </c>
      <c r="N821" s="569">
        <f>N820+N812</f>
        <v>30239</v>
      </c>
      <c r="O821" s="569"/>
      <c r="P821" s="569">
        <f>P820+P812</f>
        <v>222642.97399999999</v>
      </c>
      <c r="Q821" s="569">
        <f>Q820+Q812</f>
        <v>36068</v>
      </c>
      <c r="R821" s="569"/>
      <c r="S821" s="569">
        <f>S820+S812</f>
        <v>518449.39199999999</v>
      </c>
      <c r="T821" s="569">
        <f>T820+T812</f>
        <v>1955207.392</v>
      </c>
      <c r="U821" s="570">
        <f>U820+U812</f>
        <v>2312223.9879999999</v>
      </c>
      <c r="V821" s="66"/>
      <c r="W821" s="66"/>
      <c r="X821" s="66"/>
      <c r="Y821" s="66"/>
      <c r="Z821" s="66"/>
      <c r="AA821" s="66"/>
      <c r="AB821" s="66"/>
      <c r="AC821" s="66"/>
    </row>
    <row r="822" spans="1:29" ht="15.75" thickTop="1" x14ac:dyDescent="0.25">
      <c r="A822" s="571" t="s">
        <v>165</v>
      </c>
      <c r="B822" s="572"/>
      <c r="C822" s="572"/>
      <c r="D822" s="572"/>
      <c r="E822" s="572"/>
      <c r="F822" s="572"/>
      <c r="G822" s="572"/>
      <c r="H822" s="572"/>
      <c r="I822" s="572"/>
      <c r="J822" s="572"/>
      <c r="K822" s="572"/>
      <c r="L822" s="572"/>
      <c r="M822" s="572"/>
      <c r="N822" s="572"/>
      <c r="O822" s="572"/>
      <c r="P822" s="572"/>
      <c r="Q822" s="572"/>
      <c r="R822" s="572"/>
      <c r="S822" s="572"/>
      <c r="T822" s="572"/>
      <c r="U822" s="572"/>
      <c r="V822" s="66"/>
      <c r="W822" s="66"/>
      <c r="X822" s="66"/>
      <c r="Y822" s="66"/>
      <c r="Z822" s="66"/>
      <c r="AA822" s="66"/>
      <c r="AB822" s="66"/>
      <c r="AC822" s="66"/>
    </row>
    <row r="823" spans="1:29" x14ac:dyDescent="0.25">
      <c r="A823" s="66"/>
      <c r="B823" s="66"/>
      <c r="C823" s="66"/>
      <c r="D823" s="66"/>
      <c r="E823" s="66"/>
      <c r="F823" s="66"/>
      <c r="G823" s="66"/>
      <c r="H823" s="66"/>
      <c r="I823" s="66"/>
      <c r="J823" s="66"/>
      <c r="K823" s="66"/>
      <c r="L823" s="66"/>
      <c r="M823" s="66"/>
      <c r="N823" s="66"/>
      <c r="O823" s="66"/>
      <c r="P823" s="66"/>
      <c r="Q823" s="66"/>
      <c r="R823" s="66"/>
      <c r="S823" s="66"/>
      <c r="T823" s="66"/>
      <c r="U823" s="66"/>
      <c r="V823" s="66"/>
      <c r="W823" s="66"/>
      <c r="X823" s="66"/>
      <c r="Y823" s="66"/>
      <c r="Z823" s="66"/>
      <c r="AA823" s="66"/>
      <c r="AB823" s="66"/>
      <c r="AC823" s="66"/>
    </row>
    <row r="824" spans="1:29" ht="20.25" x14ac:dyDescent="0.3">
      <c r="A824" s="592"/>
      <c r="B824" s="592"/>
      <c r="C824" s="592"/>
      <c r="D824" s="592"/>
      <c r="E824" s="593" t="s">
        <v>178</v>
      </c>
      <c r="F824" s="592"/>
      <c r="G824" s="592"/>
      <c r="H824" s="592"/>
      <c r="I824" s="592"/>
      <c r="J824" s="592"/>
      <c r="K824" s="592"/>
      <c r="L824" s="592"/>
      <c r="M824" s="592"/>
      <c r="N824" s="592"/>
      <c r="O824" s="592"/>
      <c r="P824" s="592"/>
      <c r="Q824" s="592"/>
      <c r="R824" s="592"/>
      <c r="S824" s="592"/>
      <c r="T824" s="592"/>
      <c r="U824" s="592"/>
      <c r="V824" s="592"/>
      <c r="W824" s="592"/>
      <c r="X824" s="592"/>
      <c r="Y824" s="66"/>
      <c r="Z824" s="66"/>
      <c r="AA824" s="66"/>
      <c r="AB824" s="66"/>
      <c r="AC824" s="66"/>
    </row>
    <row r="825" spans="1:29" ht="21" thickBot="1" x14ac:dyDescent="0.35">
      <c r="A825" s="593" t="s">
        <v>123</v>
      </c>
      <c r="B825" s="592"/>
      <c r="C825" s="592"/>
      <c r="D825" s="592"/>
      <c r="E825" s="592"/>
      <c r="F825" s="592" t="s">
        <v>34</v>
      </c>
      <c r="G825" s="592"/>
      <c r="H825" s="592"/>
      <c r="I825" s="592" t="s">
        <v>102</v>
      </c>
      <c r="J825" s="592"/>
      <c r="K825" s="592"/>
      <c r="L825" s="592"/>
      <c r="M825" s="592"/>
      <c r="N825" s="592" t="s">
        <v>36</v>
      </c>
      <c r="O825" s="592"/>
      <c r="P825" s="592"/>
      <c r="Q825" s="592"/>
      <c r="R825" s="592"/>
      <c r="S825" s="592"/>
      <c r="T825" s="592"/>
      <c r="U825" s="592"/>
      <c r="V825" s="592"/>
      <c r="W825" s="592"/>
      <c r="X825" s="592"/>
      <c r="Y825" s="66"/>
      <c r="Z825" s="66"/>
      <c r="AA825" s="66"/>
      <c r="AB825" s="66"/>
      <c r="AC825" s="66"/>
    </row>
    <row r="826" spans="1:29" ht="16.5" thickBot="1" x14ac:dyDescent="0.3">
      <c r="A826" s="594" t="s">
        <v>2</v>
      </c>
      <c r="B826" s="974" t="s">
        <v>3</v>
      </c>
      <c r="C826" s="975"/>
      <c r="D826" s="976"/>
      <c r="E826" s="974" t="s">
        <v>4</v>
      </c>
      <c r="F826" s="975"/>
      <c r="G826" s="976"/>
      <c r="H826" s="974" t="s">
        <v>5</v>
      </c>
      <c r="I826" s="975"/>
      <c r="J826" s="976"/>
      <c r="K826" s="595" t="s">
        <v>6</v>
      </c>
      <c r="L826" s="596"/>
      <c r="M826" s="597"/>
      <c r="N826" s="974" t="s">
        <v>7</v>
      </c>
      <c r="O826" s="975"/>
      <c r="P826" s="976"/>
      <c r="Q826" s="974" t="s">
        <v>8</v>
      </c>
      <c r="R826" s="975"/>
      <c r="S826" s="976"/>
      <c r="T826" s="974" t="s">
        <v>9</v>
      </c>
      <c r="U826" s="975"/>
      <c r="V826" s="976"/>
      <c r="W826" s="595" t="s">
        <v>10</v>
      </c>
      <c r="X826" s="597"/>
      <c r="Y826" s="66"/>
      <c r="Z826" s="66"/>
      <c r="AA826" s="66"/>
      <c r="AB826" s="66"/>
      <c r="AC826" s="66"/>
    </row>
    <row r="827" spans="1:29" x14ac:dyDescent="0.25">
      <c r="A827" s="598" t="s">
        <v>131</v>
      </c>
      <c r="B827" s="599" t="s">
        <v>12</v>
      </c>
      <c r="C827" s="600" t="s">
        <v>13</v>
      </c>
      <c r="D827" s="601" t="s">
        <v>14</v>
      </c>
      <c r="E827" s="599" t="s">
        <v>12</v>
      </c>
      <c r="F827" s="600" t="s">
        <v>13</v>
      </c>
      <c r="G827" s="601" t="s">
        <v>14</v>
      </c>
      <c r="H827" s="599" t="s">
        <v>12</v>
      </c>
      <c r="I827" s="600" t="s">
        <v>13</v>
      </c>
      <c r="J827" s="601" t="s">
        <v>14</v>
      </c>
      <c r="K827" s="599" t="s">
        <v>12</v>
      </c>
      <c r="L827" s="600" t="s">
        <v>13</v>
      </c>
      <c r="M827" s="602" t="s">
        <v>14</v>
      </c>
      <c r="N827" s="603" t="s">
        <v>12</v>
      </c>
      <c r="O827" s="603" t="s">
        <v>13</v>
      </c>
      <c r="P827" s="603" t="s">
        <v>14</v>
      </c>
      <c r="Q827" s="603" t="s">
        <v>12</v>
      </c>
      <c r="R827" s="603" t="s">
        <v>13</v>
      </c>
      <c r="S827" s="604" t="s">
        <v>14</v>
      </c>
      <c r="T827" s="599" t="s">
        <v>12</v>
      </c>
      <c r="U827" s="600" t="s">
        <v>13</v>
      </c>
      <c r="V827" s="601" t="s">
        <v>14</v>
      </c>
      <c r="W827" s="599" t="s">
        <v>12</v>
      </c>
      <c r="X827" s="601" t="s">
        <v>14</v>
      </c>
      <c r="Y827" s="66"/>
      <c r="Z827" s="66"/>
      <c r="AA827" s="66"/>
      <c r="AB827" s="66"/>
      <c r="AC827" s="66"/>
    </row>
    <row r="828" spans="1:29" x14ac:dyDescent="0.25">
      <c r="A828" s="605" t="s">
        <v>15</v>
      </c>
      <c r="B828" s="606">
        <v>117376</v>
      </c>
      <c r="C828" s="607">
        <v>383</v>
      </c>
      <c r="D828" s="608">
        <v>44955.008000000002</v>
      </c>
      <c r="E828" s="606">
        <v>39345</v>
      </c>
      <c r="F828" s="607">
        <v>418</v>
      </c>
      <c r="G828" s="608">
        <v>16446.21</v>
      </c>
      <c r="H828" s="606">
        <v>5</v>
      </c>
      <c r="I828" s="607">
        <v>470</v>
      </c>
      <c r="J828" s="608">
        <v>2.35</v>
      </c>
      <c r="K828" s="606">
        <v>7</v>
      </c>
      <c r="L828" s="607">
        <v>700</v>
      </c>
      <c r="M828" s="608">
        <v>4.9000000000000004</v>
      </c>
      <c r="N828" s="606">
        <v>109100</v>
      </c>
      <c r="O828" s="607">
        <v>630</v>
      </c>
      <c r="P828" s="606">
        <v>68733</v>
      </c>
      <c r="Q828" s="606"/>
      <c r="R828" s="607"/>
      <c r="S828" s="609"/>
      <c r="T828" s="610"/>
      <c r="U828" s="611"/>
      <c r="V828" s="611"/>
      <c r="W828" s="612">
        <v>265833</v>
      </c>
      <c r="X828" s="613">
        <v>130141.46799999999</v>
      </c>
      <c r="Y828" s="66"/>
      <c r="Z828" s="66"/>
      <c r="AA828" s="66"/>
      <c r="AB828" s="66"/>
      <c r="AC828" s="66"/>
    </row>
    <row r="829" spans="1:29" ht="15.75" x14ac:dyDescent="0.25">
      <c r="A829" s="605" t="s">
        <v>132</v>
      </c>
      <c r="B829" s="614">
        <v>25719</v>
      </c>
      <c r="C829" s="614">
        <v>338.53529411764703</v>
      </c>
      <c r="D829" s="608">
        <v>8706.7892294117646</v>
      </c>
      <c r="E829" s="614">
        <v>87</v>
      </c>
      <c r="F829" s="614">
        <v>750</v>
      </c>
      <c r="G829" s="608">
        <v>65.25</v>
      </c>
      <c r="H829" s="614">
        <v>3327</v>
      </c>
      <c r="I829" s="614">
        <v>392</v>
      </c>
      <c r="J829" s="608">
        <v>1304.184</v>
      </c>
      <c r="K829" s="614">
        <v>0</v>
      </c>
      <c r="L829" s="614"/>
      <c r="M829" s="608">
        <v>0</v>
      </c>
      <c r="N829" s="614">
        <v>0</v>
      </c>
      <c r="O829" s="614"/>
      <c r="P829" s="606">
        <v>0</v>
      </c>
      <c r="Q829" s="614"/>
      <c r="R829" s="614"/>
      <c r="S829" s="609"/>
      <c r="T829" s="615"/>
      <c r="U829" s="616"/>
      <c r="V829" s="617"/>
      <c r="W829" s="612">
        <v>29133</v>
      </c>
      <c r="X829" s="613">
        <v>10076.223229411764</v>
      </c>
      <c r="Y829" s="66"/>
      <c r="Z829" s="66"/>
      <c r="AA829" s="66"/>
      <c r="AB829" s="66"/>
      <c r="AC829" s="66"/>
    </row>
    <row r="830" spans="1:29" x14ac:dyDescent="0.25">
      <c r="A830" s="605" t="s">
        <v>103</v>
      </c>
      <c r="B830" s="611">
        <v>114713</v>
      </c>
      <c r="C830" s="611">
        <v>639</v>
      </c>
      <c r="D830" s="608">
        <v>73301.607000000004</v>
      </c>
      <c r="E830" s="611">
        <v>121874</v>
      </c>
      <c r="F830" s="611">
        <v>805</v>
      </c>
      <c r="G830" s="608">
        <v>98108.57</v>
      </c>
      <c r="H830" s="611">
        <v>28381</v>
      </c>
      <c r="I830" s="611">
        <v>1081</v>
      </c>
      <c r="J830" s="608">
        <v>30679.861000000001</v>
      </c>
      <c r="K830" s="611">
        <v>4628</v>
      </c>
      <c r="L830" s="611">
        <v>1030</v>
      </c>
      <c r="M830" s="608">
        <v>4766.84</v>
      </c>
      <c r="N830" s="611">
        <v>27633.666666666668</v>
      </c>
      <c r="O830" s="611">
        <v>842</v>
      </c>
      <c r="P830" s="606">
        <v>23267.547333333336</v>
      </c>
      <c r="Q830" s="611"/>
      <c r="R830" s="611"/>
      <c r="S830" s="609"/>
      <c r="T830" s="615"/>
      <c r="U830" s="616"/>
      <c r="V830" s="617"/>
      <c r="W830" s="612">
        <v>297229.66666666669</v>
      </c>
      <c r="X830" s="613">
        <v>230124.42533333338</v>
      </c>
      <c r="Y830" s="66"/>
      <c r="Z830" s="66"/>
      <c r="AA830" s="66"/>
      <c r="AB830" s="66"/>
      <c r="AC830" s="66"/>
    </row>
    <row r="831" spans="1:29" x14ac:dyDescent="0.25">
      <c r="A831" s="605" t="s">
        <v>20</v>
      </c>
      <c r="B831" s="606">
        <v>66867</v>
      </c>
      <c r="C831" s="607">
        <v>458.30238095238099</v>
      </c>
      <c r="D831" s="608">
        <v>30645.305307142862</v>
      </c>
      <c r="E831" s="606">
        <v>111619</v>
      </c>
      <c r="F831" s="607">
        <v>738</v>
      </c>
      <c r="G831" s="608">
        <v>82374.822</v>
      </c>
      <c r="H831" s="606">
        <v>2174</v>
      </c>
      <c r="I831" s="607">
        <v>400</v>
      </c>
      <c r="J831" s="608">
        <v>869.6</v>
      </c>
      <c r="K831" s="606">
        <v>645</v>
      </c>
      <c r="L831" s="607">
        <v>1160</v>
      </c>
      <c r="M831" s="608">
        <v>748.2</v>
      </c>
      <c r="N831" s="606">
        <v>43244</v>
      </c>
      <c r="O831" s="607">
        <v>1210</v>
      </c>
      <c r="P831" s="606">
        <v>52325.24</v>
      </c>
      <c r="Q831" s="606"/>
      <c r="R831" s="607"/>
      <c r="S831" s="609"/>
      <c r="T831" s="615"/>
      <c r="U831" s="616"/>
      <c r="V831" s="617"/>
      <c r="W831" s="612">
        <v>224549</v>
      </c>
      <c r="X831" s="613">
        <v>166963.16730714287</v>
      </c>
      <c r="Y831" s="66"/>
      <c r="Z831" s="66"/>
      <c r="AA831" s="66"/>
      <c r="AB831" s="66"/>
      <c r="AC831" s="66"/>
    </row>
    <row r="832" spans="1:29" x14ac:dyDescent="0.25">
      <c r="A832" s="605" t="s">
        <v>133</v>
      </c>
      <c r="B832" s="616">
        <v>68691</v>
      </c>
      <c r="C832" s="611">
        <v>405.13095238095235</v>
      </c>
      <c r="D832" s="608">
        <v>27828.850249999996</v>
      </c>
      <c r="E832" s="616">
        <v>54230</v>
      </c>
      <c r="F832" s="611">
        <v>566</v>
      </c>
      <c r="G832" s="608">
        <v>30694.18</v>
      </c>
      <c r="H832" s="616">
        <v>26434</v>
      </c>
      <c r="I832" s="611">
        <v>625.92592592592598</v>
      </c>
      <c r="J832" s="608">
        <v>16545.725925925926</v>
      </c>
      <c r="K832" s="616">
        <v>1124</v>
      </c>
      <c r="L832" s="611">
        <v>4875</v>
      </c>
      <c r="M832" s="608">
        <v>5479.5</v>
      </c>
      <c r="N832" s="616">
        <v>7951.666666666667</v>
      </c>
      <c r="O832" s="611">
        <v>670</v>
      </c>
      <c r="P832" s="606">
        <v>5327.6166666666668</v>
      </c>
      <c r="Q832" s="616"/>
      <c r="R832" s="611"/>
      <c r="S832" s="609"/>
      <c r="T832" s="615"/>
      <c r="U832" s="616"/>
      <c r="V832" s="617"/>
      <c r="W832" s="612">
        <v>158430.66666666669</v>
      </c>
      <c r="X832" s="613">
        <v>85875.872842592595</v>
      </c>
      <c r="Y832" s="66"/>
      <c r="Z832" s="66"/>
      <c r="AA832" s="66"/>
      <c r="AB832" s="66"/>
      <c r="AC832" s="66"/>
    </row>
    <row r="833" spans="1:29" ht="15.75" x14ac:dyDescent="0.25">
      <c r="A833" s="605" t="s">
        <v>21</v>
      </c>
      <c r="B833" s="618">
        <v>8714</v>
      </c>
      <c r="C833" s="611">
        <v>353</v>
      </c>
      <c r="D833" s="608">
        <v>3076.0419999999999</v>
      </c>
      <c r="E833" s="618">
        <v>0</v>
      </c>
      <c r="F833" s="611"/>
      <c r="G833" s="608">
        <v>0</v>
      </c>
      <c r="H833" s="618">
        <v>861</v>
      </c>
      <c r="I833" s="611">
        <v>460</v>
      </c>
      <c r="J833" s="608">
        <v>396.06</v>
      </c>
      <c r="K833" s="618">
        <v>0</v>
      </c>
      <c r="L833" s="611"/>
      <c r="M833" s="608">
        <v>0</v>
      </c>
      <c r="N833" s="611">
        <v>0</v>
      </c>
      <c r="O833" s="611"/>
      <c r="P833" s="606">
        <v>0</v>
      </c>
      <c r="Q833" s="618"/>
      <c r="R833" s="611"/>
      <c r="S833" s="609"/>
      <c r="T833" s="615"/>
      <c r="U833" s="616"/>
      <c r="V833" s="617"/>
      <c r="W833" s="612">
        <v>9575</v>
      </c>
      <c r="X833" s="613">
        <v>3472.1019999999999</v>
      </c>
      <c r="Y833" s="66"/>
      <c r="Z833" s="66"/>
      <c r="AA833" s="66"/>
      <c r="AB833" s="66"/>
      <c r="AC833" s="66"/>
    </row>
    <row r="834" spans="1:29" x14ac:dyDescent="0.25">
      <c r="A834" s="605" t="s">
        <v>22</v>
      </c>
      <c r="B834" s="611">
        <v>50579</v>
      </c>
      <c r="C834" s="611">
        <v>520</v>
      </c>
      <c r="D834" s="608">
        <v>26301.08</v>
      </c>
      <c r="E834" s="611">
        <v>97.3</v>
      </c>
      <c r="F834" s="611">
        <v>850</v>
      </c>
      <c r="G834" s="608">
        <v>82.704999999999998</v>
      </c>
      <c r="H834" s="611">
        <v>24123.95</v>
      </c>
      <c r="I834" s="611">
        <v>2412</v>
      </c>
      <c r="J834" s="608">
        <v>58186.967400000001</v>
      </c>
      <c r="K834" s="611">
        <v>218.5</v>
      </c>
      <c r="L834" s="611">
        <v>2800</v>
      </c>
      <c r="M834" s="608">
        <v>611.79999999999995</v>
      </c>
      <c r="N834" s="611">
        <v>630</v>
      </c>
      <c r="O834" s="611"/>
      <c r="P834" s="606">
        <v>0</v>
      </c>
      <c r="Q834" s="611">
        <v>665.4</v>
      </c>
      <c r="R834" s="611">
        <v>2640</v>
      </c>
      <c r="S834" s="609">
        <v>1756.6559999999999</v>
      </c>
      <c r="T834" s="615"/>
      <c r="U834" s="611"/>
      <c r="V834" s="617"/>
      <c r="W834" s="612">
        <v>76314.149999999994</v>
      </c>
      <c r="X834" s="613">
        <v>86939.208400000003</v>
      </c>
      <c r="Y834" s="66"/>
      <c r="Z834" s="66"/>
      <c r="AA834" s="66"/>
      <c r="AB834" s="66"/>
      <c r="AC834" s="66"/>
    </row>
    <row r="835" spans="1:29" s="729" customFormat="1" x14ac:dyDescent="0.25">
      <c r="A835" s="730" t="s">
        <v>23</v>
      </c>
      <c r="B835" s="731">
        <v>192626</v>
      </c>
      <c r="C835" s="731">
        <v>580</v>
      </c>
      <c r="D835" s="732">
        <v>111723.08</v>
      </c>
      <c r="E835" s="731">
        <v>153401</v>
      </c>
      <c r="F835" s="731">
        <v>571</v>
      </c>
      <c r="G835" s="732">
        <v>87591.971000000005</v>
      </c>
      <c r="H835" s="731">
        <v>680</v>
      </c>
      <c r="I835" s="731">
        <v>708</v>
      </c>
      <c r="J835" s="732">
        <v>481.44</v>
      </c>
      <c r="K835" s="731">
        <v>0</v>
      </c>
      <c r="L835" s="731"/>
      <c r="M835" s="732">
        <v>0</v>
      </c>
      <c r="N835" s="731">
        <v>283.33333333333331</v>
      </c>
      <c r="O835" s="731"/>
      <c r="P835" s="733">
        <v>0</v>
      </c>
      <c r="Q835" s="731"/>
      <c r="R835" s="731"/>
      <c r="S835" s="734"/>
      <c r="T835" s="735"/>
      <c r="U835" s="731"/>
      <c r="V835" s="736"/>
      <c r="W835" s="737">
        <v>346990.33333333337</v>
      </c>
      <c r="X835" s="738">
        <v>199796.49100000001</v>
      </c>
      <c r="Y835" s="739"/>
      <c r="Z835" s="739"/>
      <c r="AA835" s="739"/>
      <c r="AB835" s="739"/>
      <c r="AC835" s="739"/>
    </row>
    <row r="836" spans="1:29" x14ac:dyDescent="0.25">
      <c r="A836" s="605" t="s">
        <v>24</v>
      </c>
      <c r="B836" s="619">
        <v>9033</v>
      </c>
      <c r="C836" s="607">
        <v>720</v>
      </c>
      <c r="D836" s="620">
        <v>6503.76</v>
      </c>
      <c r="E836" s="621">
        <v>24749</v>
      </c>
      <c r="F836" s="607">
        <v>940</v>
      </c>
      <c r="G836" s="620">
        <v>23264.06</v>
      </c>
      <c r="H836" s="619">
        <v>38848</v>
      </c>
      <c r="I836" s="607">
        <v>1196</v>
      </c>
      <c r="J836" s="620">
        <v>46462.207999999999</v>
      </c>
      <c r="K836" s="621">
        <v>5872</v>
      </c>
      <c r="L836" s="607">
        <v>3490</v>
      </c>
      <c r="M836" s="620">
        <v>20493.28</v>
      </c>
      <c r="N836" s="610">
        <v>169232</v>
      </c>
      <c r="O836" s="622">
        <v>1270</v>
      </c>
      <c r="P836" s="620">
        <v>214924.64</v>
      </c>
      <c r="Q836" s="615"/>
      <c r="R836" s="616"/>
      <c r="S836" s="620"/>
      <c r="T836" s="615"/>
      <c r="U836" s="616"/>
      <c r="V836" s="617"/>
      <c r="W836" s="612">
        <v>247734</v>
      </c>
      <c r="X836" s="613">
        <v>311647.94800000003</v>
      </c>
      <c r="Y836" s="66"/>
      <c r="Z836" s="66"/>
      <c r="AA836" s="66"/>
      <c r="AB836" s="66"/>
      <c r="AC836" s="66"/>
    </row>
    <row r="837" spans="1:29" x14ac:dyDescent="0.25">
      <c r="A837" s="605" t="s">
        <v>134</v>
      </c>
      <c r="B837" s="610">
        <v>97935</v>
      </c>
      <c r="C837" s="611">
        <v>600</v>
      </c>
      <c r="D837" s="620">
        <v>58761</v>
      </c>
      <c r="E837" s="610">
        <v>151035</v>
      </c>
      <c r="F837" s="611">
        <v>777</v>
      </c>
      <c r="G837" s="620">
        <v>117354.19500000001</v>
      </c>
      <c r="H837" s="610">
        <v>87103</v>
      </c>
      <c r="I837" s="622">
        <v>1387.0000000000002</v>
      </c>
      <c r="J837" s="620">
        <v>120811.86100000002</v>
      </c>
      <c r="K837" s="610">
        <v>81</v>
      </c>
      <c r="L837" s="622">
        <v>946</v>
      </c>
      <c r="M837" s="620">
        <v>76.626000000000005</v>
      </c>
      <c r="N837" s="610">
        <v>26077.666666666668</v>
      </c>
      <c r="O837" s="611">
        <v>900</v>
      </c>
      <c r="P837" s="620">
        <v>23469.9</v>
      </c>
      <c r="Q837" s="615"/>
      <c r="R837" s="616"/>
      <c r="S837" s="620"/>
      <c r="T837" s="615"/>
      <c r="U837" s="616"/>
      <c r="V837" s="617"/>
      <c r="W837" s="612">
        <v>362231.66666666669</v>
      </c>
      <c r="X837" s="613">
        <v>320473.58200000005</v>
      </c>
      <c r="Y837" s="66"/>
      <c r="Z837" s="66"/>
      <c r="AA837" s="66"/>
      <c r="AB837" s="66"/>
      <c r="AC837" s="66"/>
    </row>
    <row r="838" spans="1:29" ht="15.75" thickBot="1" x14ac:dyDescent="0.3">
      <c r="A838" s="623" t="s">
        <v>161</v>
      </c>
      <c r="B838" s="624">
        <v>94715</v>
      </c>
      <c r="C838" s="625">
        <v>400</v>
      </c>
      <c r="D838" s="620">
        <v>37886</v>
      </c>
      <c r="E838" s="624">
        <v>23460</v>
      </c>
      <c r="F838" s="625">
        <v>480</v>
      </c>
      <c r="G838" s="620">
        <v>11260.8</v>
      </c>
      <c r="H838" s="624">
        <v>0</v>
      </c>
      <c r="I838" s="626"/>
      <c r="J838" s="620">
        <v>0</v>
      </c>
      <c r="K838" s="624">
        <v>0</v>
      </c>
      <c r="L838" s="627"/>
      <c r="M838" s="620">
        <v>0</v>
      </c>
      <c r="N838" s="624">
        <v>0</v>
      </c>
      <c r="O838" s="627"/>
      <c r="P838" s="620">
        <v>0</v>
      </c>
      <c r="Q838" s="628"/>
      <c r="R838" s="629"/>
      <c r="S838" s="620"/>
      <c r="T838" s="628"/>
      <c r="U838" s="629"/>
      <c r="V838" s="630"/>
      <c r="W838" s="612">
        <v>118175</v>
      </c>
      <c r="X838" s="613">
        <v>49146.8</v>
      </c>
      <c r="Y838" s="66"/>
      <c r="Z838" s="66"/>
      <c r="AA838" s="66"/>
      <c r="AB838" s="66"/>
      <c r="AC838" s="66"/>
    </row>
    <row r="839" spans="1:29" ht="15.75" thickBot="1" x14ac:dyDescent="0.3">
      <c r="A839" s="631" t="s">
        <v>85</v>
      </c>
      <c r="B839" s="632">
        <f>SUM(B828:B838)</f>
        <v>846968</v>
      </c>
      <c r="C839" s="633"/>
      <c r="D839" s="632">
        <f>SUM(D828:D838)</f>
        <v>429688.52178655466</v>
      </c>
      <c r="E839" s="632">
        <f>SUM(E828:E838)</f>
        <v>679897.3</v>
      </c>
      <c r="F839" s="634"/>
      <c r="G839" s="632">
        <f>SUM(G828:G838)</f>
        <v>467242.76299999998</v>
      </c>
      <c r="H839" s="632">
        <f>SUM(H828:H838)</f>
        <v>211936.95</v>
      </c>
      <c r="I839" s="634"/>
      <c r="J839" s="632">
        <f>SUM(J828:J838)</f>
        <v>275740.25732592598</v>
      </c>
      <c r="K839" s="632">
        <f>SUM(K828:K838)</f>
        <v>12575.5</v>
      </c>
      <c r="L839" s="634"/>
      <c r="M839" s="632">
        <f>SUM(M828:M838)</f>
        <v>32181.145999999997</v>
      </c>
      <c r="N839" s="632">
        <f>SUM(N828:N838)</f>
        <v>384152.33333333331</v>
      </c>
      <c r="O839" s="634"/>
      <c r="P839" s="632">
        <f>SUM(P828:P838)</f>
        <v>388047.94400000002</v>
      </c>
      <c r="Q839" s="632">
        <f>SUM(Q828:Q838)</f>
        <v>665.4</v>
      </c>
      <c r="R839" s="635"/>
      <c r="S839" s="632">
        <f>SUM(S828:S838)</f>
        <v>1756.6559999999999</v>
      </c>
      <c r="T839" s="632"/>
      <c r="U839" s="635"/>
      <c r="V839" s="632">
        <v>0</v>
      </c>
      <c r="W839" s="612">
        <f>SUM(W828:W838)</f>
        <v>2136195.4833333334</v>
      </c>
      <c r="X839" s="613">
        <f>SUM(X828:X838)</f>
        <v>1594657.2881124809</v>
      </c>
      <c r="Y839" s="66"/>
      <c r="Z839" s="66"/>
      <c r="AA839" s="66"/>
      <c r="AB839" s="66"/>
      <c r="AC839" s="66"/>
    </row>
    <row r="840" spans="1:29" x14ac:dyDescent="0.25">
      <c r="A840" s="598" t="s">
        <v>135</v>
      </c>
      <c r="B840" s="636">
        <v>88076.2</v>
      </c>
      <c r="C840" s="637">
        <v>483.98965517241385</v>
      </c>
      <c r="D840" s="613">
        <v>42627.969666896555</v>
      </c>
      <c r="E840" s="636">
        <v>34405.67</v>
      </c>
      <c r="F840" s="637">
        <v>614</v>
      </c>
      <c r="G840" s="613">
        <v>21125.08138</v>
      </c>
      <c r="H840" s="636">
        <v>11690</v>
      </c>
      <c r="I840" s="637">
        <v>926</v>
      </c>
      <c r="J840" s="613">
        <v>10824.94</v>
      </c>
      <c r="K840" s="636">
        <v>18473</v>
      </c>
      <c r="L840" s="637">
        <v>1614</v>
      </c>
      <c r="M840" s="613">
        <v>29815.421999999999</v>
      </c>
      <c r="N840" s="636">
        <v>0</v>
      </c>
      <c r="O840" s="637"/>
      <c r="P840" s="613">
        <v>0</v>
      </c>
      <c r="Q840" s="636"/>
      <c r="R840" s="637"/>
      <c r="S840" s="636"/>
      <c r="T840" s="636"/>
      <c r="U840" s="637"/>
      <c r="V840" s="636"/>
      <c r="W840" s="612">
        <v>152644.87</v>
      </c>
      <c r="X840" s="613">
        <v>104393.41304689654</v>
      </c>
      <c r="Y840" s="66"/>
      <c r="Z840" s="66"/>
      <c r="AA840" s="66"/>
      <c r="AB840" s="66"/>
      <c r="AC840" s="66"/>
    </row>
    <row r="841" spans="1:29" x14ac:dyDescent="0.25">
      <c r="A841" s="605" t="s">
        <v>136</v>
      </c>
      <c r="B841" s="638">
        <v>34029</v>
      </c>
      <c r="C841" s="637">
        <v>550</v>
      </c>
      <c r="D841" s="613">
        <v>18715.95</v>
      </c>
      <c r="E841" s="638">
        <v>78772</v>
      </c>
      <c r="F841" s="637">
        <v>962.40173913042997</v>
      </c>
      <c r="G841" s="613">
        <v>75810.309794782239</v>
      </c>
      <c r="H841" s="638">
        <v>20058</v>
      </c>
      <c r="I841" s="637">
        <v>1184.83157894737</v>
      </c>
      <c r="J841" s="613">
        <v>23765.351810526347</v>
      </c>
      <c r="K841" s="638">
        <v>59283</v>
      </c>
      <c r="L841" s="639">
        <v>2086.91489361702</v>
      </c>
      <c r="M841" s="613">
        <v>123718.5756382978</v>
      </c>
      <c r="N841" s="638">
        <v>59625.333333333336</v>
      </c>
      <c r="O841" s="639">
        <v>1010</v>
      </c>
      <c r="P841" s="613">
        <v>60221.58666666667</v>
      </c>
      <c r="Q841" s="640"/>
      <c r="R841" s="637"/>
      <c r="S841" s="641"/>
      <c r="T841" s="640"/>
      <c r="U841" s="642"/>
      <c r="V841" s="641"/>
      <c r="W841" s="612">
        <v>251767.33333333334</v>
      </c>
      <c r="X841" s="613">
        <v>302231.77391027304</v>
      </c>
      <c r="Y841" s="66"/>
      <c r="Z841" s="66"/>
      <c r="AA841" s="66"/>
      <c r="AB841" s="66"/>
      <c r="AC841" s="66"/>
    </row>
    <row r="842" spans="1:29" x14ac:dyDescent="0.25">
      <c r="A842" s="605" t="s">
        <v>137</v>
      </c>
      <c r="B842" s="638">
        <v>4576</v>
      </c>
      <c r="C842" s="637">
        <v>500</v>
      </c>
      <c r="D842" s="613">
        <v>2288</v>
      </c>
      <c r="E842" s="638">
        <v>48163</v>
      </c>
      <c r="F842" s="637">
        <v>826</v>
      </c>
      <c r="G842" s="613">
        <v>39782.637999999999</v>
      </c>
      <c r="H842" s="638">
        <v>53055</v>
      </c>
      <c r="I842" s="639">
        <v>1210.87083333333</v>
      </c>
      <c r="J842" s="613">
        <v>64242.752062499821</v>
      </c>
      <c r="K842" s="638">
        <v>8698</v>
      </c>
      <c r="L842" s="639">
        <v>941</v>
      </c>
      <c r="M842" s="613">
        <v>8184.8180000000002</v>
      </c>
      <c r="N842" s="638">
        <v>13638.666666666666</v>
      </c>
      <c r="O842" s="639">
        <v>1108</v>
      </c>
      <c r="P842" s="613">
        <v>15111.642666666667</v>
      </c>
      <c r="Q842" s="640"/>
      <c r="R842" s="642"/>
      <c r="S842" s="641"/>
      <c r="T842" s="640"/>
      <c r="U842" s="642"/>
      <c r="V842" s="641"/>
      <c r="W842" s="612">
        <v>128130.66666666666</v>
      </c>
      <c r="X842" s="613">
        <v>129609.8507291665</v>
      </c>
      <c r="Y842" s="66"/>
      <c r="Z842" s="66"/>
      <c r="AA842" s="66"/>
      <c r="AB842" s="66"/>
      <c r="AC842" s="66"/>
    </row>
    <row r="843" spans="1:29" x14ac:dyDescent="0.25">
      <c r="A843" s="605" t="s">
        <v>73</v>
      </c>
      <c r="B843" s="638">
        <v>23392</v>
      </c>
      <c r="C843" s="637">
        <v>707</v>
      </c>
      <c r="D843" s="613">
        <v>16538.144</v>
      </c>
      <c r="E843" s="638">
        <v>52836</v>
      </c>
      <c r="F843" s="637">
        <v>948</v>
      </c>
      <c r="G843" s="613">
        <v>50088.527999999998</v>
      </c>
      <c r="H843" s="638">
        <v>8135</v>
      </c>
      <c r="I843" s="637">
        <v>1298</v>
      </c>
      <c r="J843" s="613">
        <v>10559.23</v>
      </c>
      <c r="K843" s="638">
        <v>3940</v>
      </c>
      <c r="L843" s="639">
        <v>1413</v>
      </c>
      <c r="M843" s="613">
        <v>5567.22</v>
      </c>
      <c r="N843" s="638">
        <v>3279.3333333333335</v>
      </c>
      <c r="O843" s="639">
        <v>1092</v>
      </c>
      <c r="P843" s="613">
        <v>3581.0320000000002</v>
      </c>
      <c r="Q843" s="640"/>
      <c r="R843" s="642"/>
      <c r="S843" s="641"/>
      <c r="T843" s="640"/>
      <c r="U843" s="642"/>
      <c r="V843" s="641"/>
      <c r="W843" s="612">
        <v>91582.333333333328</v>
      </c>
      <c r="X843" s="613">
        <v>86334.153999999995</v>
      </c>
      <c r="Y843" s="66"/>
      <c r="Z843" s="66"/>
      <c r="AA843" s="66"/>
      <c r="AB843" s="66"/>
      <c r="AC843" s="66"/>
    </row>
    <row r="844" spans="1:29" x14ac:dyDescent="0.25">
      <c r="A844" s="605" t="s">
        <v>162</v>
      </c>
      <c r="B844" s="638">
        <v>23599</v>
      </c>
      <c r="C844" s="637">
        <v>509.51612903225811</v>
      </c>
      <c r="D844" s="613">
        <v>12024.07112903226</v>
      </c>
      <c r="E844" s="638">
        <v>80694</v>
      </c>
      <c r="F844" s="637">
        <v>600</v>
      </c>
      <c r="G844" s="613">
        <v>48416.4</v>
      </c>
      <c r="H844" s="638">
        <v>8425</v>
      </c>
      <c r="I844" s="639">
        <v>1076.8599999999999</v>
      </c>
      <c r="J844" s="613">
        <v>9072.5455000000002</v>
      </c>
      <c r="K844" s="638">
        <v>14838</v>
      </c>
      <c r="L844" s="639">
        <v>1355</v>
      </c>
      <c r="M844" s="613">
        <v>20105.490000000002</v>
      </c>
      <c r="N844" s="638">
        <v>0</v>
      </c>
      <c r="O844" s="637"/>
      <c r="P844" s="613">
        <v>0</v>
      </c>
      <c r="Q844" s="640"/>
      <c r="R844" s="642"/>
      <c r="S844" s="641"/>
      <c r="T844" s="640"/>
      <c r="U844" s="642"/>
      <c r="V844" s="641"/>
      <c r="W844" s="612">
        <v>127556</v>
      </c>
      <c r="X844" s="613">
        <v>89618.506629032272</v>
      </c>
      <c r="Y844" s="66"/>
      <c r="Z844" s="66"/>
      <c r="AA844" s="66"/>
      <c r="AB844" s="66"/>
      <c r="AC844" s="66"/>
    </row>
    <row r="845" spans="1:29" x14ac:dyDescent="0.25">
      <c r="A845" s="605" t="s">
        <v>163</v>
      </c>
      <c r="B845" s="638">
        <v>22926</v>
      </c>
      <c r="C845" s="637">
        <v>725</v>
      </c>
      <c r="D845" s="613">
        <v>16621.349999999999</v>
      </c>
      <c r="E845" s="638">
        <v>69697</v>
      </c>
      <c r="F845" s="637">
        <v>830</v>
      </c>
      <c r="G845" s="613">
        <v>57848.51</v>
      </c>
      <c r="H845" s="638">
        <v>15506</v>
      </c>
      <c r="I845" s="637">
        <v>1230</v>
      </c>
      <c r="J845" s="613">
        <v>19072.38</v>
      </c>
      <c r="K845" s="638">
        <v>19435</v>
      </c>
      <c r="L845" s="639">
        <v>1338</v>
      </c>
      <c r="M845" s="613">
        <v>26004.03</v>
      </c>
      <c r="N845" s="638">
        <v>0</v>
      </c>
      <c r="O845" s="637"/>
      <c r="P845" s="613">
        <v>0</v>
      </c>
      <c r="Q845" s="640"/>
      <c r="R845" s="642"/>
      <c r="S845" s="641"/>
      <c r="T845" s="640"/>
      <c r="U845" s="642"/>
      <c r="V845" s="641"/>
      <c r="W845" s="612">
        <v>127564</v>
      </c>
      <c r="X845" s="613">
        <v>119546.27000000002</v>
      </c>
      <c r="Y845" s="66"/>
      <c r="Z845" s="66"/>
      <c r="AA845" s="66"/>
      <c r="AB845" s="66"/>
      <c r="AC845" s="66"/>
    </row>
    <row r="846" spans="1:29" ht="15.75" thickBot="1" x14ac:dyDescent="0.3">
      <c r="A846" s="623" t="s">
        <v>27</v>
      </c>
      <c r="B846" s="643">
        <v>27578</v>
      </c>
      <c r="C846" s="644">
        <v>619.29999999999995</v>
      </c>
      <c r="D846" s="613">
        <v>17079.055399999997</v>
      </c>
      <c r="E846" s="643">
        <v>49899</v>
      </c>
      <c r="F846" s="644">
        <v>780</v>
      </c>
      <c r="G846" s="613">
        <v>38921.22</v>
      </c>
      <c r="H846" s="643">
        <v>4859</v>
      </c>
      <c r="I846" s="645">
        <v>969</v>
      </c>
      <c r="J846" s="613">
        <v>4708.3710000000001</v>
      </c>
      <c r="K846" s="643">
        <v>77903</v>
      </c>
      <c r="L846" s="645">
        <v>1703</v>
      </c>
      <c r="M846" s="613">
        <v>132668.80900000001</v>
      </c>
      <c r="N846" s="643">
        <v>3415</v>
      </c>
      <c r="O846" s="646">
        <v>760</v>
      </c>
      <c r="P846" s="613">
        <v>2595.4</v>
      </c>
      <c r="Q846" s="647"/>
      <c r="R846" s="648"/>
      <c r="S846" s="649"/>
      <c r="T846" s="647"/>
      <c r="U846" s="648"/>
      <c r="V846" s="649"/>
      <c r="W846" s="612">
        <v>163654</v>
      </c>
      <c r="X846" s="613">
        <v>195972.8554</v>
      </c>
      <c r="Y846" s="66"/>
      <c r="Z846" s="66"/>
      <c r="AA846" s="66"/>
      <c r="AB846" s="66"/>
      <c r="AC846" s="66"/>
    </row>
    <row r="847" spans="1:29" x14ac:dyDescent="0.25">
      <c r="A847" s="650" t="s">
        <v>164</v>
      </c>
      <c r="B847" s="651">
        <f>SUM(B840:B846)</f>
        <v>224176.2</v>
      </c>
      <c r="C847" s="652"/>
      <c r="D847" s="651">
        <v>125894.54019592881</v>
      </c>
      <c r="E847" s="651">
        <f>SUM(E840:E846)</f>
        <v>414466.67</v>
      </c>
      <c r="F847" s="652"/>
      <c r="G847" s="651">
        <f>SUM(G840:G846)</f>
        <v>331992.68717478227</v>
      </c>
      <c r="H847" s="651">
        <f>SUM(H840:H846)</f>
        <v>121728</v>
      </c>
      <c r="I847" s="652"/>
      <c r="J847" s="651">
        <f>SUM(J840:J846)</f>
        <v>142245.57037302619</v>
      </c>
      <c r="K847" s="651">
        <f>SUM(K840:K846)</f>
        <v>202570</v>
      </c>
      <c r="L847" s="652"/>
      <c r="M847" s="651">
        <f>SUM(M840:M846)</f>
        <v>346064.36463829782</v>
      </c>
      <c r="N847" s="651">
        <f>SUM(N840:N846)</f>
        <v>79958.333333333328</v>
      </c>
      <c r="O847" s="652"/>
      <c r="P847" s="651">
        <f>SUM(P840:P846)</f>
        <v>81509.661333333337</v>
      </c>
      <c r="Q847" s="651">
        <f>SUM(Q840:Q846)</f>
        <v>0</v>
      </c>
      <c r="R847" s="653"/>
      <c r="S847" s="651">
        <f>SUM(S840:S846)</f>
        <v>0</v>
      </c>
      <c r="T847" s="651">
        <f>SUM(T840:T846)</f>
        <v>0</v>
      </c>
      <c r="U847" s="653"/>
      <c r="V847" s="651">
        <f>SUM(V840:V846)</f>
        <v>0</v>
      </c>
      <c r="W847" s="654">
        <f>SUM(W840:W846)</f>
        <v>1042899.2033333334</v>
      </c>
      <c r="X847" s="651">
        <f>SUM(X840:X846)</f>
        <v>1027706.8237153684</v>
      </c>
      <c r="Y847" s="66"/>
      <c r="Z847" s="66"/>
      <c r="AA847" s="66"/>
      <c r="AB847" s="66"/>
      <c r="AC847" s="66"/>
    </row>
    <row r="848" spans="1:29" ht="15.75" thickBot="1" x14ac:dyDescent="0.3">
      <c r="A848" s="655" t="s">
        <v>32</v>
      </c>
      <c r="B848" s="656">
        <f>SUM(B847,B839)</f>
        <v>1071144.2</v>
      </c>
      <c r="C848" s="656"/>
      <c r="D848" s="656">
        <f>SUM(D847,D839)</f>
        <v>555583.06198248349</v>
      </c>
      <c r="E848" s="656">
        <f>SUM(E847,E839)</f>
        <v>1094363.97</v>
      </c>
      <c r="F848" s="656"/>
      <c r="G848" s="656">
        <f>SUM(G847,G839)</f>
        <v>799235.45017478219</v>
      </c>
      <c r="H848" s="656">
        <f>SUM(H847,H839)</f>
        <v>333664.95</v>
      </c>
      <c r="I848" s="656"/>
      <c r="J848" s="656">
        <f>SUM(J847,J839)</f>
        <v>417985.82769895217</v>
      </c>
      <c r="K848" s="656">
        <f>SUM(K847,K839)</f>
        <v>215145.5</v>
      </c>
      <c r="L848" s="656"/>
      <c r="M848" s="656">
        <f>SUM(M847,M839)</f>
        <v>378245.51063829783</v>
      </c>
      <c r="N848" s="656">
        <f>SUM(N847,N839)</f>
        <v>464110.66666666663</v>
      </c>
      <c r="O848" s="656"/>
      <c r="P848" s="656">
        <f>SUM(P847,P839)</f>
        <v>469557.60533333337</v>
      </c>
      <c r="Q848" s="656">
        <f>SUM(Q847,Q839)</f>
        <v>665.4</v>
      </c>
      <c r="R848" s="656"/>
      <c r="S848" s="656">
        <f>SUM(S847,S839)</f>
        <v>1756.6559999999999</v>
      </c>
      <c r="T848" s="656">
        <f>SUM(T847,T839)</f>
        <v>0</v>
      </c>
      <c r="U848" s="656"/>
      <c r="V848" s="656"/>
      <c r="W848" s="657">
        <f>SUM(W847,W839)</f>
        <v>3179094.6866666665</v>
      </c>
      <c r="X848" s="656">
        <f>SUM(X847,X839)</f>
        <v>2622364.1118278494</v>
      </c>
      <c r="Y848" s="66"/>
      <c r="Z848" s="66"/>
      <c r="AA848" s="66"/>
      <c r="AB848" s="66"/>
      <c r="AC848" s="66"/>
    </row>
    <row r="849" spans="1:29" x14ac:dyDescent="0.25">
      <c r="A849" s="658" t="s">
        <v>179</v>
      </c>
      <c r="B849" s="659"/>
      <c r="C849" s="659"/>
      <c r="D849" s="659"/>
      <c r="E849" s="659"/>
      <c r="F849" s="659"/>
      <c r="G849" s="659"/>
      <c r="H849" s="659"/>
      <c r="I849" s="659"/>
      <c r="J849" s="659"/>
      <c r="K849" s="659"/>
      <c r="L849" s="659"/>
      <c r="M849" s="659"/>
      <c r="N849" s="659"/>
      <c r="O849" s="659"/>
      <c r="P849" s="659"/>
      <c r="Q849" s="659"/>
      <c r="R849" s="659"/>
      <c r="S849" s="659"/>
      <c r="T849" s="659"/>
      <c r="U849" s="659"/>
      <c r="V849" s="659"/>
      <c r="W849" s="659"/>
      <c r="X849" s="659"/>
      <c r="Y849" s="66"/>
      <c r="Z849" s="66"/>
      <c r="AA849" s="66"/>
      <c r="AB849" s="66"/>
      <c r="AC849" s="66"/>
    </row>
    <row r="850" spans="1:29" x14ac:dyDescent="0.25">
      <c r="A850" s="592"/>
      <c r="B850" s="592"/>
      <c r="C850" s="592"/>
      <c r="D850" s="592"/>
      <c r="E850" s="592"/>
      <c r="F850" s="592"/>
      <c r="G850" s="660"/>
      <c r="H850" s="592"/>
      <c r="I850" s="661"/>
      <c r="J850" s="661"/>
      <c r="K850" s="592"/>
      <c r="L850" s="661"/>
      <c r="M850" s="592"/>
      <c r="N850" s="662"/>
      <c r="O850" s="592"/>
      <c r="P850" s="662"/>
      <c r="Q850" s="592"/>
      <c r="R850" s="592"/>
      <c r="S850" s="592"/>
      <c r="T850" s="592"/>
      <c r="U850" s="592"/>
      <c r="V850" s="592"/>
      <c r="W850" s="592"/>
      <c r="X850" s="592"/>
      <c r="Y850" s="66"/>
      <c r="Z850" s="66"/>
      <c r="AA850" s="66"/>
      <c r="AB850" s="66"/>
      <c r="AC850" s="66"/>
    </row>
    <row r="851" spans="1:29" ht="15.75" x14ac:dyDescent="0.25">
      <c r="A851" s="663" t="s">
        <v>180</v>
      </c>
      <c r="B851" s="592"/>
      <c r="C851" s="592"/>
      <c r="D851" s="515"/>
      <c r="E851" s="515"/>
      <c r="F851" s="515"/>
      <c r="G851" s="515"/>
      <c r="H851" s="592"/>
      <c r="I851" s="592"/>
      <c r="J851" s="592"/>
      <c r="K851" s="592"/>
      <c r="L851" s="592"/>
      <c r="M851" s="592" t="s">
        <v>34</v>
      </c>
      <c r="N851" s="592"/>
      <c r="O851" s="592"/>
      <c r="P851" s="592" t="s">
        <v>102</v>
      </c>
      <c r="Q851" s="592"/>
      <c r="R851" s="592"/>
      <c r="S851" s="592"/>
      <c r="T851" s="592"/>
      <c r="U851" s="592" t="s">
        <v>36</v>
      </c>
      <c r="V851" s="592"/>
      <c r="W851" s="592"/>
      <c r="X851" s="592"/>
      <c r="Y851" s="66"/>
      <c r="Z851" s="66"/>
      <c r="AA851" s="66"/>
      <c r="AB851" s="66"/>
      <c r="AC851" s="66"/>
    </row>
    <row r="852" spans="1:29" x14ac:dyDescent="0.25">
      <c r="A852" s="664" t="s">
        <v>2</v>
      </c>
      <c r="B852" s="665" t="s">
        <v>37</v>
      </c>
      <c r="C852" s="666"/>
      <c r="D852" s="667"/>
      <c r="E852" s="668" t="s">
        <v>38</v>
      </c>
      <c r="F852" s="669"/>
      <c r="G852" s="670"/>
      <c r="H852" s="668" t="s">
        <v>40</v>
      </c>
      <c r="I852" s="669"/>
      <c r="J852" s="670"/>
      <c r="K852" s="665" t="s">
        <v>39</v>
      </c>
      <c r="L852" s="666"/>
      <c r="M852" s="667"/>
      <c r="N852" s="665" t="s">
        <v>41</v>
      </c>
      <c r="O852" s="666"/>
      <c r="P852" s="667"/>
      <c r="Q852" s="665" t="s">
        <v>54</v>
      </c>
      <c r="R852" s="666"/>
      <c r="S852" s="667"/>
      <c r="T852" s="665" t="s">
        <v>43</v>
      </c>
      <c r="U852" s="666"/>
      <c r="V852" s="667"/>
      <c r="W852" s="665" t="s">
        <v>44</v>
      </c>
      <c r="X852" s="667"/>
      <c r="Y852" s="66"/>
      <c r="Z852" s="66"/>
      <c r="AA852" s="66"/>
      <c r="AB852" s="66"/>
      <c r="AC852" s="66"/>
    </row>
    <row r="853" spans="1:29" x14ac:dyDescent="0.25">
      <c r="A853" s="664" t="s">
        <v>131</v>
      </c>
      <c r="B853" s="603" t="s">
        <v>12</v>
      </c>
      <c r="C853" s="603" t="s">
        <v>13</v>
      </c>
      <c r="D853" s="603" t="s">
        <v>14</v>
      </c>
      <c r="E853" s="603" t="s">
        <v>12</v>
      </c>
      <c r="F853" s="603" t="s">
        <v>13</v>
      </c>
      <c r="G853" s="603" t="s">
        <v>14</v>
      </c>
      <c r="H853" s="603" t="s">
        <v>12</v>
      </c>
      <c r="I853" s="603" t="s">
        <v>13</v>
      </c>
      <c r="J853" s="603" t="s">
        <v>14</v>
      </c>
      <c r="K853" s="667" t="s">
        <v>12</v>
      </c>
      <c r="L853" s="603" t="s">
        <v>13</v>
      </c>
      <c r="M853" s="603" t="s">
        <v>14</v>
      </c>
      <c r="N853" s="613" t="s">
        <v>12</v>
      </c>
      <c r="O853" s="613" t="s">
        <v>13</v>
      </c>
      <c r="P853" s="613" t="s">
        <v>14</v>
      </c>
      <c r="Q853" s="613" t="s">
        <v>12</v>
      </c>
      <c r="R853" s="613" t="s">
        <v>13</v>
      </c>
      <c r="S853" s="613" t="s">
        <v>14</v>
      </c>
      <c r="T853" s="613" t="s">
        <v>12</v>
      </c>
      <c r="U853" s="613" t="s">
        <v>13</v>
      </c>
      <c r="V853" s="613" t="s">
        <v>14</v>
      </c>
      <c r="W853" s="613" t="s">
        <v>12</v>
      </c>
      <c r="X853" s="613" t="s">
        <v>14</v>
      </c>
      <c r="Y853" s="66"/>
      <c r="Z853" s="66"/>
      <c r="AA853" s="66"/>
      <c r="AB853" s="66"/>
      <c r="AC853" s="66"/>
    </row>
    <row r="854" spans="1:29" x14ac:dyDescent="0.25">
      <c r="A854" s="664" t="s">
        <v>15</v>
      </c>
      <c r="B854" s="671">
        <v>16925</v>
      </c>
      <c r="C854" s="672">
        <v>700</v>
      </c>
      <c r="D854" s="673">
        <v>11847.5</v>
      </c>
      <c r="E854" s="674">
        <v>7934</v>
      </c>
      <c r="F854" s="672">
        <v>414</v>
      </c>
      <c r="G854" s="673">
        <v>3284.6759999999999</v>
      </c>
      <c r="H854" s="613">
        <v>12781</v>
      </c>
      <c r="I854" s="613">
        <v>406</v>
      </c>
      <c r="J854" s="613">
        <v>5189.0860000000002</v>
      </c>
      <c r="K854" s="613">
        <v>324</v>
      </c>
      <c r="L854" s="613">
        <v>406</v>
      </c>
      <c r="M854" s="613">
        <v>131.54400000000001</v>
      </c>
      <c r="N854" s="613">
        <v>0</v>
      </c>
      <c r="O854" s="613"/>
      <c r="P854" s="613">
        <v>0</v>
      </c>
      <c r="Q854" s="613">
        <v>0</v>
      </c>
      <c r="R854" s="613"/>
      <c r="S854" s="613">
        <v>0</v>
      </c>
      <c r="T854" s="613"/>
      <c r="U854" s="613"/>
      <c r="V854" s="613"/>
      <c r="W854" s="613">
        <f>B854+E854+H854+K854+N854+Q854+T854</f>
        <v>37964</v>
      </c>
      <c r="X854" s="613">
        <f>D854+G854+J854+M854+P854+S854+V854</f>
        <v>20452.806</v>
      </c>
      <c r="Y854" s="66"/>
      <c r="Z854" s="66"/>
      <c r="AA854" s="66"/>
      <c r="AB854" s="66"/>
      <c r="AC854" s="66"/>
    </row>
    <row r="855" spans="1:29" x14ac:dyDescent="0.25">
      <c r="A855" s="664" t="s">
        <v>132</v>
      </c>
      <c r="B855" s="675">
        <v>0</v>
      </c>
      <c r="C855" s="675"/>
      <c r="D855" s="673">
        <v>0</v>
      </c>
      <c r="E855" s="675">
        <v>0</v>
      </c>
      <c r="F855" s="675"/>
      <c r="G855" s="673">
        <v>0</v>
      </c>
      <c r="H855" s="613">
        <v>212</v>
      </c>
      <c r="I855" s="613">
        <v>238</v>
      </c>
      <c r="J855" s="613">
        <v>50.456000000000003</v>
      </c>
      <c r="K855" s="613"/>
      <c r="L855" s="613"/>
      <c r="M855" s="613"/>
      <c r="N855" s="613">
        <v>0</v>
      </c>
      <c r="O855" s="613"/>
      <c r="P855" s="613"/>
      <c r="Q855" s="613">
        <v>0</v>
      </c>
      <c r="R855" s="613"/>
      <c r="S855" s="613"/>
      <c r="T855" s="613"/>
      <c r="U855" s="613"/>
      <c r="V855" s="613"/>
      <c r="W855" s="613">
        <f t="shared" ref="W855:W872" si="143">B855+E855+H855+K855+N855+Q855+T855</f>
        <v>212</v>
      </c>
      <c r="X855" s="613">
        <f t="shared" ref="X855:X872" si="144">D855+G855+J855+M855+P855+S855+V855</f>
        <v>50.456000000000003</v>
      </c>
      <c r="Y855" s="66"/>
      <c r="Z855" s="66"/>
      <c r="AA855" s="66"/>
      <c r="AB855" s="66"/>
      <c r="AC855" s="66"/>
    </row>
    <row r="856" spans="1:29" x14ac:dyDescent="0.25">
      <c r="A856" s="664" t="s">
        <v>103</v>
      </c>
      <c r="B856" s="675">
        <v>73376</v>
      </c>
      <c r="C856" s="675">
        <v>1304</v>
      </c>
      <c r="D856" s="673">
        <v>95682.304000000004</v>
      </c>
      <c r="E856" s="675">
        <v>15155</v>
      </c>
      <c r="F856" s="675">
        <v>494</v>
      </c>
      <c r="G856" s="673">
        <v>7486.57</v>
      </c>
      <c r="H856" s="613">
        <v>29554</v>
      </c>
      <c r="I856" s="613">
        <v>569</v>
      </c>
      <c r="J856" s="613">
        <v>16816.225999999999</v>
      </c>
      <c r="K856" s="613">
        <v>2272</v>
      </c>
      <c r="L856" s="613">
        <v>1160</v>
      </c>
      <c r="M856" s="613">
        <v>2635.52</v>
      </c>
      <c r="N856" s="613">
        <v>2792.5</v>
      </c>
      <c r="O856" s="613">
        <v>5500</v>
      </c>
      <c r="P856" s="613">
        <v>15358.75</v>
      </c>
      <c r="Q856" s="613">
        <v>1800</v>
      </c>
      <c r="R856" s="613">
        <v>7248</v>
      </c>
      <c r="S856" s="613">
        <v>13046.4</v>
      </c>
      <c r="T856" s="613"/>
      <c r="U856" s="613"/>
      <c r="V856" s="613"/>
      <c r="W856" s="613">
        <f t="shared" si="143"/>
        <v>124949.5</v>
      </c>
      <c r="X856" s="613">
        <f t="shared" si="144"/>
        <v>151025.76999999999</v>
      </c>
      <c r="Y856" s="66"/>
      <c r="Z856" s="66"/>
      <c r="AA856" s="66"/>
      <c r="AB856" s="66"/>
      <c r="AC856" s="66"/>
    </row>
    <row r="857" spans="1:29" x14ac:dyDescent="0.25">
      <c r="A857" s="664" t="s">
        <v>104</v>
      </c>
      <c r="B857" s="671">
        <v>33688</v>
      </c>
      <c r="C857" s="675">
        <v>900</v>
      </c>
      <c r="D857" s="673">
        <v>30319.200000000001</v>
      </c>
      <c r="E857" s="674">
        <v>21268</v>
      </c>
      <c r="F857" s="675">
        <v>478</v>
      </c>
      <c r="G857" s="673">
        <v>10166.103999999999</v>
      </c>
      <c r="H857" s="613">
        <v>7411</v>
      </c>
      <c r="I857" s="613">
        <v>482</v>
      </c>
      <c r="J857" s="613">
        <v>3572.1019999999999</v>
      </c>
      <c r="K857" s="613">
        <v>4295</v>
      </c>
      <c r="L857" s="613">
        <v>930</v>
      </c>
      <c r="M857" s="613">
        <v>3994.35</v>
      </c>
      <c r="N857" s="613">
        <v>409</v>
      </c>
      <c r="O857" s="613">
        <v>4200</v>
      </c>
      <c r="P857" s="613">
        <v>1717.8</v>
      </c>
      <c r="Q857" s="613">
        <v>1004</v>
      </c>
      <c r="R857" s="613">
        <v>8473</v>
      </c>
      <c r="S857" s="613">
        <v>8506.8919999999998</v>
      </c>
      <c r="T857" s="613"/>
      <c r="U857" s="613"/>
      <c r="V857" s="613"/>
      <c r="W857" s="613">
        <f t="shared" si="143"/>
        <v>68075</v>
      </c>
      <c r="X857" s="613">
        <f t="shared" si="144"/>
        <v>58276.448000000004</v>
      </c>
      <c r="Y857" s="66"/>
      <c r="Z857" s="66"/>
      <c r="AA857" s="66"/>
      <c r="AB857" s="66"/>
      <c r="AC857" s="66"/>
    </row>
    <row r="858" spans="1:29" x14ac:dyDescent="0.25">
      <c r="A858" s="664" t="s">
        <v>133</v>
      </c>
      <c r="B858" s="676">
        <v>33298</v>
      </c>
      <c r="C858" s="675">
        <v>1597.0666666666664</v>
      </c>
      <c r="D858" s="673">
        <v>53179.125866666662</v>
      </c>
      <c r="E858" s="676">
        <v>1636</v>
      </c>
      <c r="F858" s="675">
        <v>500</v>
      </c>
      <c r="G858" s="673">
        <v>818</v>
      </c>
      <c r="H858" s="613">
        <v>18534</v>
      </c>
      <c r="I858" s="613">
        <v>486</v>
      </c>
      <c r="J858" s="613">
        <v>9007.5239999999994</v>
      </c>
      <c r="K858" s="613"/>
      <c r="L858" s="613"/>
      <c r="M858" s="613">
        <v>0</v>
      </c>
      <c r="N858" s="613">
        <v>0</v>
      </c>
      <c r="O858" s="613"/>
      <c r="P858" s="613">
        <v>0</v>
      </c>
      <c r="Q858" s="613">
        <v>0</v>
      </c>
      <c r="R858" s="613"/>
      <c r="S858" s="613">
        <v>0</v>
      </c>
      <c r="T858" s="613"/>
      <c r="U858" s="613"/>
      <c r="V858" s="613"/>
      <c r="W858" s="613">
        <f t="shared" si="143"/>
        <v>53468</v>
      </c>
      <c r="X858" s="613">
        <f t="shared" si="144"/>
        <v>63004.649866666659</v>
      </c>
      <c r="Y858" s="66"/>
      <c r="Z858" s="66"/>
      <c r="AA858" s="66"/>
      <c r="AB858" s="66"/>
      <c r="AC858" s="66"/>
    </row>
    <row r="859" spans="1:29" x14ac:dyDescent="0.25">
      <c r="A859" s="664" t="s">
        <v>21</v>
      </c>
      <c r="B859" s="521">
        <v>0</v>
      </c>
      <c r="C859" s="521"/>
      <c r="D859" s="673">
        <v>0</v>
      </c>
      <c r="E859" s="521">
        <v>0</v>
      </c>
      <c r="F859" s="521"/>
      <c r="G859" s="673">
        <v>0</v>
      </c>
      <c r="H859" s="613">
        <v>49</v>
      </c>
      <c r="I859" s="613">
        <v>252</v>
      </c>
      <c r="J859" s="613">
        <v>12.348000000000001</v>
      </c>
      <c r="K859" s="613"/>
      <c r="L859" s="613"/>
      <c r="M859" s="613">
        <v>0</v>
      </c>
      <c r="N859" s="613">
        <v>0</v>
      </c>
      <c r="O859" s="613"/>
      <c r="P859" s="613">
        <v>0</v>
      </c>
      <c r="Q859" s="613">
        <v>0</v>
      </c>
      <c r="R859" s="613"/>
      <c r="S859" s="613">
        <v>0</v>
      </c>
      <c r="T859" s="613"/>
      <c r="U859" s="613"/>
      <c r="V859" s="613"/>
      <c r="W859" s="613">
        <f t="shared" si="143"/>
        <v>49</v>
      </c>
      <c r="X859" s="613">
        <f t="shared" si="144"/>
        <v>12.348000000000001</v>
      </c>
      <c r="Y859" s="66"/>
      <c r="Z859" s="66"/>
      <c r="AA859" s="66"/>
      <c r="AB859" s="66"/>
      <c r="AC859" s="66"/>
    </row>
    <row r="860" spans="1:29" x14ac:dyDescent="0.25">
      <c r="A860" s="664" t="s">
        <v>22</v>
      </c>
      <c r="B860" s="521">
        <v>0</v>
      </c>
      <c r="C860" s="521"/>
      <c r="D860" s="673">
        <v>0</v>
      </c>
      <c r="E860" s="521">
        <v>0</v>
      </c>
      <c r="F860" s="521"/>
      <c r="G860" s="673">
        <v>0</v>
      </c>
      <c r="H860" s="613">
        <v>124</v>
      </c>
      <c r="I860" s="613">
        <v>905</v>
      </c>
      <c r="J860" s="613">
        <v>112.22</v>
      </c>
      <c r="K860" s="613"/>
      <c r="L860" s="613"/>
      <c r="M860" s="613">
        <v>0</v>
      </c>
      <c r="N860" s="613">
        <v>96.86</v>
      </c>
      <c r="O860" s="613">
        <v>17400</v>
      </c>
      <c r="P860" s="613">
        <v>1685.364</v>
      </c>
      <c r="Q860" s="613">
        <v>4954</v>
      </c>
      <c r="R860" s="613">
        <v>16243</v>
      </c>
      <c r="S860" s="613">
        <v>80467.822</v>
      </c>
      <c r="T860" s="613"/>
      <c r="U860" s="613"/>
      <c r="V860" s="613"/>
      <c r="W860" s="613">
        <f t="shared" si="143"/>
        <v>5174.8599999999997</v>
      </c>
      <c r="X860" s="613">
        <f t="shared" si="144"/>
        <v>82265.406000000003</v>
      </c>
      <c r="Y860" s="66"/>
      <c r="Z860" s="66"/>
      <c r="AA860" s="66"/>
      <c r="AB860" s="66"/>
      <c r="AC860" s="66"/>
    </row>
    <row r="861" spans="1:29" x14ac:dyDescent="0.25">
      <c r="A861" s="664" t="s">
        <v>23</v>
      </c>
      <c r="B861" s="675">
        <v>250750</v>
      </c>
      <c r="C861" s="675">
        <v>909</v>
      </c>
      <c r="D861" s="673">
        <v>227931.75</v>
      </c>
      <c r="E861" s="675">
        <v>29125</v>
      </c>
      <c r="F861" s="675">
        <v>389</v>
      </c>
      <c r="G861" s="673">
        <v>11329.625</v>
      </c>
      <c r="H861" s="613">
        <v>10730</v>
      </c>
      <c r="I861" s="613">
        <v>464</v>
      </c>
      <c r="J861" s="613">
        <v>4978.72</v>
      </c>
      <c r="K861" s="613"/>
      <c r="L861" s="613"/>
      <c r="M861" s="613">
        <v>0</v>
      </c>
      <c r="N861" s="613">
        <v>0</v>
      </c>
      <c r="O861" s="613"/>
      <c r="P861" s="613">
        <v>0</v>
      </c>
      <c r="Q861" s="613">
        <v>0</v>
      </c>
      <c r="R861" s="613"/>
      <c r="S861" s="613">
        <v>0</v>
      </c>
      <c r="T861" s="613"/>
      <c r="U861" s="613"/>
      <c r="V861" s="613"/>
      <c r="W861" s="613">
        <f t="shared" si="143"/>
        <v>290605</v>
      </c>
      <c r="X861" s="613">
        <f t="shared" si="144"/>
        <v>244240.095</v>
      </c>
      <c r="Y861" s="66"/>
      <c r="Z861" s="66"/>
      <c r="AA861" s="66"/>
      <c r="AB861" s="66"/>
      <c r="AC861" s="66"/>
    </row>
    <row r="862" spans="1:29" x14ac:dyDescent="0.25">
      <c r="A862" s="664" t="s">
        <v>24</v>
      </c>
      <c r="B862" s="671">
        <v>10985</v>
      </c>
      <c r="C862" s="672">
        <v>850</v>
      </c>
      <c r="D862" s="673">
        <v>9337.25</v>
      </c>
      <c r="E862" s="674">
        <v>5338</v>
      </c>
      <c r="F862" s="672">
        <v>472</v>
      </c>
      <c r="G862" s="673">
        <v>2519.5360000000001</v>
      </c>
      <c r="H862" s="613">
        <v>6077</v>
      </c>
      <c r="I862" s="613">
        <v>866</v>
      </c>
      <c r="J862" s="613">
        <v>5262.6819999999998</v>
      </c>
      <c r="K862" s="613">
        <v>557</v>
      </c>
      <c r="L862" s="613">
        <v>980</v>
      </c>
      <c r="M862" s="613">
        <v>545.86</v>
      </c>
      <c r="N862" s="613">
        <v>3726</v>
      </c>
      <c r="O862" s="613">
        <v>9820</v>
      </c>
      <c r="P862" s="613">
        <v>36589.32</v>
      </c>
      <c r="Q862" s="613">
        <v>3264</v>
      </c>
      <c r="R862" s="613">
        <v>9936</v>
      </c>
      <c r="S862" s="613">
        <v>32431.103999999999</v>
      </c>
      <c r="T862" s="613"/>
      <c r="U862" s="613"/>
      <c r="V862" s="613"/>
      <c r="W862" s="613">
        <f t="shared" si="143"/>
        <v>29947</v>
      </c>
      <c r="X862" s="613">
        <f t="shared" si="144"/>
        <v>86685.752000000008</v>
      </c>
      <c r="Y862" s="66"/>
      <c r="Z862" s="66"/>
      <c r="AA862" s="66"/>
      <c r="AB862" s="66"/>
      <c r="AC862" s="66"/>
    </row>
    <row r="863" spans="1:29" x14ac:dyDescent="0.25">
      <c r="A863" s="664" t="s">
        <v>134</v>
      </c>
      <c r="B863" s="675">
        <v>135678</v>
      </c>
      <c r="C863" s="675">
        <v>1020.2736842105263</v>
      </c>
      <c r="D863" s="673">
        <v>138428.69292631579</v>
      </c>
      <c r="E863" s="675">
        <v>33531</v>
      </c>
      <c r="F863" s="675">
        <v>517</v>
      </c>
      <c r="G863" s="673">
        <v>17335.526999999998</v>
      </c>
      <c r="H863" s="613">
        <v>12723</v>
      </c>
      <c r="I863" s="613">
        <v>660</v>
      </c>
      <c r="J863" s="613">
        <v>8397.18</v>
      </c>
      <c r="K863" s="613"/>
      <c r="L863" s="613"/>
      <c r="M863" s="613">
        <v>0</v>
      </c>
      <c r="N863" s="613">
        <v>0</v>
      </c>
      <c r="O863" s="613"/>
      <c r="P863" s="613">
        <v>0</v>
      </c>
      <c r="Q863" s="613">
        <v>0</v>
      </c>
      <c r="R863" s="613"/>
      <c r="S863" s="613">
        <v>0</v>
      </c>
      <c r="T863" s="613"/>
      <c r="U863" s="613"/>
      <c r="V863" s="613"/>
      <c r="W863" s="613">
        <f t="shared" si="143"/>
        <v>181932</v>
      </c>
      <c r="X863" s="613">
        <f t="shared" si="144"/>
        <v>164161.39992631579</v>
      </c>
      <c r="Y863" s="66"/>
      <c r="Z863" s="66"/>
      <c r="AA863" s="66"/>
      <c r="AB863" s="66"/>
      <c r="AC863" s="66"/>
    </row>
    <row r="864" spans="1:29" x14ac:dyDescent="0.25">
      <c r="A864" s="664" t="s">
        <v>161</v>
      </c>
      <c r="B864" s="675">
        <v>21398</v>
      </c>
      <c r="C864" s="675">
        <v>600</v>
      </c>
      <c r="D864" s="673">
        <v>12838.8</v>
      </c>
      <c r="E864" s="675">
        <v>668</v>
      </c>
      <c r="F864" s="675">
        <v>234</v>
      </c>
      <c r="G864" s="673">
        <v>156.31200000000001</v>
      </c>
      <c r="H864" s="613">
        <v>3241</v>
      </c>
      <c r="I864" s="613">
        <v>366</v>
      </c>
      <c r="J864" s="613">
        <v>1186.2059999999999</v>
      </c>
      <c r="K864" s="613"/>
      <c r="L864" s="613"/>
      <c r="M864" s="613">
        <v>0</v>
      </c>
      <c r="N864" s="613">
        <v>0</v>
      </c>
      <c r="O864" s="613"/>
      <c r="P864" s="613">
        <v>0</v>
      </c>
      <c r="Q864" s="613">
        <v>0</v>
      </c>
      <c r="R864" s="613"/>
      <c r="S864" s="613">
        <v>0</v>
      </c>
      <c r="T864" s="613"/>
      <c r="U864" s="613"/>
      <c r="V864" s="613"/>
      <c r="W864" s="613">
        <f t="shared" si="143"/>
        <v>25307</v>
      </c>
      <c r="X864" s="613">
        <f t="shared" si="144"/>
        <v>14181.317999999999</v>
      </c>
      <c r="Y864" s="66"/>
      <c r="Z864" s="66"/>
      <c r="AA864" s="66"/>
      <c r="AB864" s="66"/>
      <c r="AC864" s="66"/>
    </row>
    <row r="865" spans="1:29" x14ac:dyDescent="0.25">
      <c r="A865" s="677" t="s">
        <v>128</v>
      </c>
      <c r="B865" s="678">
        <f>SUM(B854:B864)</f>
        <v>576098</v>
      </c>
      <c r="C865" s="678"/>
      <c r="D865" s="678">
        <f>SUM(D854:D864)</f>
        <v>579564.6227929825</v>
      </c>
      <c r="E865" s="678">
        <f>SUM(E854:E864)</f>
        <v>114655</v>
      </c>
      <c r="F865" s="678"/>
      <c r="G865" s="678">
        <f t="shared" ref="G865:H865" si="145">SUM(G854:G864)</f>
        <v>53096.35</v>
      </c>
      <c r="H865" s="613">
        <f t="shared" si="145"/>
        <v>101436</v>
      </c>
      <c r="I865" s="613"/>
      <c r="J865" s="613">
        <f t="shared" ref="J865:K865" si="146">SUM(J854:J864)</f>
        <v>54584.75</v>
      </c>
      <c r="K865" s="613">
        <f t="shared" si="146"/>
        <v>7448</v>
      </c>
      <c r="L865" s="613"/>
      <c r="M865" s="613">
        <f t="shared" ref="M865:N865" si="147">SUM(M854:M864)</f>
        <v>7307.2739999999994</v>
      </c>
      <c r="N865" s="613">
        <f t="shared" si="147"/>
        <v>7024.3600000000006</v>
      </c>
      <c r="O865" s="613"/>
      <c r="P865" s="613">
        <f t="shared" ref="P865:Q865" si="148">SUM(P854:P864)</f>
        <v>55351.233999999997</v>
      </c>
      <c r="Q865" s="613">
        <f t="shared" si="148"/>
        <v>11022</v>
      </c>
      <c r="R865" s="613"/>
      <c r="S865" s="613">
        <f>SUM(S854:S864)</f>
        <v>134452.21799999999</v>
      </c>
      <c r="T865" s="613">
        <v>0</v>
      </c>
      <c r="U865" s="613"/>
      <c r="V865" s="613"/>
      <c r="W865" s="613">
        <f t="shared" ref="W865:X865" si="149">SUM(W854:W864)</f>
        <v>817683.36</v>
      </c>
      <c r="X865" s="613">
        <f t="shared" si="149"/>
        <v>884356.44879298238</v>
      </c>
      <c r="Y865" s="66"/>
      <c r="Z865" s="66"/>
      <c r="AA865" s="66"/>
      <c r="AB865" s="66"/>
      <c r="AC865" s="66"/>
    </row>
    <row r="866" spans="1:29" x14ac:dyDescent="0.25">
      <c r="A866" s="664" t="s">
        <v>135</v>
      </c>
      <c r="B866" s="679">
        <v>52074.34</v>
      </c>
      <c r="C866" s="679">
        <v>984</v>
      </c>
      <c r="D866" s="673">
        <v>51241.150559999995</v>
      </c>
      <c r="E866" s="679">
        <v>18546</v>
      </c>
      <c r="F866" s="679">
        <v>764</v>
      </c>
      <c r="G866" s="673">
        <v>14169.144</v>
      </c>
      <c r="H866" s="613">
        <v>26822</v>
      </c>
      <c r="I866" s="613">
        <v>647.66000000000008</v>
      </c>
      <c r="J866" s="613">
        <v>17371.536520000001</v>
      </c>
      <c r="K866" s="613">
        <v>6033</v>
      </c>
      <c r="L866" s="613">
        <v>884.7</v>
      </c>
      <c r="M866" s="613">
        <v>5337.3951000000006</v>
      </c>
      <c r="N866" s="613">
        <v>4913</v>
      </c>
      <c r="O866" s="613">
        <v>6800</v>
      </c>
      <c r="P866" s="613">
        <v>33408.400000000001</v>
      </c>
      <c r="Q866" s="613">
        <v>2100</v>
      </c>
      <c r="R866" s="613">
        <v>6500</v>
      </c>
      <c r="S866" s="613">
        <v>13650</v>
      </c>
      <c r="T866" s="613">
        <v>1779</v>
      </c>
      <c r="U866" s="613">
        <v>3600</v>
      </c>
      <c r="V866" s="613">
        <v>6404.4</v>
      </c>
      <c r="W866" s="613">
        <f t="shared" si="143"/>
        <v>112267.34</v>
      </c>
      <c r="X866" s="613">
        <f t="shared" si="144"/>
        <v>141582.02617999999</v>
      </c>
      <c r="Y866" s="66"/>
      <c r="Z866" s="66"/>
      <c r="AA866" s="66"/>
      <c r="AB866" s="66"/>
      <c r="AC866" s="66"/>
    </row>
    <row r="867" spans="1:29" x14ac:dyDescent="0.25">
      <c r="A867" s="664" t="s">
        <v>136</v>
      </c>
      <c r="B867" s="679">
        <v>40916</v>
      </c>
      <c r="C867" s="675">
        <v>1087.2533333333333</v>
      </c>
      <c r="D867" s="673">
        <v>44486.05738666666</v>
      </c>
      <c r="E867" s="679">
        <v>13146</v>
      </c>
      <c r="F867" s="675">
        <v>522</v>
      </c>
      <c r="G867" s="673">
        <v>6862.2120000000004</v>
      </c>
      <c r="H867" s="613">
        <v>20160</v>
      </c>
      <c r="I867" s="613">
        <v>576</v>
      </c>
      <c r="J867" s="613">
        <v>11612.16</v>
      </c>
      <c r="K867" s="613">
        <v>10855</v>
      </c>
      <c r="L867" s="613">
        <v>829</v>
      </c>
      <c r="M867" s="613">
        <v>8998.7950000000001</v>
      </c>
      <c r="N867" s="613">
        <v>3915</v>
      </c>
      <c r="O867" s="613">
        <v>4500</v>
      </c>
      <c r="P867" s="613">
        <v>17617.5</v>
      </c>
      <c r="Q867" s="613">
        <v>1647</v>
      </c>
      <c r="R867" s="613">
        <v>5830</v>
      </c>
      <c r="S867" s="613">
        <v>9602.01</v>
      </c>
      <c r="T867" s="613">
        <v>1090</v>
      </c>
      <c r="U867" s="613">
        <v>3480</v>
      </c>
      <c r="V867" s="613">
        <v>3793.2</v>
      </c>
      <c r="W867" s="613">
        <f t="shared" si="143"/>
        <v>91729</v>
      </c>
      <c r="X867" s="613">
        <f t="shared" si="144"/>
        <v>102971.93438666665</v>
      </c>
      <c r="Y867" s="66"/>
      <c r="Z867" s="66"/>
      <c r="AA867" s="66"/>
      <c r="AB867" s="66"/>
      <c r="AC867" s="66"/>
    </row>
    <row r="868" spans="1:29" x14ac:dyDescent="0.25">
      <c r="A868" s="664" t="s">
        <v>137</v>
      </c>
      <c r="B868" s="679">
        <v>29111</v>
      </c>
      <c r="C868" s="675">
        <v>1429.76</v>
      </c>
      <c r="D868" s="673">
        <v>41621.74336</v>
      </c>
      <c r="E868" s="679">
        <v>10480</v>
      </c>
      <c r="F868" s="675">
        <v>458</v>
      </c>
      <c r="G868" s="673">
        <v>4799.84</v>
      </c>
      <c r="H868" s="613">
        <v>8922</v>
      </c>
      <c r="I868" s="613">
        <v>483</v>
      </c>
      <c r="J868" s="613">
        <v>4309.326</v>
      </c>
      <c r="K868" s="613">
        <v>2279</v>
      </c>
      <c r="L868" s="613">
        <v>921</v>
      </c>
      <c r="M868" s="613">
        <v>2098.9589999999998</v>
      </c>
      <c r="N868" s="613">
        <v>2488</v>
      </c>
      <c r="O868" s="613">
        <v>3581</v>
      </c>
      <c r="P868" s="613">
        <v>8909.5280000000002</v>
      </c>
      <c r="Q868" s="613">
        <v>1600</v>
      </c>
      <c r="R868" s="613">
        <v>3240</v>
      </c>
      <c r="S868" s="613">
        <v>5184</v>
      </c>
      <c r="T868" s="613">
        <v>1621</v>
      </c>
      <c r="U868" s="613">
        <v>895</v>
      </c>
      <c r="V868" s="613">
        <v>1450.7950000000001</v>
      </c>
      <c r="W868" s="613">
        <f t="shared" si="143"/>
        <v>56501</v>
      </c>
      <c r="X868" s="613">
        <f t="shared" si="144"/>
        <v>68374.191360000012</v>
      </c>
      <c r="Y868" s="66"/>
      <c r="Z868" s="66"/>
      <c r="AA868" s="66"/>
      <c r="AB868" s="66"/>
      <c r="AC868" s="66"/>
    </row>
    <row r="869" spans="1:29" x14ac:dyDescent="0.25">
      <c r="A869" s="664" t="s">
        <v>73</v>
      </c>
      <c r="B869" s="679">
        <v>34241</v>
      </c>
      <c r="C869" s="675">
        <v>1557.6</v>
      </c>
      <c r="D869" s="673">
        <v>53333.781599999995</v>
      </c>
      <c r="E869" s="679">
        <v>5709</v>
      </c>
      <c r="F869" s="675">
        <v>581.07142857142856</v>
      </c>
      <c r="G869" s="673">
        <v>3317.3367857142853</v>
      </c>
      <c r="H869" s="613">
        <v>12384</v>
      </c>
      <c r="I869" s="613">
        <v>879.22926829268306</v>
      </c>
      <c r="J869" s="613">
        <v>10888.375258536587</v>
      </c>
      <c r="K869" s="613">
        <v>2629</v>
      </c>
      <c r="L869" s="613">
        <v>1306</v>
      </c>
      <c r="M869" s="613">
        <v>3433.4740000000002</v>
      </c>
      <c r="N869" s="613">
        <v>4186</v>
      </c>
      <c r="O869" s="613">
        <v>6578</v>
      </c>
      <c r="P869" s="613">
        <v>27535.508000000002</v>
      </c>
      <c r="Q869" s="613">
        <v>2300</v>
      </c>
      <c r="R869" s="613">
        <v>7000</v>
      </c>
      <c r="S869" s="613">
        <v>16100</v>
      </c>
      <c r="T869" s="613">
        <v>1286</v>
      </c>
      <c r="U869" s="613">
        <v>3600</v>
      </c>
      <c r="V869" s="613">
        <v>4629.6000000000004</v>
      </c>
      <c r="W869" s="613">
        <f t="shared" si="143"/>
        <v>62735</v>
      </c>
      <c r="X869" s="613">
        <f t="shared" si="144"/>
        <v>119238.07564425089</v>
      </c>
      <c r="Y869" s="66"/>
      <c r="Z869" s="66"/>
      <c r="AA869" s="66"/>
      <c r="AB869" s="66"/>
      <c r="AC869" s="66"/>
    </row>
    <row r="870" spans="1:29" x14ac:dyDescent="0.25">
      <c r="A870" s="664" t="s">
        <v>162</v>
      </c>
      <c r="B870" s="679">
        <v>76104</v>
      </c>
      <c r="C870" s="675">
        <v>1005</v>
      </c>
      <c r="D870" s="673">
        <v>76484.52</v>
      </c>
      <c r="E870" s="679">
        <v>32649</v>
      </c>
      <c r="F870" s="675">
        <v>600</v>
      </c>
      <c r="G870" s="673">
        <v>19589.400000000001</v>
      </c>
      <c r="H870" s="613">
        <v>11831</v>
      </c>
      <c r="I870" s="613">
        <v>474</v>
      </c>
      <c r="J870" s="613">
        <v>5607.8940000000002</v>
      </c>
      <c r="K870" s="613"/>
      <c r="L870" s="613"/>
      <c r="M870" s="613">
        <v>0</v>
      </c>
      <c r="N870" s="613">
        <v>3662</v>
      </c>
      <c r="O870" s="613">
        <v>7781.5905776646923</v>
      </c>
      <c r="P870" s="613">
        <v>28496.184695408101</v>
      </c>
      <c r="Q870" s="613">
        <v>14114</v>
      </c>
      <c r="R870" s="613">
        <v>5650</v>
      </c>
      <c r="S870" s="613">
        <v>79744.100000000006</v>
      </c>
      <c r="T870" s="613">
        <v>133.5</v>
      </c>
      <c r="U870" s="613">
        <v>2400</v>
      </c>
      <c r="V870" s="613">
        <v>320.39999999999998</v>
      </c>
      <c r="W870" s="613">
        <f t="shared" si="143"/>
        <v>138493.5</v>
      </c>
      <c r="X870" s="613">
        <f t="shared" si="144"/>
        <v>210242.49869540811</v>
      </c>
      <c r="Y870" s="66"/>
      <c r="Z870" s="66"/>
      <c r="AA870" s="66"/>
      <c r="AB870" s="66"/>
      <c r="AC870" s="66"/>
    </row>
    <row r="871" spans="1:29" x14ac:dyDescent="0.25">
      <c r="A871" s="664" t="s">
        <v>163</v>
      </c>
      <c r="B871" s="680">
        <v>51011</v>
      </c>
      <c r="C871" s="681">
        <v>1647.57142857143</v>
      </c>
      <c r="D871" s="673">
        <v>84044.266142857217</v>
      </c>
      <c r="E871" s="680">
        <v>28363</v>
      </c>
      <c r="F871" s="681">
        <v>684</v>
      </c>
      <c r="G871" s="673">
        <v>19400.292000000001</v>
      </c>
      <c r="H871" s="613">
        <v>18556.5</v>
      </c>
      <c r="I871" s="613">
        <v>680</v>
      </c>
      <c r="J871" s="613">
        <v>12618.42</v>
      </c>
      <c r="K871" s="613"/>
      <c r="L871" s="613"/>
      <c r="M871" s="613">
        <v>0</v>
      </c>
      <c r="N871" s="613">
        <v>5339</v>
      </c>
      <c r="O871" s="613">
        <v>7152.2480102985737</v>
      </c>
      <c r="P871" s="613">
        <v>38185.852126984086</v>
      </c>
      <c r="Q871" s="613">
        <v>6607.5</v>
      </c>
      <c r="R871" s="613">
        <v>3923.3333333333335</v>
      </c>
      <c r="S871" s="613">
        <v>25923.424999999999</v>
      </c>
      <c r="T871" s="613">
        <v>1401</v>
      </c>
      <c r="U871" s="613">
        <v>2300</v>
      </c>
      <c r="V871" s="613">
        <v>3222.3</v>
      </c>
      <c r="W871" s="613">
        <f t="shared" si="143"/>
        <v>111278</v>
      </c>
      <c r="X871" s="613">
        <f t="shared" si="144"/>
        <v>183394.55526984128</v>
      </c>
      <c r="Y871" s="66"/>
      <c r="Z871" s="66"/>
      <c r="AA871" s="66"/>
      <c r="AB871" s="66"/>
      <c r="AC871" s="66"/>
    </row>
    <row r="872" spans="1:29" x14ac:dyDescent="0.25">
      <c r="A872" s="664" t="s">
        <v>27</v>
      </c>
      <c r="B872" s="679">
        <v>31484</v>
      </c>
      <c r="C872" s="681">
        <v>1092.1600000000001</v>
      </c>
      <c r="D872" s="673">
        <v>34385.565440000006</v>
      </c>
      <c r="E872" s="679">
        <v>6925</v>
      </c>
      <c r="F872" s="681">
        <v>671</v>
      </c>
      <c r="G872" s="673">
        <v>4646.6750000000002</v>
      </c>
      <c r="H872" s="613">
        <v>7471</v>
      </c>
      <c r="I872" s="613">
        <v>553</v>
      </c>
      <c r="J872" s="613">
        <v>4131.4629999999997</v>
      </c>
      <c r="K872" s="613">
        <v>1620</v>
      </c>
      <c r="L872" s="613">
        <v>501</v>
      </c>
      <c r="M872" s="613">
        <v>811.62</v>
      </c>
      <c r="N872" s="613">
        <v>2419</v>
      </c>
      <c r="O872" s="613">
        <v>5983.630600887439</v>
      </c>
      <c r="P872" s="613">
        <v>14474.402423546715</v>
      </c>
      <c r="Q872" s="613">
        <v>942</v>
      </c>
      <c r="R872" s="613">
        <v>5815.2</v>
      </c>
      <c r="S872" s="613">
        <v>5477.9183999999996</v>
      </c>
      <c r="T872" s="613">
        <v>1697</v>
      </c>
      <c r="U872" s="613">
        <v>2200</v>
      </c>
      <c r="V872" s="613">
        <v>3733.4</v>
      </c>
      <c r="W872" s="613">
        <f t="shared" si="143"/>
        <v>52558</v>
      </c>
      <c r="X872" s="613">
        <f t="shared" si="144"/>
        <v>67661.044263546733</v>
      </c>
      <c r="Y872" s="66"/>
      <c r="Z872" s="66"/>
      <c r="AA872" s="66"/>
      <c r="AB872" s="66"/>
      <c r="AC872" s="66"/>
    </row>
    <row r="873" spans="1:29" x14ac:dyDescent="0.25">
      <c r="A873" s="682" t="s">
        <v>167</v>
      </c>
      <c r="B873" s="678">
        <f>SUM(B866:B872)</f>
        <v>314941.33999999997</v>
      </c>
      <c r="C873" s="683"/>
      <c r="D873" s="678">
        <f>SUM(D866:D872)</f>
        <v>385597.0844895239</v>
      </c>
      <c r="E873" s="678">
        <f>SUM(E866:E872)</f>
        <v>115818</v>
      </c>
      <c r="F873" s="683"/>
      <c r="G873" s="678">
        <f>SUM(G866:G872)</f>
        <v>72784.899785714297</v>
      </c>
      <c r="H873" s="613">
        <f>SUM(H866:H872)</f>
        <v>106146.5</v>
      </c>
      <c r="I873" s="613"/>
      <c r="J873" s="613">
        <f>SUM(J866:J872)</f>
        <v>66539.174778536588</v>
      </c>
      <c r="K873" s="613">
        <f>SUM(K866:K872)</f>
        <v>23416</v>
      </c>
      <c r="L873" s="613"/>
      <c r="M873" s="613">
        <f>SUM(M866:M872)</f>
        <v>20680.243099999996</v>
      </c>
      <c r="N873" s="613">
        <f>SUM(N866:N872)</f>
        <v>26922</v>
      </c>
      <c r="O873" s="613"/>
      <c r="P873" s="613">
        <f>SUM(P866:P872)</f>
        <v>168627.37524593889</v>
      </c>
      <c r="Q873" s="613">
        <f>SUM(Q866:Q872)</f>
        <v>29310.5</v>
      </c>
      <c r="R873" s="613"/>
      <c r="S873" s="613">
        <f>SUM(S866:S872)</f>
        <v>155681.4534</v>
      </c>
      <c r="T873" s="613">
        <f>SUM(T866:T872)</f>
        <v>9007.5</v>
      </c>
      <c r="U873" s="613"/>
      <c r="V873" s="613">
        <f t="shared" ref="V873:X873" si="150">SUM(V866:V872)</f>
        <v>23554.095000000001</v>
      </c>
      <c r="W873" s="613">
        <f t="shared" si="150"/>
        <v>625561.84</v>
      </c>
      <c r="X873" s="613">
        <f t="shared" si="150"/>
        <v>893464.32579971373</v>
      </c>
      <c r="Y873" s="66"/>
      <c r="Z873" s="66"/>
      <c r="AA873" s="66"/>
      <c r="AB873" s="66"/>
      <c r="AC873" s="66"/>
    </row>
    <row r="874" spans="1:29" x14ac:dyDescent="0.25">
      <c r="A874" s="682" t="s">
        <v>32</v>
      </c>
      <c r="B874" s="684">
        <f>SUM(B873,B865)</f>
        <v>891039.34</v>
      </c>
      <c r="C874" s="684"/>
      <c r="D874" s="684">
        <f t="shared" ref="D874:E874" si="151">SUM(D873,D865)</f>
        <v>965161.7072825064</v>
      </c>
      <c r="E874" s="684">
        <f t="shared" si="151"/>
        <v>230473</v>
      </c>
      <c r="F874" s="684">
        <v>0</v>
      </c>
      <c r="G874" s="684">
        <f t="shared" ref="G874:H874" si="152">SUM(G873,G865)</f>
        <v>125881.24978571429</v>
      </c>
      <c r="H874" s="613">
        <f t="shared" si="152"/>
        <v>207582.5</v>
      </c>
      <c r="I874" s="613">
        <v>0</v>
      </c>
      <c r="J874" s="613">
        <f t="shared" ref="J874:K874" si="153">SUM(J873,J865)</f>
        <v>121123.92477853659</v>
      </c>
      <c r="K874" s="613">
        <f t="shared" si="153"/>
        <v>30864</v>
      </c>
      <c r="L874" s="613"/>
      <c r="M874" s="613">
        <f t="shared" ref="M874:N874" si="154">SUM(M873,M865)</f>
        <v>27987.517099999997</v>
      </c>
      <c r="N874" s="613">
        <f t="shared" si="154"/>
        <v>33946.36</v>
      </c>
      <c r="O874" s="613"/>
      <c r="P874" s="613">
        <f t="shared" ref="P874:Q874" si="155">SUM(P873,P865)</f>
        <v>223978.60924593889</v>
      </c>
      <c r="Q874" s="613">
        <f t="shared" si="155"/>
        <v>40332.5</v>
      </c>
      <c r="R874" s="613">
        <v>0</v>
      </c>
      <c r="S874" s="613">
        <f t="shared" ref="S874:T874" si="156">SUM(S873,S865)</f>
        <v>290133.67139999999</v>
      </c>
      <c r="T874" s="613">
        <f t="shared" si="156"/>
        <v>9007.5</v>
      </c>
      <c r="U874" s="613"/>
      <c r="V874" s="613">
        <f t="shared" ref="V874:X874" si="157">SUM(V873,V865)</f>
        <v>23554.095000000001</v>
      </c>
      <c r="W874" s="613">
        <f t="shared" si="157"/>
        <v>1443245.2</v>
      </c>
      <c r="X874" s="613">
        <f t="shared" si="157"/>
        <v>1777820.7745926962</v>
      </c>
      <c r="Y874" s="66"/>
      <c r="Z874" s="66"/>
      <c r="AA874" s="66"/>
      <c r="AB874" s="66"/>
      <c r="AC874" s="66"/>
    </row>
    <row r="875" spans="1:29" x14ac:dyDescent="0.25">
      <c r="A875" s="658" t="s">
        <v>179</v>
      </c>
      <c r="B875" s="396"/>
      <c r="C875" s="396"/>
      <c r="D875" s="396"/>
      <c r="E875" s="396"/>
      <c r="F875" s="396"/>
      <c r="G875" s="396"/>
      <c r="H875" s="396"/>
      <c r="I875" s="396"/>
      <c r="J875" s="396"/>
      <c r="K875" s="396"/>
      <c r="L875" s="396"/>
      <c r="M875" s="396"/>
      <c r="N875" s="396"/>
      <c r="O875" s="396"/>
      <c r="P875" s="396"/>
      <c r="Q875" s="396"/>
      <c r="R875" s="396"/>
      <c r="S875" s="396"/>
      <c r="T875" s="396"/>
      <c r="U875" s="396"/>
      <c r="V875" s="396"/>
      <c r="W875" s="396"/>
      <c r="X875" s="396"/>
      <c r="Y875" s="66"/>
      <c r="Z875" s="66"/>
      <c r="AA875" s="66"/>
      <c r="AB875" s="66"/>
      <c r="AC875" s="66"/>
    </row>
    <row r="876" spans="1:29" x14ac:dyDescent="0.25">
      <c r="Y876" s="66"/>
      <c r="Z876" s="66"/>
      <c r="AA876" s="66"/>
      <c r="AB876" s="66"/>
      <c r="AC876" s="66"/>
    </row>
    <row r="877" spans="1:29" x14ac:dyDescent="0.25">
      <c r="Y877" s="66"/>
      <c r="Z877" s="66"/>
      <c r="AA877" s="66"/>
      <c r="AB877" s="66"/>
      <c r="AC877" s="66"/>
    </row>
    <row r="878" spans="1:29" ht="15.75" thickBot="1" x14ac:dyDescent="0.3">
      <c r="A878" s="450" t="s">
        <v>82</v>
      </c>
      <c r="B878" s="685"/>
      <c r="C878" s="685"/>
      <c r="D878" s="450" t="s">
        <v>181</v>
      </c>
      <c r="E878" s="686" t="s">
        <v>182</v>
      </c>
      <c r="F878" s="685"/>
      <c r="G878" s="685"/>
      <c r="H878" s="685"/>
      <c r="I878" s="685"/>
      <c r="J878" s="685"/>
      <c r="K878" s="685"/>
      <c r="L878" s="685"/>
      <c r="M878" s="685"/>
      <c r="N878" s="685"/>
      <c r="O878" s="685"/>
      <c r="P878" s="685"/>
      <c r="Q878" s="685"/>
      <c r="R878" s="685"/>
      <c r="S878" s="685"/>
      <c r="T878" s="685"/>
      <c r="U878" s="685"/>
      <c r="V878" s="450"/>
    </row>
    <row r="879" spans="1:29" ht="15.75" thickTop="1" x14ac:dyDescent="0.25">
      <c r="A879" s="687" t="s">
        <v>2</v>
      </c>
      <c r="B879" s="981" t="s">
        <v>3</v>
      </c>
      <c r="C879" s="981"/>
      <c r="D879" s="981"/>
      <c r="E879" s="981" t="s">
        <v>183</v>
      </c>
      <c r="F879" s="981"/>
      <c r="G879" s="981"/>
      <c r="H879" s="981" t="s">
        <v>184</v>
      </c>
      <c r="I879" s="981"/>
      <c r="J879" s="981"/>
      <c r="K879" s="981" t="s">
        <v>6</v>
      </c>
      <c r="L879" s="981"/>
      <c r="M879" s="981"/>
      <c r="N879" s="981" t="s">
        <v>185</v>
      </c>
      <c r="O879" s="981"/>
      <c r="P879" s="981"/>
      <c r="Q879" s="982" t="s">
        <v>8</v>
      </c>
      <c r="R879" s="982"/>
      <c r="S879" s="982"/>
      <c r="T879" s="978" t="s">
        <v>186</v>
      </c>
      <c r="U879" s="979"/>
      <c r="V879" s="450"/>
    </row>
    <row r="880" spans="1:29" x14ac:dyDescent="0.25">
      <c r="A880" s="688" t="s">
        <v>131</v>
      </c>
      <c r="B880" s="689" t="s">
        <v>170</v>
      </c>
      <c r="C880" s="689" t="s">
        <v>171</v>
      </c>
      <c r="D880" s="689" t="s">
        <v>172</v>
      </c>
      <c r="E880" s="689" t="s">
        <v>170</v>
      </c>
      <c r="F880" s="689" t="s">
        <v>171</v>
      </c>
      <c r="G880" s="689" t="s">
        <v>172</v>
      </c>
      <c r="H880" s="689" t="s">
        <v>170</v>
      </c>
      <c r="I880" s="689" t="s">
        <v>171</v>
      </c>
      <c r="J880" s="689" t="s">
        <v>172</v>
      </c>
      <c r="K880" s="689" t="s">
        <v>170</v>
      </c>
      <c r="L880" s="689" t="s">
        <v>171</v>
      </c>
      <c r="M880" s="689" t="s">
        <v>172</v>
      </c>
      <c r="N880" s="689" t="s">
        <v>12</v>
      </c>
      <c r="O880" s="689" t="s">
        <v>13</v>
      </c>
      <c r="P880" s="689" t="s">
        <v>14</v>
      </c>
      <c r="Q880" s="689" t="s">
        <v>12</v>
      </c>
      <c r="R880" s="689" t="s">
        <v>13</v>
      </c>
      <c r="S880" s="689" t="s">
        <v>14</v>
      </c>
      <c r="T880" s="689" t="s">
        <v>12</v>
      </c>
      <c r="U880" s="689" t="s">
        <v>14</v>
      </c>
      <c r="V880" s="450"/>
    </row>
    <row r="881" spans="1:22" x14ac:dyDescent="0.25">
      <c r="A881" s="690" t="s">
        <v>15</v>
      </c>
      <c r="B881" s="691">
        <v>156659</v>
      </c>
      <c r="C881" s="642">
        <v>512</v>
      </c>
      <c r="D881" s="691">
        <f>B881*C881/1000</f>
        <v>80209.407999999996</v>
      </c>
      <c r="E881" s="692">
        <v>63809</v>
      </c>
      <c r="F881" s="642">
        <v>867</v>
      </c>
      <c r="G881" s="691">
        <f t="shared" ref="G881:G891" si="158">E881*F881/1000</f>
        <v>55322.402999999998</v>
      </c>
      <c r="H881" s="692">
        <v>0</v>
      </c>
      <c r="I881" s="642"/>
      <c r="J881" s="691">
        <f>H881*I881/1000</f>
        <v>0</v>
      </c>
      <c r="K881" s="692">
        <v>0</v>
      </c>
      <c r="L881" s="642"/>
      <c r="M881" s="691">
        <f t="shared" ref="M881:M891" si="159">K881*L881/1000</f>
        <v>0</v>
      </c>
      <c r="N881" s="693">
        <v>166891</v>
      </c>
      <c r="O881" s="642">
        <v>500</v>
      </c>
      <c r="P881" s="691">
        <f t="shared" ref="P881:P891" si="160">N881*O881/1000</f>
        <v>83445.5</v>
      </c>
      <c r="Q881" s="691"/>
      <c r="R881" s="691"/>
      <c r="S881" s="691"/>
      <c r="T881" s="694">
        <f t="shared" ref="T881:T891" si="161">B881+E881+H881+K881+N881+Q881</f>
        <v>387359</v>
      </c>
      <c r="U881" s="695">
        <f t="shared" ref="U881:U891" si="162">D881+G881+J881+M881+P881+S881</f>
        <v>218977.31099999999</v>
      </c>
      <c r="V881" s="450"/>
    </row>
    <row r="882" spans="1:22" x14ac:dyDescent="0.25">
      <c r="A882" s="690" t="s">
        <v>187</v>
      </c>
      <c r="B882" s="691">
        <v>38796</v>
      </c>
      <c r="C882" s="642">
        <v>398</v>
      </c>
      <c r="D882" s="691">
        <f t="shared" ref="D882:D891" si="163">B882*C882/1000</f>
        <v>15440.808000000001</v>
      </c>
      <c r="E882" s="692">
        <v>88</v>
      </c>
      <c r="F882" s="642">
        <v>431</v>
      </c>
      <c r="G882" s="691">
        <f t="shared" si="158"/>
        <v>37.927999999999997</v>
      </c>
      <c r="H882" s="692">
        <v>2324</v>
      </c>
      <c r="I882" s="642">
        <v>760</v>
      </c>
      <c r="J882" s="691">
        <f t="shared" ref="J882:J891" si="164">H882*I882/1000</f>
        <v>1766.24</v>
      </c>
      <c r="K882" s="692">
        <v>0</v>
      </c>
      <c r="L882" s="642"/>
      <c r="M882" s="691">
        <f t="shared" si="159"/>
        <v>0</v>
      </c>
      <c r="N882" s="693">
        <v>0</v>
      </c>
      <c r="O882" s="642"/>
      <c r="P882" s="691">
        <f t="shared" si="160"/>
        <v>0</v>
      </c>
      <c r="Q882" s="691"/>
      <c r="R882" s="691"/>
      <c r="S882" s="691"/>
      <c r="T882" s="694">
        <f t="shared" si="161"/>
        <v>41208</v>
      </c>
      <c r="U882" s="695">
        <f t="shared" si="162"/>
        <v>17244.976000000002</v>
      </c>
      <c r="V882" s="450"/>
    </row>
    <row r="883" spans="1:22" x14ac:dyDescent="0.25">
      <c r="A883" s="690" t="s">
        <v>103</v>
      </c>
      <c r="B883" s="691">
        <v>146299</v>
      </c>
      <c r="C883" s="642">
        <v>739</v>
      </c>
      <c r="D883" s="691">
        <f t="shared" si="163"/>
        <v>108114.961</v>
      </c>
      <c r="E883" s="692">
        <v>191871</v>
      </c>
      <c r="F883" s="642">
        <v>837.33345320553917</v>
      </c>
      <c r="G883" s="691">
        <f t="shared" si="158"/>
        <v>160660.00700000001</v>
      </c>
      <c r="H883" s="692">
        <v>43060</v>
      </c>
      <c r="I883" s="642">
        <v>777.44335810496989</v>
      </c>
      <c r="J883" s="691">
        <f t="shared" si="164"/>
        <v>33476.711000000003</v>
      </c>
      <c r="K883" s="692">
        <v>12814</v>
      </c>
      <c r="L883" s="642">
        <v>1489.7558919931325</v>
      </c>
      <c r="M883" s="691">
        <f t="shared" si="159"/>
        <v>19089.732</v>
      </c>
      <c r="N883" s="693">
        <v>11815</v>
      </c>
      <c r="O883" s="642">
        <v>832.99830723656373</v>
      </c>
      <c r="P883" s="691">
        <f t="shared" si="160"/>
        <v>9841.875</v>
      </c>
      <c r="Q883" s="691"/>
      <c r="R883" s="691"/>
      <c r="S883" s="691"/>
      <c r="T883" s="694">
        <f t="shared" si="161"/>
        <v>405859</v>
      </c>
      <c r="U883" s="695">
        <f t="shared" si="162"/>
        <v>331183.28600000002</v>
      </c>
      <c r="V883" s="450"/>
    </row>
    <row r="884" spans="1:22" x14ac:dyDescent="0.25">
      <c r="A884" s="690" t="s">
        <v>20</v>
      </c>
      <c r="B884" s="691">
        <v>58652</v>
      </c>
      <c r="C884" s="642">
        <v>514.04951237809496</v>
      </c>
      <c r="D884" s="691">
        <f t="shared" si="163"/>
        <v>30150.032000000025</v>
      </c>
      <c r="E884" s="692">
        <v>91165</v>
      </c>
      <c r="F884" s="642">
        <v>579.98526846925904</v>
      </c>
      <c r="G884" s="691">
        <f t="shared" si="158"/>
        <v>52874.357000000004</v>
      </c>
      <c r="H884" s="692">
        <v>1911</v>
      </c>
      <c r="I884" s="642">
        <v>577.92830978545248</v>
      </c>
      <c r="J884" s="691">
        <f t="shared" si="164"/>
        <v>1104.4209999999998</v>
      </c>
      <c r="K884" s="692">
        <v>324</v>
      </c>
      <c r="L884" s="642">
        <v>354.50617283950618</v>
      </c>
      <c r="M884" s="691">
        <f t="shared" si="159"/>
        <v>114.86</v>
      </c>
      <c r="N884" s="693">
        <v>34831</v>
      </c>
      <c r="O884" s="642">
        <v>540.80302029801044</v>
      </c>
      <c r="P884" s="691">
        <f t="shared" si="160"/>
        <v>18836.71</v>
      </c>
      <c r="Q884" s="691"/>
      <c r="R884" s="691"/>
      <c r="S884" s="691"/>
      <c r="T884" s="694">
        <f t="shared" si="161"/>
        <v>186883</v>
      </c>
      <c r="U884" s="695">
        <f t="shared" si="162"/>
        <v>103080.38000000003</v>
      </c>
      <c r="V884" s="450"/>
    </row>
    <row r="885" spans="1:22" x14ac:dyDescent="0.25">
      <c r="A885" s="690" t="s">
        <v>133</v>
      </c>
      <c r="B885" s="691">
        <v>85391</v>
      </c>
      <c r="C885" s="642">
        <v>350</v>
      </c>
      <c r="D885" s="691">
        <f t="shared" si="163"/>
        <v>29886.85</v>
      </c>
      <c r="E885" s="692">
        <v>84723</v>
      </c>
      <c r="F885" s="642">
        <v>500</v>
      </c>
      <c r="G885" s="691">
        <f t="shared" si="158"/>
        <v>42361.5</v>
      </c>
      <c r="H885" s="692">
        <v>19469</v>
      </c>
      <c r="I885" s="642">
        <v>331.06086599208999</v>
      </c>
      <c r="J885" s="691">
        <f t="shared" si="164"/>
        <v>6445.424</v>
      </c>
      <c r="K885" s="692">
        <v>2292</v>
      </c>
      <c r="L885" s="642">
        <v>800</v>
      </c>
      <c r="M885" s="691">
        <f t="shared" si="159"/>
        <v>1833.6</v>
      </c>
      <c r="N885" s="693">
        <v>3985</v>
      </c>
      <c r="O885" s="642">
        <v>500</v>
      </c>
      <c r="P885" s="691">
        <f t="shared" si="160"/>
        <v>1992.5</v>
      </c>
      <c r="Q885" s="691"/>
      <c r="R885" s="691"/>
      <c r="S885" s="691"/>
      <c r="T885" s="694">
        <f t="shared" si="161"/>
        <v>195860</v>
      </c>
      <c r="U885" s="695">
        <f t="shared" si="162"/>
        <v>82519.874000000011</v>
      </c>
      <c r="V885" s="450"/>
    </row>
    <row r="886" spans="1:22" x14ac:dyDescent="0.25">
      <c r="A886" s="690" t="s">
        <v>21</v>
      </c>
      <c r="B886" s="691">
        <v>16263</v>
      </c>
      <c r="C886" s="642">
        <v>141</v>
      </c>
      <c r="D886" s="691">
        <f t="shared" si="163"/>
        <v>2293.0830000000001</v>
      </c>
      <c r="E886" s="692">
        <v>0</v>
      </c>
      <c r="F886" s="642"/>
      <c r="G886" s="691">
        <f t="shared" si="158"/>
        <v>0</v>
      </c>
      <c r="H886" s="692">
        <v>409</v>
      </c>
      <c r="I886" s="642">
        <v>934</v>
      </c>
      <c r="J886" s="691">
        <f t="shared" si="164"/>
        <v>382.00599999999997</v>
      </c>
      <c r="K886" s="692">
        <v>0</v>
      </c>
      <c r="L886" s="642"/>
      <c r="M886" s="691">
        <f t="shared" si="159"/>
        <v>0</v>
      </c>
      <c r="N886" s="693">
        <v>0</v>
      </c>
      <c r="O886" s="642"/>
      <c r="P886" s="691">
        <f t="shared" si="160"/>
        <v>0</v>
      </c>
      <c r="Q886" s="691"/>
      <c r="R886" s="691"/>
      <c r="S886" s="691"/>
      <c r="T886" s="694">
        <f t="shared" si="161"/>
        <v>16672</v>
      </c>
      <c r="U886" s="695">
        <f t="shared" si="162"/>
        <v>2675.0889999999999</v>
      </c>
      <c r="V886" s="450"/>
    </row>
    <row r="887" spans="1:22" x14ac:dyDescent="0.25">
      <c r="A887" s="690" t="s">
        <v>22</v>
      </c>
      <c r="B887" s="691">
        <v>50922</v>
      </c>
      <c r="C887" s="642">
        <v>500</v>
      </c>
      <c r="D887" s="691">
        <f t="shared" si="163"/>
        <v>25461</v>
      </c>
      <c r="E887" s="692">
        <v>235</v>
      </c>
      <c r="F887" s="642">
        <v>400</v>
      </c>
      <c r="G887" s="691">
        <f t="shared" si="158"/>
        <v>94</v>
      </c>
      <c r="H887" s="692">
        <v>46829</v>
      </c>
      <c r="I887" s="642">
        <v>2100</v>
      </c>
      <c r="J887" s="691">
        <f t="shared" si="164"/>
        <v>98340.9</v>
      </c>
      <c r="K887" s="692">
        <v>259</v>
      </c>
      <c r="L887" s="642">
        <v>3000</v>
      </c>
      <c r="M887" s="691">
        <f t="shared" si="159"/>
        <v>777</v>
      </c>
      <c r="N887" s="693">
        <v>216</v>
      </c>
      <c r="O887" s="642">
        <v>1600</v>
      </c>
      <c r="P887" s="691">
        <f t="shared" si="160"/>
        <v>345.6</v>
      </c>
      <c r="Q887" s="691">
        <v>622.02</v>
      </c>
      <c r="R887" s="691">
        <v>1300</v>
      </c>
      <c r="S887" s="691">
        <f>Q887*R887/1000</f>
        <v>808.62599999999998</v>
      </c>
      <c r="T887" s="694">
        <f t="shared" si="161"/>
        <v>99083.02</v>
      </c>
      <c r="U887" s="695">
        <f t="shared" si="162"/>
        <v>125827.126</v>
      </c>
      <c r="V887" s="450"/>
    </row>
    <row r="888" spans="1:22" s="729" customFormat="1" x14ac:dyDescent="0.25">
      <c r="A888" s="722" t="s">
        <v>23</v>
      </c>
      <c r="B888" s="723">
        <v>197661</v>
      </c>
      <c r="C888" s="724">
        <v>850</v>
      </c>
      <c r="D888" s="723">
        <f t="shared" si="163"/>
        <v>168011.85</v>
      </c>
      <c r="E888" s="725">
        <v>95523</v>
      </c>
      <c r="F888" s="724">
        <v>900</v>
      </c>
      <c r="G888" s="723">
        <f t="shared" si="158"/>
        <v>85970.7</v>
      </c>
      <c r="H888" s="725">
        <v>867</v>
      </c>
      <c r="I888" s="724">
        <v>1016</v>
      </c>
      <c r="J888" s="723">
        <f t="shared" si="164"/>
        <v>880.87199999999996</v>
      </c>
      <c r="K888" s="725">
        <v>0</v>
      </c>
      <c r="L888" s="724"/>
      <c r="M888" s="723">
        <f t="shared" si="159"/>
        <v>0</v>
      </c>
      <c r="N888" s="726">
        <v>1000</v>
      </c>
      <c r="O888" s="724">
        <v>895</v>
      </c>
      <c r="P888" s="723">
        <f t="shared" si="160"/>
        <v>895</v>
      </c>
      <c r="Q888" s="723"/>
      <c r="R888" s="723"/>
      <c r="S888" s="723"/>
      <c r="T888" s="727">
        <f t="shared" si="161"/>
        <v>295051</v>
      </c>
      <c r="U888" s="728">
        <f t="shared" si="162"/>
        <v>255758.42199999999</v>
      </c>
    </row>
    <row r="889" spans="1:22" x14ac:dyDescent="0.25">
      <c r="A889" s="690" t="s">
        <v>24</v>
      </c>
      <c r="B889" s="691">
        <v>6085</v>
      </c>
      <c r="C889" s="642">
        <v>763</v>
      </c>
      <c r="D889" s="691">
        <f t="shared" si="163"/>
        <v>4642.8549999999996</v>
      </c>
      <c r="E889" s="692">
        <v>19374</v>
      </c>
      <c r="F889" s="642">
        <v>1196</v>
      </c>
      <c r="G889" s="691">
        <f t="shared" si="158"/>
        <v>23171.304</v>
      </c>
      <c r="H889" s="692">
        <v>24773</v>
      </c>
      <c r="I889" s="642">
        <v>1393</v>
      </c>
      <c r="J889" s="691">
        <f t="shared" si="164"/>
        <v>34508.788999999997</v>
      </c>
      <c r="K889" s="692">
        <v>4483</v>
      </c>
      <c r="L889" s="642">
        <v>3189</v>
      </c>
      <c r="M889" s="691">
        <f t="shared" si="159"/>
        <v>14296.287</v>
      </c>
      <c r="N889" s="693">
        <v>207068</v>
      </c>
      <c r="O889" s="642">
        <v>1412</v>
      </c>
      <c r="P889" s="691">
        <f t="shared" si="160"/>
        <v>292380.016</v>
      </c>
      <c r="Q889" s="691"/>
      <c r="R889" s="691"/>
      <c r="S889" s="691"/>
      <c r="T889" s="694">
        <f t="shared" si="161"/>
        <v>261783</v>
      </c>
      <c r="U889" s="695">
        <f t="shared" si="162"/>
        <v>368999.25099999999</v>
      </c>
      <c r="V889" s="450"/>
    </row>
    <row r="890" spans="1:22" x14ac:dyDescent="0.25">
      <c r="A890" s="690" t="s">
        <v>134</v>
      </c>
      <c r="B890" s="691">
        <v>78444</v>
      </c>
      <c r="C890" s="642">
        <v>703.15702921829586</v>
      </c>
      <c r="D890" s="691">
        <f t="shared" si="163"/>
        <v>55158.45</v>
      </c>
      <c r="E890" s="692">
        <v>103611</v>
      </c>
      <c r="F890" s="642">
        <v>953.34568723398093</v>
      </c>
      <c r="G890" s="691">
        <f t="shared" si="158"/>
        <v>98777.1</v>
      </c>
      <c r="H890" s="692">
        <v>40035</v>
      </c>
      <c r="I890" s="642">
        <v>862</v>
      </c>
      <c r="J890" s="691">
        <f t="shared" si="164"/>
        <v>34510.17</v>
      </c>
      <c r="K890" s="692">
        <v>0</v>
      </c>
      <c r="L890" s="642"/>
      <c r="M890" s="691">
        <f t="shared" si="159"/>
        <v>0</v>
      </c>
      <c r="N890" s="693">
        <v>17700</v>
      </c>
      <c r="O890" s="642">
        <v>1019</v>
      </c>
      <c r="P890" s="691">
        <f t="shared" si="160"/>
        <v>18036.3</v>
      </c>
      <c r="Q890" s="691"/>
      <c r="R890" s="691"/>
      <c r="S890" s="691"/>
      <c r="T890" s="694">
        <f t="shared" si="161"/>
        <v>239790</v>
      </c>
      <c r="U890" s="695">
        <f t="shared" si="162"/>
        <v>206482.01999999996</v>
      </c>
      <c r="V890" s="450"/>
    </row>
    <row r="891" spans="1:22" x14ac:dyDescent="0.25">
      <c r="A891" s="690" t="s">
        <v>161</v>
      </c>
      <c r="B891" s="691">
        <v>111871</v>
      </c>
      <c r="C891" s="642">
        <v>625.39424873291568</v>
      </c>
      <c r="D891" s="691">
        <f t="shared" si="163"/>
        <v>69963.48000000001</v>
      </c>
      <c r="E891" s="692">
        <v>12394</v>
      </c>
      <c r="F891" s="642">
        <v>633.01799257705341</v>
      </c>
      <c r="G891" s="691">
        <f t="shared" si="158"/>
        <v>7845.625</v>
      </c>
      <c r="H891" s="692">
        <v>0</v>
      </c>
      <c r="I891" s="642"/>
      <c r="J891" s="691">
        <f t="shared" si="164"/>
        <v>0</v>
      </c>
      <c r="K891" s="692">
        <v>0</v>
      </c>
      <c r="L891" s="642"/>
      <c r="M891" s="691">
        <f t="shared" si="159"/>
        <v>0</v>
      </c>
      <c r="N891" s="693">
        <v>0</v>
      </c>
      <c r="O891" s="642"/>
      <c r="P891" s="691">
        <f t="shared" si="160"/>
        <v>0</v>
      </c>
      <c r="Q891" s="691"/>
      <c r="R891" s="691"/>
      <c r="S891" s="691"/>
      <c r="T891" s="694">
        <f t="shared" si="161"/>
        <v>124265</v>
      </c>
      <c r="U891" s="695">
        <f t="shared" si="162"/>
        <v>77809.10500000001</v>
      </c>
      <c r="V891" s="450"/>
    </row>
    <row r="892" spans="1:22" x14ac:dyDescent="0.25">
      <c r="A892" s="688" t="s">
        <v>173</v>
      </c>
      <c r="B892" s="696">
        <f>SUM(B881:B891)</f>
        <v>947043</v>
      </c>
      <c r="C892" s="642"/>
      <c r="D892" s="696">
        <f>SUM(D881:D891)</f>
        <v>589332.777</v>
      </c>
      <c r="E892" s="696">
        <f>SUM(E881:E891)</f>
        <v>662793</v>
      </c>
      <c r="F892" s="642"/>
      <c r="G892" s="696">
        <f>SUM(G881:G891)</f>
        <v>527114.924</v>
      </c>
      <c r="H892" s="696">
        <f>SUM(H881:H891)</f>
        <v>179677</v>
      </c>
      <c r="I892" s="642"/>
      <c r="J892" s="696">
        <f>SUM(J881:J891)</f>
        <v>211415.533</v>
      </c>
      <c r="K892" s="696">
        <f>SUM(K881:K891)</f>
        <v>20172</v>
      </c>
      <c r="L892" s="642"/>
      <c r="M892" s="696">
        <f>SUM(M881:M891)</f>
        <v>36111.478999999999</v>
      </c>
      <c r="N892" s="696">
        <f>SUM(N881:N891)</f>
        <v>443506</v>
      </c>
      <c r="O892" s="642"/>
      <c r="P892" s="696">
        <f>SUM(P881:P891)</f>
        <v>425773.50099999999</v>
      </c>
      <c r="Q892" s="696">
        <f>SUM(Q881:Q891)</f>
        <v>622.02</v>
      </c>
      <c r="R892" s="696"/>
      <c r="S892" s="696">
        <f>SUM(S881:S891)</f>
        <v>808.62599999999998</v>
      </c>
      <c r="T892" s="696">
        <f t="shared" ref="T892:U892" si="165">SUM(T881:T891)</f>
        <v>2253813.02</v>
      </c>
      <c r="U892" s="696">
        <f t="shared" si="165"/>
        <v>1790556.84</v>
      </c>
      <c r="V892" s="450"/>
    </row>
    <row r="893" spans="1:22" x14ac:dyDescent="0.25">
      <c r="A893" s="697" t="s">
        <v>135</v>
      </c>
      <c r="B893" s="691">
        <v>37615</v>
      </c>
      <c r="C893" s="642">
        <v>592.60845407417253</v>
      </c>
      <c r="D893" s="691">
        <f t="shared" ref="D893:D899" si="166">B893*C893/1000</f>
        <v>22290.967000000001</v>
      </c>
      <c r="E893" s="692">
        <v>84074</v>
      </c>
      <c r="F893" s="642">
        <v>730.40031400908731</v>
      </c>
      <c r="G893" s="691">
        <f t="shared" ref="G893:G899" si="167">E893*F893/1000</f>
        <v>61407.676000000007</v>
      </c>
      <c r="H893" s="692">
        <v>12428</v>
      </c>
      <c r="I893" s="642">
        <v>899.99501126488565</v>
      </c>
      <c r="J893" s="691">
        <f t="shared" ref="J893:J899" si="168">H893*I893/1000</f>
        <v>11185.137999999999</v>
      </c>
      <c r="K893" s="692">
        <v>21793</v>
      </c>
      <c r="L893" s="642">
        <v>1322.1551415592162</v>
      </c>
      <c r="M893" s="691">
        <f t="shared" ref="M893:M899" si="169">K893*L893/1000</f>
        <v>28813.726999999999</v>
      </c>
      <c r="N893" s="693">
        <v>0</v>
      </c>
      <c r="O893" s="642"/>
      <c r="P893" s="691"/>
      <c r="Q893" s="691"/>
      <c r="R893" s="691"/>
      <c r="S893" s="691"/>
      <c r="T893" s="694">
        <f t="shared" ref="T893:T899" si="170">B893+E893+H893+K893+N893+Q893</f>
        <v>155910</v>
      </c>
      <c r="U893" s="695">
        <f t="shared" ref="U893:U899" si="171">D893+G893+J893+M893+P893+S893</f>
        <v>123697.50800000002</v>
      </c>
      <c r="V893" s="450"/>
    </row>
    <row r="894" spans="1:22" x14ac:dyDescent="0.25">
      <c r="A894" s="697" t="s">
        <v>136</v>
      </c>
      <c r="B894" s="691">
        <v>27856</v>
      </c>
      <c r="C894" s="642">
        <v>651.30230470993672</v>
      </c>
      <c r="D894" s="691">
        <f t="shared" si="166"/>
        <v>18142.676999999996</v>
      </c>
      <c r="E894" s="692">
        <v>71570</v>
      </c>
      <c r="F894" s="642">
        <v>911.28929719156076</v>
      </c>
      <c r="G894" s="691">
        <f t="shared" si="167"/>
        <v>65220.975000000006</v>
      </c>
      <c r="H894" s="692">
        <v>13402</v>
      </c>
      <c r="I894" s="642">
        <v>1320.3163706909418</v>
      </c>
      <c r="J894" s="691">
        <f t="shared" si="168"/>
        <v>17694.88</v>
      </c>
      <c r="K894" s="692">
        <v>40935</v>
      </c>
      <c r="L894" s="642">
        <v>1173.666422376939</v>
      </c>
      <c r="M894" s="691">
        <f t="shared" si="169"/>
        <v>48044.034999999989</v>
      </c>
      <c r="N894" s="693">
        <v>64002</v>
      </c>
      <c r="O894" s="642">
        <v>723.67640073747691</v>
      </c>
      <c r="P894" s="691">
        <v>46316.737000000001</v>
      </c>
      <c r="Q894" s="691"/>
      <c r="R894" s="691"/>
      <c r="S894" s="691"/>
      <c r="T894" s="694">
        <f t="shared" si="170"/>
        <v>217765</v>
      </c>
      <c r="U894" s="695">
        <f t="shared" si="171"/>
        <v>195419.30399999997</v>
      </c>
      <c r="V894" s="450"/>
    </row>
    <row r="895" spans="1:22" x14ac:dyDescent="0.25">
      <c r="A895" s="697" t="s">
        <v>137</v>
      </c>
      <c r="B895" s="691">
        <v>10093</v>
      </c>
      <c r="C895" s="642">
        <v>624.61111661547602</v>
      </c>
      <c r="D895" s="691">
        <f t="shared" si="166"/>
        <v>6304.1999999999989</v>
      </c>
      <c r="E895" s="692">
        <v>66304</v>
      </c>
      <c r="F895" s="642">
        <v>981.27214044401546</v>
      </c>
      <c r="G895" s="691">
        <f t="shared" si="167"/>
        <v>65062.267999999996</v>
      </c>
      <c r="H895" s="692">
        <v>30095</v>
      </c>
      <c r="I895" s="642">
        <v>1158.335603920917</v>
      </c>
      <c r="J895" s="691">
        <f t="shared" si="168"/>
        <v>34860.11</v>
      </c>
      <c r="K895" s="692">
        <v>7004</v>
      </c>
      <c r="L895" s="642">
        <v>2145.6784694460307</v>
      </c>
      <c r="M895" s="691">
        <f t="shared" si="169"/>
        <v>15028.331999999999</v>
      </c>
      <c r="N895" s="693">
        <v>10327</v>
      </c>
      <c r="O895" s="642">
        <v>792.04599593299122</v>
      </c>
      <c r="P895" s="691">
        <v>8179.4589999999998</v>
      </c>
      <c r="Q895" s="691"/>
      <c r="R895" s="691"/>
      <c r="S895" s="691"/>
      <c r="T895" s="694">
        <f t="shared" si="170"/>
        <v>123823</v>
      </c>
      <c r="U895" s="695">
        <f t="shared" si="171"/>
        <v>129434.36899999999</v>
      </c>
      <c r="V895" s="450"/>
    </row>
    <row r="896" spans="1:22" x14ac:dyDescent="0.25">
      <c r="A896" s="697" t="s">
        <v>73</v>
      </c>
      <c r="B896" s="691">
        <v>14109</v>
      </c>
      <c r="C896" s="642">
        <v>697.1124813948544</v>
      </c>
      <c r="D896" s="691">
        <f t="shared" si="166"/>
        <v>9835.56</v>
      </c>
      <c r="E896" s="692">
        <v>49954</v>
      </c>
      <c r="F896" s="642">
        <v>841.37112143171714</v>
      </c>
      <c r="G896" s="691">
        <f t="shared" si="167"/>
        <v>42029.853000000003</v>
      </c>
      <c r="H896" s="692">
        <v>11440</v>
      </c>
      <c r="I896" s="642">
        <v>881.92674825174822</v>
      </c>
      <c r="J896" s="691">
        <f t="shared" si="168"/>
        <v>10089.242</v>
      </c>
      <c r="K896" s="692">
        <v>11440</v>
      </c>
      <c r="L896" s="642">
        <v>981.20349650349647</v>
      </c>
      <c r="M896" s="691">
        <f t="shared" si="169"/>
        <v>11224.968000000001</v>
      </c>
      <c r="N896" s="693">
        <v>6483</v>
      </c>
      <c r="O896" s="642">
        <v>800</v>
      </c>
      <c r="P896" s="691">
        <v>5186.3999999999996</v>
      </c>
      <c r="Q896" s="691"/>
      <c r="R896" s="691"/>
      <c r="S896" s="691"/>
      <c r="T896" s="694">
        <f t="shared" si="170"/>
        <v>93426</v>
      </c>
      <c r="U896" s="695">
        <f t="shared" si="171"/>
        <v>78366.022999999986</v>
      </c>
      <c r="V896" s="450"/>
    </row>
    <row r="897" spans="1:26" x14ac:dyDescent="0.25">
      <c r="A897" s="697" t="s">
        <v>162</v>
      </c>
      <c r="B897" s="691">
        <v>22599</v>
      </c>
      <c r="C897" s="642">
        <v>710.70688968538434</v>
      </c>
      <c r="D897" s="691">
        <f t="shared" si="166"/>
        <v>16061.264999999999</v>
      </c>
      <c r="E897" s="692">
        <v>52402</v>
      </c>
      <c r="F897" s="642">
        <v>1047.752070531659</v>
      </c>
      <c r="G897" s="691">
        <f t="shared" si="167"/>
        <v>54904.303999999989</v>
      </c>
      <c r="H897" s="692">
        <v>12264</v>
      </c>
      <c r="I897" s="642">
        <v>1152.0156555772994</v>
      </c>
      <c r="J897" s="691">
        <f t="shared" si="168"/>
        <v>14128.32</v>
      </c>
      <c r="K897" s="692">
        <v>17262</v>
      </c>
      <c r="L897" s="642">
        <v>1953.6474916000464</v>
      </c>
      <c r="M897" s="691">
        <f t="shared" si="169"/>
        <v>33723.862999999998</v>
      </c>
      <c r="N897" s="693">
        <v>0</v>
      </c>
      <c r="O897" s="642"/>
      <c r="P897" s="691"/>
      <c r="Q897" s="691"/>
      <c r="R897" s="691"/>
      <c r="S897" s="691"/>
      <c r="T897" s="694">
        <f t="shared" si="170"/>
        <v>104527</v>
      </c>
      <c r="U897" s="695">
        <f t="shared" si="171"/>
        <v>118817.75199999999</v>
      </c>
      <c r="V897" s="450"/>
    </row>
    <row r="898" spans="1:26" x14ac:dyDescent="0.25">
      <c r="A898" s="697" t="s">
        <v>163</v>
      </c>
      <c r="B898" s="691">
        <v>24534</v>
      </c>
      <c r="C898" s="642">
        <v>684.5178935355018</v>
      </c>
      <c r="D898" s="691">
        <f t="shared" si="166"/>
        <v>16793.962</v>
      </c>
      <c r="E898" s="692">
        <v>72198</v>
      </c>
      <c r="F898" s="642">
        <v>1019.101678716862</v>
      </c>
      <c r="G898" s="691">
        <f t="shared" si="167"/>
        <v>73577.103000000003</v>
      </c>
      <c r="H898" s="692">
        <v>21091</v>
      </c>
      <c r="I898" s="642">
        <v>1370.1698828884357</v>
      </c>
      <c r="J898" s="691">
        <f t="shared" si="168"/>
        <v>28898.252999999997</v>
      </c>
      <c r="K898" s="692">
        <v>26924</v>
      </c>
      <c r="L898" s="642">
        <v>1312.6853365027484</v>
      </c>
      <c r="M898" s="691">
        <f t="shared" si="169"/>
        <v>35342.74</v>
      </c>
      <c r="N898" s="693">
        <v>0</v>
      </c>
      <c r="O898" s="642"/>
      <c r="P898" s="691"/>
      <c r="Q898" s="691"/>
      <c r="R898" s="691"/>
      <c r="S898" s="691"/>
      <c r="T898" s="694">
        <f t="shared" si="170"/>
        <v>144747</v>
      </c>
      <c r="U898" s="695">
        <f t="shared" si="171"/>
        <v>154612.05799999999</v>
      </c>
      <c r="V898" s="450"/>
    </row>
    <row r="899" spans="1:26" x14ac:dyDescent="0.25">
      <c r="A899" s="697" t="s">
        <v>27</v>
      </c>
      <c r="B899" s="691">
        <v>19331</v>
      </c>
      <c r="C899" s="642">
        <v>827.14318969530814</v>
      </c>
      <c r="D899" s="691">
        <f t="shared" si="166"/>
        <v>15989.505000000001</v>
      </c>
      <c r="E899" s="692">
        <v>36070</v>
      </c>
      <c r="F899" s="642">
        <v>896.72520099805922</v>
      </c>
      <c r="G899" s="691">
        <f t="shared" si="167"/>
        <v>32344.877999999997</v>
      </c>
      <c r="H899" s="692">
        <v>5596</v>
      </c>
      <c r="I899" s="642">
        <v>825.18995711222306</v>
      </c>
      <c r="J899" s="691">
        <f t="shared" si="168"/>
        <v>4617.7629999999999</v>
      </c>
      <c r="K899" s="692">
        <v>48187</v>
      </c>
      <c r="L899" s="642">
        <v>1988.5550874717248</v>
      </c>
      <c r="M899" s="691">
        <f t="shared" si="169"/>
        <v>95822.504000000001</v>
      </c>
      <c r="N899" s="693">
        <v>8989</v>
      </c>
      <c r="O899" s="642"/>
      <c r="P899" s="691">
        <v>8989</v>
      </c>
      <c r="Q899" s="691"/>
      <c r="R899" s="691"/>
      <c r="S899" s="691"/>
      <c r="T899" s="694">
        <f t="shared" si="170"/>
        <v>118173</v>
      </c>
      <c r="U899" s="695">
        <f t="shared" si="171"/>
        <v>157763.65</v>
      </c>
      <c r="V899" s="450"/>
    </row>
    <row r="900" spans="1:26" x14ac:dyDescent="0.25">
      <c r="A900" s="698" t="s">
        <v>174</v>
      </c>
      <c r="B900" s="699">
        <f>SUM(B893:B899)</f>
        <v>156137</v>
      </c>
      <c r="C900" s="699"/>
      <c r="D900" s="699">
        <f>SUM(D893:D899)</f>
        <v>105418.136</v>
      </c>
      <c r="E900" s="699">
        <f>SUM(E893:E899)</f>
        <v>432572</v>
      </c>
      <c r="F900" s="699"/>
      <c r="G900" s="699">
        <f>SUM(G893:G899)</f>
        <v>394547.05700000003</v>
      </c>
      <c r="H900" s="699">
        <f>SUM(H893:H899)</f>
        <v>106316</v>
      </c>
      <c r="I900" s="699"/>
      <c r="J900" s="699">
        <f>SUM(J893:J899)</f>
        <v>121473.70600000001</v>
      </c>
      <c r="K900" s="699">
        <f>SUM(K893:K899)</f>
        <v>173545</v>
      </c>
      <c r="L900" s="699"/>
      <c r="M900" s="699">
        <f>SUM(M893:M899)</f>
        <v>268000.16899999999</v>
      </c>
      <c r="N900" s="699">
        <f>SUM(N893:N899)</f>
        <v>89801</v>
      </c>
      <c r="O900" s="664"/>
      <c r="P900" s="699">
        <f>SUM(P893:P899)</f>
        <v>68671.596000000005</v>
      </c>
      <c r="Q900" s="699">
        <f>SUM(Q893:Q899)</f>
        <v>0</v>
      </c>
      <c r="R900" s="699"/>
      <c r="S900" s="699">
        <f>SUM(S893:S899)</f>
        <v>0</v>
      </c>
      <c r="T900" s="699">
        <f>SUM(T893:T899)</f>
        <v>958371</v>
      </c>
      <c r="U900" s="699">
        <f>SUM(U893:U899)</f>
        <v>958110.66399999987</v>
      </c>
      <c r="V900" s="450"/>
    </row>
    <row r="901" spans="1:26" ht="15.75" thickBot="1" x14ac:dyDescent="0.3">
      <c r="A901" s="700" t="s">
        <v>32</v>
      </c>
      <c r="B901" s="701">
        <f>SUM(B892+B900)</f>
        <v>1103180</v>
      </c>
      <c r="C901" s="701"/>
      <c r="D901" s="701">
        <f>SUM(D892+D900)</f>
        <v>694750.91299999994</v>
      </c>
      <c r="E901" s="701">
        <f>SUM(E892+E900)</f>
        <v>1095365</v>
      </c>
      <c r="F901" s="701"/>
      <c r="G901" s="701">
        <f>SUM(G892+G900)</f>
        <v>921661.98100000003</v>
      </c>
      <c r="H901" s="701">
        <f>SUM(H892+H900)</f>
        <v>285993</v>
      </c>
      <c r="I901" s="701"/>
      <c r="J901" s="701">
        <f>SUM(J892+J900)</f>
        <v>332889.239</v>
      </c>
      <c r="K901" s="701">
        <f>SUM(K892+K900)</f>
        <v>193717</v>
      </c>
      <c r="L901" s="701"/>
      <c r="M901" s="701">
        <f>SUM(M892+M900)</f>
        <v>304111.64799999999</v>
      </c>
      <c r="N901" s="701">
        <f>SUM(N892+N900)</f>
        <v>533307</v>
      </c>
      <c r="O901" s="702"/>
      <c r="P901" s="701">
        <f>SUM(P892+P900)</f>
        <v>494445.09700000001</v>
      </c>
      <c r="Q901" s="701">
        <f>SUM(Q892+Q900)</f>
        <v>622.02</v>
      </c>
      <c r="R901" s="701"/>
      <c r="S901" s="701">
        <f>SUM(S892+S900)</f>
        <v>808.62599999999998</v>
      </c>
      <c r="T901" s="701">
        <f>SUM(T892+T900)</f>
        <v>3212184.02</v>
      </c>
      <c r="U901" s="701">
        <f>SUM(U892+U900)</f>
        <v>2748667.5039999997</v>
      </c>
      <c r="V901" s="450"/>
    </row>
    <row r="902" spans="1:26" ht="15.75" thickTop="1" x14ac:dyDescent="0.25">
      <c r="A902" s="703" t="s">
        <v>188</v>
      </c>
      <c r="B902" s="450"/>
      <c r="C902" s="450"/>
      <c r="D902" s="450"/>
      <c r="E902" s="450"/>
      <c r="F902" s="450"/>
      <c r="G902" s="450"/>
      <c r="H902" s="450"/>
      <c r="I902" s="450"/>
      <c r="J902" s="450"/>
      <c r="K902" s="450"/>
      <c r="L902" s="450"/>
      <c r="M902" s="450"/>
      <c r="N902" s="450"/>
      <c r="O902" s="450"/>
      <c r="P902" s="450"/>
      <c r="Q902" s="450"/>
      <c r="R902" s="450"/>
      <c r="S902" s="450"/>
      <c r="T902" s="450"/>
      <c r="U902" s="450"/>
      <c r="V902" s="450"/>
    </row>
    <row r="903" spans="1:26" x14ac:dyDescent="0.25">
      <c r="A903" s="450"/>
      <c r="B903" s="450"/>
      <c r="C903" s="450"/>
      <c r="D903" s="450"/>
      <c r="E903" s="450"/>
      <c r="F903" s="450"/>
      <c r="G903" s="450"/>
      <c r="H903" s="450"/>
      <c r="I903" s="450"/>
      <c r="J903" s="450"/>
      <c r="K903" s="450"/>
      <c r="L903" s="450"/>
      <c r="M903" s="450"/>
      <c r="N903" s="450"/>
      <c r="O903" s="450"/>
      <c r="P903" s="450"/>
      <c r="Q903" s="450"/>
      <c r="R903" s="450"/>
      <c r="S903" s="450"/>
      <c r="T903" s="450"/>
      <c r="U903" s="450"/>
      <c r="V903" s="450"/>
    </row>
    <row r="904" spans="1:26" ht="15.75" x14ac:dyDescent="0.25">
      <c r="A904" s="704"/>
      <c r="B904" s="704" t="s">
        <v>189</v>
      </c>
      <c r="C904" s="704" t="s">
        <v>190</v>
      </c>
      <c r="D904" s="704"/>
      <c r="E904" s="704"/>
      <c r="F904" s="704"/>
      <c r="G904" s="704"/>
      <c r="H904" s="704"/>
      <c r="I904" s="704"/>
      <c r="J904" s="704"/>
      <c r="K904" s="704"/>
      <c r="L904" s="704"/>
      <c r="M904" s="704"/>
      <c r="N904" s="704"/>
      <c r="O904" s="704"/>
      <c r="P904" s="704"/>
      <c r="Q904" s="704"/>
      <c r="R904" s="704"/>
      <c r="S904" s="704"/>
      <c r="T904" s="704"/>
      <c r="U904" s="704"/>
      <c r="V904" s="704"/>
      <c r="W904" s="704"/>
      <c r="X904" s="704"/>
    </row>
    <row r="905" spans="1:26" ht="15.75" x14ac:dyDescent="0.25">
      <c r="A905" s="705" t="s">
        <v>175</v>
      </c>
      <c r="B905" s="704"/>
      <c r="C905" s="704"/>
      <c r="D905" s="704"/>
      <c r="E905" s="704"/>
      <c r="F905" s="704"/>
      <c r="G905" s="704"/>
      <c r="H905" s="704"/>
      <c r="I905" s="704"/>
      <c r="J905" s="704"/>
      <c r="K905" s="704"/>
      <c r="L905" s="704"/>
      <c r="M905" s="704"/>
      <c r="N905" s="704"/>
      <c r="O905" s="704"/>
      <c r="P905" s="704"/>
      <c r="Q905" s="704"/>
      <c r="R905" s="704"/>
      <c r="S905" s="704"/>
      <c r="T905" s="704"/>
      <c r="U905" s="704"/>
      <c r="V905" s="704"/>
      <c r="W905" s="704"/>
      <c r="X905" s="704"/>
    </row>
    <row r="906" spans="1:26" ht="15.75" x14ac:dyDescent="0.25">
      <c r="A906" s="706" t="s">
        <v>2</v>
      </c>
      <c r="B906" s="980" t="s">
        <v>191</v>
      </c>
      <c r="C906" s="980"/>
      <c r="D906" s="980"/>
      <c r="E906" s="980" t="s">
        <v>192</v>
      </c>
      <c r="F906" s="980"/>
      <c r="G906" s="980"/>
      <c r="H906" s="980" t="s">
        <v>193</v>
      </c>
      <c r="I906" s="980"/>
      <c r="J906" s="980"/>
      <c r="K906" s="980" t="s">
        <v>194</v>
      </c>
      <c r="L906" s="980"/>
      <c r="M906" s="980"/>
      <c r="N906" s="980" t="s">
        <v>195</v>
      </c>
      <c r="O906" s="980"/>
      <c r="P906" s="980"/>
      <c r="Q906" s="980" t="s">
        <v>196</v>
      </c>
      <c r="R906" s="980"/>
      <c r="S906" s="980"/>
      <c r="T906" s="980" t="s">
        <v>197</v>
      </c>
      <c r="U906" s="980"/>
      <c r="V906" s="980"/>
      <c r="W906" s="977" t="s">
        <v>198</v>
      </c>
      <c r="X906" s="977"/>
    </row>
    <row r="907" spans="1:26" ht="15.75" x14ac:dyDescent="0.25">
      <c r="A907" s="706" t="s">
        <v>131</v>
      </c>
      <c r="B907" s="707" t="s">
        <v>12</v>
      </c>
      <c r="C907" s="707" t="s">
        <v>171</v>
      </c>
      <c r="D907" s="707" t="s">
        <v>14</v>
      </c>
      <c r="E907" s="707" t="s">
        <v>12</v>
      </c>
      <c r="F907" s="707" t="s">
        <v>171</v>
      </c>
      <c r="G907" s="707" t="s">
        <v>14</v>
      </c>
      <c r="H907" s="707" t="s">
        <v>12</v>
      </c>
      <c r="I907" s="707" t="s">
        <v>171</v>
      </c>
      <c r="J907" s="707" t="s">
        <v>14</v>
      </c>
      <c r="K907" s="707" t="s">
        <v>12</v>
      </c>
      <c r="L907" s="707" t="s">
        <v>171</v>
      </c>
      <c r="M907" s="707" t="s">
        <v>14</v>
      </c>
      <c r="N907" s="707" t="s">
        <v>12</v>
      </c>
      <c r="O907" s="707" t="s">
        <v>171</v>
      </c>
      <c r="P907" s="707" t="s">
        <v>14</v>
      </c>
      <c r="Q907" s="707" t="s">
        <v>12</v>
      </c>
      <c r="R907" s="707" t="s">
        <v>171</v>
      </c>
      <c r="S907" s="707" t="s">
        <v>14</v>
      </c>
      <c r="T907" s="707" t="s">
        <v>12</v>
      </c>
      <c r="U907" s="707" t="s">
        <v>171</v>
      </c>
      <c r="V907" s="707" t="s">
        <v>14</v>
      </c>
      <c r="W907" s="708" t="s">
        <v>12</v>
      </c>
      <c r="X907" s="708" t="s">
        <v>14</v>
      </c>
    </row>
    <row r="908" spans="1:26" ht="15.75" x14ac:dyDescent="0.25">
      <c r="A908" s="709" t="s">
        <v>15</v>
      </c>
      <c r="B908" s="710">
        <v>20732</v>
      </c>
      <c r="C908" s="711">
        <v>596.3119814779086</v>
      </c>
      <c r="D908" s="710">
        <f>+B908*C908/1000</f>
        <v>12362.740000000002</v>
      </c>
      <c r="E908" s="710">
        <v>2220</v>
      </c>
      <c r="F908" s="711">
        <v>552.14144144144143</v>
      </c>
      <c r="G908" s="710">
        <f t="shared" ref="G908:G918" si="172">+E908*F908/1000</f>
        <v>1225.7539999999999</v>
      </c>
      <c r="H908" s="710">
        <v>3196</v>
      </c>
      <c r="I908" s="711">
        <v>617.8601376720901</v>
      </c>
      <c r="J908" s="710">
        <f t="shared" ref="J908:J918" si="173">+H908*I908/1000</f>
        <v>1974.681</v>
      </c>
      <c r="K908" s="710"/>
      <c r="L908" s="711"/>
      <c r="M908" s="710">
        <f t="shared" ref="M908:M918" si="174">+K908*L908/1000</f>
        <v>0</v>
      </c>
      <c r="N908" s="710"/>
      <c r="O908" s="711"/>
      <c r="P908" s="710">
        <f t="shared" ref="P908:P918" si="175">+N908*O908/1000</f>
        <v>0</v>
      </c>
      <c r="Q908" s="710"/>
      <c r="R908" s="711"/>
      <c r="S908" s="710">
        <f t="shared" ref="S908:S918" si="176">+Q908*R908/1000</f>
        <v>0</v>
      </c>
      <c r="T908" s="710"/>
      <c r="U908" s="711"/>
      <c r="V908" s="710">
        <f t="shared" ref="V908:V918" si="177">+T908*U908/1000</f>
        <v>0</v>
      </c>
      <c r="W908" s="710">
        <f t="shared" ref="W908:W918" si="178">B908+E908+H908+K908+N908+Q908+T908</f>
        <v>26148</v>
      </c>
      <c r="X908" s="712">
        <f t="shared" ref="X908:X918" si="179">D908+G908+J908+M908+P908+S908+V908</f>
        <v>15563.175000000003</v>
      </c>
      <c r="Z908" s="783"/>
    </row>
    <row r="909" spans="1:26" ht="15.75" x14ac:dyDescent="0.25">
      <c r="A909" s="709" t="s">
        <v>132</v>
      </c>
      <c r="B909" s="710">
        <v>0</v>
      </c>
      <c r="C909" s="711"/>
      <c r="D909" s="710">
        <f t="shared" ref="D909:D918" si="180">+B909*C909/1000</f>
        <v>0</v>
      </c>
      <c r="E909" s="710">
        <v>0</v>
      </c>
      <c r="F909" s="711"/>
      <c r="G909" s="710">
        <f t="shared" si="172"/>
        <v>0</v>
      </c>
      <c r="H909" s="710">
        <v>72</v>
      </c>
      <c r="I909" s="711">
        <v>462</v>
      </c>
      <c r="J909" s="710">
        <f t="shared" si="173"/>
        <v>33.264000000000003</v>
      </c>
      <c r="K909" s="710"/>
      <c r="L909" s="711"/>
      <c r="M909" s="710">
        <f t="shared" si="174"/>
        <v>0</v>
      </c>
      <c r="N909" s="710"/>
      <c r="O909" s="711"/>
      <c r="P909" s="710">
        <f t="shared" si="175"/>
        <v>0</v>
      </c>
      <c r="Q909" s="710"/>
      <c r="R909" s="711"/>
      <c r="S909" s="710">
        <f t="shared" si="176"/>
        <v>0</v>
      </c>
      <c r="T909" s="710"/>
      <c r="U909" s="711"/>
      <c r="V909" s="710">
        <f t="shared" si="177"/>
        <v>0</v>
      </c>
      <c r="W909" s="710">
        <f t="shared" si="178"/>
        <v>72</v>
      </c>
      <c r="X909" s="712">
        <f t="shared" si="179"/>
        <v>33.264000000000003</v>
      </c>
      <c r="Z909" s="783"/>
    </row>
    <row r="910" spans="1:26" ht="15.75" x14ac:dyDescent="0.25">
      <c r="A910" s="709" t="s">
        <v>103</v>
      </c>
      <c r="B910" s="710">
        <v>73966</v>
      </c>
      <c r="C910" s="713">
        <v>764.3096693075197</v>
      </c>
      <c r="D910" s="710">
        <f t="shared" si="180"/>
        <v>56532.928999999996</v>
      </c>
      <c r="E910" s="710">
        <v>47596</v>
      </c>
      <c r="F910" s="713">
        <v>446.71961929573916</v>
      </c>
      <c r="G910" s="710">
        <f t="shared" si="172"/>
        <v>21262.066999999999</v>
      </c>
      <c r="H910" s="710">
        <v>36128</v>
      </c>
      <c r="I910" s="713">
        <v>713.2279118689105</v>
      </c>
      <c r="J910" s="710">
        <f t="shared" si="173"/>
        <v>25767.498</v>
      </c>
      <c r="K910" s="710"/>
      <c r="L910" s="713"/>
      <c r="M910" s="710">
        <f t="shared" si="174"/>
        <v>0</v>
      </c>
      <c r="N910" s="710"/>
      <c r="O910" s="713"/>
      <c r="P910" s="710">
        <f t="shared" si="175"/>
        <v>0</v>
      </c>
      <c r="Q910" s="710"/>
      <c r="R910" s="713"/>
      <c r="S910" s="710">
        <f t="shared" si="176"/>
        <v>0</v>
      </c>
      <c r="T910" s="710"/>
      <c r="U910" s="713"/>
      <c r="V910" s="710">
        <f t="shared" si="177"/>
        <v>0</v>
      </c>
      <c r="W910" s="710">
        <f t="shared" si="178"/>
        <v>157690</v>
      </c>
      <c r="X910" s="712">
        <f t="shared" si="179"/>
        <v>103562.49400000001</v>
      </c>
      <c r="Z910" s="783"/>
    </row>
    <row r="911" spans="1:26" ht="15.75" x14ac:dyDescent="0.25">
      <c r="A911" s="709" t="s">
        <v>104</v>
      </c>
      <c r="B911" s="710">
        <v>26005</v>
      </c>
      <c r="C911" s="711">
        <v>523.72743703134017</v>
      </c>
      <c r="D911" s="710">
        <f t="shared" si="180"/>
        <v>13619.532000000001</v>
      </c>
      <c r="E911" s="710">
        <v>16911</v>
      </c>
      <c r="F911" s="711">
        <v>310.59582520253088</v>
      </c>
      <c r="G911" s="710">
        <f t="shared" si="172"/>
        <v>5252.4859999999999</v>
      </c>
      <c r="H911" s="710">
        <v>6160</v>
      </c>
      <c r="I911" s="711">
        <v>365.45097402597401</v>
      </c>
      <c r="J911" s="710">
        <f t="shared" si="173"/>
        <v>2251.1779999999999</v>
      </c>
      <c r="K911" s="710"/>
      <c r="L911" s="711"/>
      <c r="M911" s="710">
        <f t="shared" si="174"/>
        <v>0</v>
      </c>
      <c r="N911" s="710"/>
      <c r="O911" s="711"/>
      <c r="P911" s="710">
        <f t="shared" si="175"/>
        <v>0</v>
      </c>
      <c r="Q911" s="710"/>
      <c r="R911" s="711"/>
      <c r="S911" s="710">
        <f t="shared" si="176"/>
        <v>0</v>
      </c>
      <c r="T911" s="710"/>
      <c r="U911" s="711"/>
      <c r="V911" s="710">
        <f t="shared" si="177"/>
        <v>0</v>
      </c>
      <c r="W911" s="710">
        <f t="shared" si="178"/>
        <v>49076</v>
      </c>
      <c r="X911" s="712">
        <f t="shared" si="179"/>
        <v>21123.196</v>
      </c>
      <c r="Z911" s="783"/>
    </row>
    <row r="912" spans="1:26" ht="15.75" x14ac:dyDescent="0.25">
      <c r="A912" s="709" t="s">
        <v>133</v>
      </c>
      <c r="B912" s="710">
        <v>49902</v>
      </c>
      <c r="C912" s="711">
        <v>200</v>
      </c>
      <c r="D912" s="710">
        <f t="shared" si="180"/>
        <v>9980.4</v>
      </c>
      <c r="E912" s="710">
        <v>14159</v>
      </c>
      <c r="F912" s="711">
        <v>250</v>
      </c>
      <c r="G912" s="710">
        <f t="shared" si="172"/>
        <v>3539.75</v>
      </c>
      <c r="H912" s="710">
        <v>29598</v>
      </c>
      <c r="I912" s="711">
        <v>450</v>
      </c>
      <c r="J912" s="710">
        <f t="shared" si="173"/>
        <v>13319.1</v>
      </c>
      <c r="K912" s="710"/>
      <c r="L912" s="711"/>
      <c r="M912" s="710">
        <f t="shared" si="174"/>
        <v>0</v>
      </c>
      <c r="N912" s="710">
        <v>1524</v>
      </c>
      <c r="O912" s="711">
        <v>950</v>
      </c>
      <c r="P912" s="710">
        <f t="shared" si="175"/>
        <v>1447.8</v>
      </c>
      <c r="Q912" s="710"/>
      <c r="R912" s="711"/>
      <c r="S912" s="710">
        <f t="shared" si="176"/>
        <v>0</v>
      </c>
      <c r="T912" s="710"/>
      <c r="U912" s="711"/>
      <c r="V912" s="710">
        <f t="shared" si="177"/>
        <v>0</v>
      </c>
      <c r="W912" s="710">
        <f t="shared" si="178"/>
        <v>95183</v>
      </c>
      <c r="X912" s="712">
        <f t="shared" si="179"/>
        <v>28287.05</v>
      </c>
      <c r="Z912" s="783"/>
    </row>
    <row r="913" spans="1:26" ht="15.75" x14ac:dyDescent="0.25">
      <c r="A913" s="709" t="s">
        <v>21</v>
      </c>
      <c r="B913" s="710">
        <v>0</v>
      </c>
      <c r="C913" s="711"/>
      <c r="D913" s="710">
        <f t="shared" si="180"/>
        <v>0</v>
      </c>
      <c r="E913" s="710">
        <v>0</v>
      </c>
      <c r="F913" s="711"/>
      <c r="G913" s="710">
        <f t="shared" si="172"/>
        <v>0</v>
      </c>
      <c r="H913" s="710">
        <v>42</v>
      </c>
      <c r="I913" s="711">
        <v>75</v>
      </c>
      <c r="J913" s="710">
        <f t="shared" si="173"/>
        <v>3.15</v>
      </c>
      <c r="K913" s="710"/>
      <c r="L913" s="711"/>
      <c r="M913" s="710">
        <f t="shared" si="174"/>
        <v>0</v>
      </c>
      <c r="N913" s="710"/>
      <c r="O913" s="711"/>
      <c r="P913" s="710">
        <f t="shared" si="175"/>
        <v>0</v>
      </c>
      <c r="Q913" s="710"/>
      <c r="R913" s="711"/>
      <c r="S913" s="710">
        <f t="shared" si="176"/>
        <v>0</v>
      </c>
      <c r="T913" s="710"/>
      <c r="U913" s="711"/>
      <c r="V913" s="710">
        <f t="shared" si="177"/>
        <v>0</v>
      </c>
      <c r="W913" s="710">
        <f t="shared" si="178"/>
        <v>42</v>
      </c>
      <c r="X913" s="712">
        <f t="shared" si="179"/>
        <v>3.15</v>
      </c>
      <c r="Z913" s="783"/>
    </row>
    <row r="914" spans="1:26" ht="15.75" x14ac:dyDescent="0.25">
      <c r="A914" s="709" t="s">
        <v>22</v>
      </c>
      <c r="B914" s="710">
        <v>752</v>
      </c>
      <c r="C914" s="713">
        <v>1300</v>
      </c>
      <c r="D914" s="710">
        <f t="shared" si="180"/>
        <v>977.6</v>
      </c>
      <c r="E914" s="710">
        <v>16691</v>
      </c>
      <c r="F914" s="713">
        <v>250</v>
      </c>
      <c r="G914" s="710">
        <f t="shared" si="172"/>
        <v>4172.75</v>
      </c>
      <c r="H914" s="710">
        <v>1055</v>
      </c>
      <c r="I914" s="713">
        <v>1100</v>
      </c>
      <c r="J914" s="710">
        <f t="shared" si="173"/>
        <v>1160.5</v>
      </c>
      <c r="K914" s="710"/>
      <c r="L914" s="713"/>
      <c r="M914" s="710">
        <f t="shared" si="174"/>
        <v>0</v>
      </c>
      <c r="N914" s="710">
        <v>248.3</v>
      </c>
      <c r="O914" s="713">
        <v>19400</v>
      </c>
      <c r="P914" s="710">
        <f t="shared" si="175"/>
        <v>4817.0200000000004</v>
      </c>
      <c r="Q914" s="714">
        <v>7079</v>
      </c>
      <c r="R914" s="715">
        <v>16647.965715496539</v>
      </c>
      <c r="S914" s="710">
        <f t="shared" si="176"/>
        <v>117850.94929999999</v>
      </c>
      <c r="T914" s="710"/>
      <c r="U914" s="713"/>
      <c r="V914" s="710">
        <f t="shared" si="177"/>
        <v>0</v>
      </c>
      <c r="W914" s="710">
        <f t="shared" si="178"/>
        <v>25825.3</v>
      </c>
      <c r="X914" s="712">
        <f t="shared" si="179"/>
        <v>128978.81929999999</v>
      </c>
      <c r="Z914" s="783"/>
    </row>
    <row r="915" spans="1:26" ht="15.75" x14ac:dyDescent="0.25">
      <c r="A915" s="709" t="s">
        <v>23</v>
      </c>
      <c r="B915" s="710">
        <v>209261</v>
      </c>
      <c r="C915" s="711">
        <v>1133</v>
      </c>
      <c r="D915" s="710">
        <f t="shared" si="180"/>
        <v>237092.71299999999</v>
      </c>
      <c r="E915" s="710">
        <v>59052</v>
      </c>
      <c r="F915" s="711">
        <v>433</v>
      </c>
      <c r="G915" s="710">
        <f t="shared" si="172"/>
        <v>25569.516</v>
      </c>
      <c r="H915" s="710">
        <v>12231</v>
      </c>
      <c r="I915" s="711">
        <v>503</v>
      </c>
      <c r="J915" s="710">
        <f t="shared" si="173"/>
        <v>6152.1930000000002</v>
      </c>
      <c r="K915" s="710"/>
      <c r="L915" s="711"/>
      <c r="M915" s="710">
        <f t="shared" si="174"/>
        <v>0</v>
      </c>
      <c r="N915" s="710"/>
      <c r="O915" s="711"/>
      <c r="P915" s="710">
        <f t="shared" si="175"/>
        <v>0</v>
      </c>
      <c r="Q915" s="710"/>
      <c r="R915" s="711"/>
      <c r="S915" s="710">
        <f t="shared" si="176"/>
        <v>0</v>
      </c>
      <c r="T915" s="710"/>
      <c r="U915" s="711"/>
      <c r="V915" s="710">
        <f t="shared" si="177"/>
        <v>0</v>
      </c>
      <c r="W915" s="710">
        <f t="shared" si="178"/>
        <v>280544</v>
      </c>
      <c r="X915" s="712">
        <f t="shared" si="179"/>
        <v>268814.42200000002</v>
      </c>
      <c r="Z915" s="783"/>
    </row>
    <row r="916" spans="1:26" ht="15.75" x14ac:dyDescent="0.25">
      <c r="A916" s="709" t="s">
        <v>24</v>
      </c>
      <c r="B916" s="710">
        <v>6756</v>
      </c>
      <c r="C916" s="711">
        <v>966</v>
      </c>
      <c r="D916" s="710">
        <f t="shared" si="180"/>
        <v>6526.2960000000003</v>
      </c>
      <c r="E916" s="710">
        <v>6823</v>
      </c>
      <c r="F916" s="711">
        <v>590</v>
      </c>
      <c r="G916" s="710">
        <f t="shared" si="172"/>
        <v>4025.57</v>
      </c>
      <c r="H916" s="710">
        <v>2598</v>
      </c>
      <c r="I916" s="711">
        <v>798</v>
      </c>
      <c r="J916" s="710">
        <f t="shared" si="173"/>
        <v>2073.2040000000002</v>
      </c>
      <c r="K916" s="710">
        <v>444</v>
      </c>
      <c r="L916" s="711">
        <v>999</v>
      </c>
      <c r="M916" s="710">
        <f t="shared" si="174"/>
        <v>443.55599999999998</v>
      </c>
      <c r="N916" s="710">
        <v>1817</v>
      </c>
      <c r="O916" s="711">
        <v>10822</v>
      </c>
      <c r="P916" s="710">
        <f t="shared" si="175"/>
        <v>19663.574000000001</v>
      </c>
      <c r="Q916" s="710">
        <v>2251</v>
      </c>
      <c r="R916" s="711">
        <v>11029</v>
      </c>
      <c r="S916" s="710">
        <f t="shared" si="176"/>
        <v>24826.278999999999</v>
      </c>
      <c r="T916" s="710"/>
      <c r="U916" s="711"/>
      <c r="V916" s="710">
        <f t="shared" si="177"/>
        <v>0</v>
      </c>
      <c r="W916" s="710">
        <f t="shared" si="178"/>
        <v>20689</v>
      </c>
      <c r="X916" s="712">
        <f t="shared" si="179"/>
        <v>57558.478999999999</v>
      </c>
      <c r="Z916" s="783"/>
    </row>
    <row r="917" spans="1:26" ht="15.75" x14ac:dyDescent="0.25">
      <c r="A917" s="709" t="s">
        <v>134</v>
      </c>
      <c r="B917" s="710">
        <v>80396</v>
      </c>
      <c r="C917" s="711">
        <v>732.74292253345948</v>
      </c>
      <c r="D917" s="710">
        <f t="shared" si="180"/>
        <v>58909.600000000006</v>
      </c>
      <c r="E917" s="710">
        <v>65166</v>
      </c>
      <c r="F917" s="711">
        <v>702.30334837185035</v>
      </c>
      <c r="G917" s="710">
        <f t="shared" si="172"/>
        <v>45766.3</v>
      </c>
      <c r="H917" s="710">
        <v>24805</v>
      </c>
      <c r="I917" s="711">
        <v>500</v>
      </c>
      <c r="J917" s="710">
        <f t="shared" si="173"/>
        <v>12402.5</v>
      </c>
      <c r="K917" s="710"/>
      <c r="L917" s="711"/>
      <c r="M917" s="710">
        <f t="shared" si="174"/>
        <v>0</v>
      </c>
      <c r="N917" s="710"/>
      <c r="O917" s="711"/>
      <c r="P917" s="710">
        <f t="shared" si="175"/>
        <v>0</v>
      </c>
      <c r="Q917" s="710"/>
      <c r="R917" s="711"/>
      <c r="S917" s="710">
        <f t="shared" si="176"/>
        <v>0</v>
      </c>
      <c r="T917" s="710"/>
      <c r="U917" s="711"/>
      <c r="V917" s="710">
        <f t="shared" si="177"/>
        <v>0</v>
      </c>
      <c r="W917" s="710">
        <f t="shared" si="178"/>
        <v>170367</v>
      </c>
      <c r="X917" s="712">
        <f t="shared" si="179"/>
        <v>117078.40000000001</v>
      </c>
      <c r="Z917" s="783"/>
    </row>
    <row r="918" spans="1:26" ht="15.75" x14ac:dyDescent="0.25">
      <c r="A918" s="709" t="s">
        <v>161</v>
      </c>
      <c r="B918" s="710">
        <v>26816</v>
      </c>
      <c r="C918" s="711">
        <v>1724.0509397374701</v>
      </c>
      <c r="D918" s="710">
        <f t="shared" si="180"/>
        <v>46232.15</v>
      </c>
      <c r="E918" s="710">
        <v>4562</v>
      </c>
      <c r="F918" s="711">
        <v>264.47172292854009</v>
      </c>
      <c r="G918" s="710">
        <f t="shared" si="172"/>
        <v>1206.52</v>
      </c>
      <c r="H918" s="710">
        <v>7933</v>
      </c>
      <c r="I918" s="711">
        <v>498.06189335686372</v>
      </c>
      <c r="J918" s="710">
        <f t="shared" si="173"/>
        <v>3951.125</v>
      </c>
      <c r="K918" s="710"/>
      <c r="L918" s="711"/>
      <c r="M918" s="710">
        <f t="shared" si="174"/>
        <v>0</v>
      </c>
      <c r="N918" s="710"/>
      <c r="O918" s="711"/>
      <c r="P918" s="710">
        <f t="shared" si="175"/>
        <v>0</v>
      </c>
      <c r="Q918" s="710"/>
      <c r="R918" s="711"/>
      <c r="S918" s="710">
        <f t="shared" si="176"/>
        <v>0</v>
      </c>
      <c r="T918" s="710"/>
      <c r="U918" s="711"/>
      <c r="V918" s="710">
        <f t="shared" si="177"/>
        <v>0</v>
      </c>
      <c r="W918" s="710">
        <f t="shared" si="178"/>
        <v>39311</v>
      </c>
      <c r="X918" s="712">
        <f t="shared" si="179"/>
        <v>51389.794999999998</v>
      </c>
      <c r="Z918" s="783"/>
    </row>
    <row r="919" spans="1:26" ht="15.75" x14ac:dyDescent="0.25">
      <c r="A919" s="716" t="s">
        <v>176</v>
      </c>
      <c r="B919" s="717">
        <f>SUM(B908:B918)</f>
        <v>494586</v>
      </c>
      <c r="C919" s="713"/>
      <c r="D919" s="717">
        <f>SUM(D908:D918)</f>
        <v>442233.95999999996</v>
      </c>
      <c r="E919" s="717">
        <f>SUM(E908:E918)</f>
        <v>233180</v>
      </c>
      <c r="F919" s="713"/>
      <c r="G919" s="717">
        <f>SUM(G908:G918)</f>
        <v>112020.713</v>
      </c>
      <c r="H919" s="717">
        <f>SUM(H908:H918)</f>
        <v>123818</v>
      </c>
      <c r="I919" s="713"/>
      <c r="J919" s="717">
        <f>SUM(J908:J918)</f>
        <v>69088.392999999996</v>
      </c>
      <c r="K919" s="717">
        <f>SUM(K908:K918)</f>
        <v>444</v>
      </c>
      <c r="L919" s="713"/>
      <c r="M919" s="717">
        <f>SUM(M908:M918)</f>
        <v>443.55599999999998</v>
      </c>
      <c r="N919" s="717">
        <f>SUM(N908:N918)</f>
        <v>3589.3</v>
      </c>
      <c r="O919" s="713"/>
      <c r="P919" s="717">
        <f>SUM(P908:P918)</f>
        <v>25928.394</v>
      </c>
      <c r="Q919" s="717">
        <f>SUM(Q908:Q918)</f>
        <v>9330</v>
      </c>
      <c r="R919" s="713"/>
      <c r="S919" s="717">
        <f>SUM(S908:S918)</f>
        <v>142677.22829999999</v>
      </c>
      <c r="T919" s="717">
        <f>SUM(T908:T918)</f>
        <v>0</v>
      </c>
      <c r="U919" s="713"/>
      <c r="V919" s="717">
        <f>SUM(V908:V918)</f>
        <v>0</v>
      </c>
      <c r="W919" s="717">
        <f>SUM(W908:W918)</f>
        <v>864947.3</v>
      </c>
      <c r="X919" s="717">
        <f>SUM(X908:X918)</f>
        <v>792392.24430000014</v>
      </c>
      <c r="Z919" s="783"/>
    </row>
    <row r="920" spans="1:26" ht="15.75" x14ac:dyDescent="0.25">
      <c r="A920" s="709" t="s">
        <v>135</v>
      </c>
      <c r="B920" s="710">
        <v>48868</v>
      </c>
      <c r="C920" s="711">
        <v>1300.8126176639109</v>
      </c>
      <c r="D920" s="710">
        <f t="shared" ref="D920:D926" si="181">+B920*C920/1000</f>
        <v>63568.110999999997</v>
      </c>
      <c r="E920" s="710">
        <v>26692</v>
      </c>
      <c r="F920" s="711">
        <v>384.35868424996255</v>
      </c>
      <c r="G920" s="710">
        <f t="shared" ref="G920:G926" si="182">+E920*F920/1000</f>
        <v>10259.302</v>
      </c>
      <c r="H920" s="710">
        <v>24084</v>
      </c>
      <c r="I920" s="711">
        <v>375.92708852350114</v>
      </c>
      <c r="J920" s="710">
        <f t="shared" ref="J920:J926" si="183">+H920*I920/1000</f>
        <v>9053.8280000000013</v>
      </c>
      <c r="K920" s="710"/>
      <c r="L920" s="711"/>
      <c r="M920" s="710">
        <f t="shared" ref="M920:M926" si="184">+K920*L920/1000</f>
        <v>0</v>
      </c>
      <c r="N920" s="710">
        <v>8449</v>
      </c>
      <c r="O920" s="711">
        <v>3792.5358030536158</v>
      </c>
      <c r="P920" s="710">
        <f t="shared" ref="P920:P926" si="185">+N920*O920/1000</f>
        <v>32043.134999999998</v>
      </c>
      <c r="Q920" s="710"/>
      <c r="R920" s="711"/>
      <c r="S920" s="710">
        <f t="shared" ref="S920:S926" si="186">+Q920*R920/1000</f>
        <v>0</v>
      </c>
      <c r="T920" s="710"/>
      <c r="U920" s="711"/>
      <c r="V920" s="710">
        <f t="shared" ref="V920:V926" si="187">+T920*U920/1000</f>
        <v>0</v>
      </c>
      <c r="W920" s="710">
        <v>108093</v>
      </c>
      <c r="X920" s="712">
        <f t="shared" ref="X920:X926" si="188">D920+G920+J920+M920+P920+S920+V920</f>
        <v>114924.376</v>
      </c>
      <c r="Z920" s="783"/>
    </row>
    <row r="921" spans="1:26" ht="15.75" x14ac:dyDescent="0.25">
      <c r="A921" s="709" t="s">
        <v>136</v>
      </c>
      <c r="B921" s="710">
        <v>24201</v>
      </c>
      <c r="C921" s="713">
        <v>776.73910169001283</v>
      </c>
      <c r="D921" s="710">
        <f t="shared" si="181"/>
        <v>18797.863000000001</v>
      </c>
      <c r="E921" s="710">
        <v>19514</v>
      </c>
      <c r="F921" s="713">
        <v>428.89832940453005</v>
      </c>
      <c r="G921" s="710">
        <f t="shared" si="182"/>
        <v>8369.521999999999</v>
      </c>
      <c r="H921" s="710">
        <v>13672</v>
      </c>
      <c r="I921" s="713">
        <v>480.05558806319493</v>
      </c>
      <c r="J921" s="710">
        <f t="shared" si="183"/>
        <v>6563.3200000000006</v>
      </c>
      <c r="K921" s="710"/>
      <c r="L921" s="713"/>
      <c r="M921" s="710">
        <f t="shared" si="184"/>
        <v>0</v>
      </c>
      <c r="N921" s="710">
        <v>4037</v>
      </c>
      <c r="O921" s="713">
        <v>5055.5798860540008</v>
      </c>
      <c r="P921" s="710">
        <f t="shared" si="185"/>
        <v>20409.376</v>
      </c>
      <c r="Q921" s="710"/>
      <c r="R921" s="713"/>
      <c r="S921" s="710">
        <f t="shared" si="186"/>
        <v>0</v>
      </c>
      <c r="T921" s="710">
        <v>1560</v>
      </c>
      <c r="U921" s="713">
        <v>2030</v>
      </c>
      <c r="V921" s="710">
        <f t="shared" si="187"/>
        <v>3166.8</v>
      </c>
      <c r="W921" s="710">
        <f>B921+E921+H921+K921+N921+Q921+T921</f>
        <v>62984</v>
      </c>
      <c r="X921" s="712">
        <f t="shared" si="188"/>
        <v>57306.881000000008</v>
      </c>
      <c r="Z921" s="783"/>
    </row>
    <row r="922" spans="1:26" ht="15.75" x14ac:dyDescent="0.25">
      <c r="A922" s="709" t="s">
        <v>137</v>
      </c>
      <c r="B922" s="710">
        <v>39776</v>
      </c>
      <c r="C922" s="713">
        <v>895.23230088495575</v>
      </c>
      <c r="D922" s="710">
        <f t="shared" si="181"/>
        <v>35608.76</v>
      </c>
      <c r="E922" s="710">
        <v>13382</v>
      </c>
      <c r="F922" s="713">
        <v>532.45852637871781</v>
      </c>
      <c r="G922" s="710">
        <f t="shared" si="182"/>
        <v>7125.3600000000015</v>
      </c>
      <c r="H922" s="710">
        <v>3754</v>
      </c>
      <c r="I922" s="713">
        <v>565.26771443793291</v>
      </c>
      <c r="J922" s="710">
        <f t="shared" si="183"/>
        <v>2122.0149999999999</v>
      </c>
      <c r="K922" s="710"/>
      <c r="L922" s="713"/>
      <c r="M922" s="710">
        <f t="shared" si="184"/>
        <v>0</v>
      </c>
      <c r="N922" s="710">
        <v>986</v>
      </c>
      <c r="O922" s="713">
        <v>2615.8975659229209</v>
      </c>
      <c r="P922" s="710">
        <f t="shared" si="185"/>
        <v>2579.2750000000001</v>
      </c>
      <c r="Q922" s="710"/>
      <c r="R922" s="713"/>
      <c r="S922" s="710">
        <f t="shared" si="186"/>
        <v>0</v>
      </c>
      <c r="T922" s="710">
        <v>739</v>
      </c>
      <c r="U922" s="713">
        <v>1468</v>
      </c>
      <c r="V922" s="710">
        <f t="shared" si="187"/>
        <v>1084.8520000000001</v>
      </c>
      <c r="W922" s="710">
        <f>B922+E922+H922+K922+N922+Q922+T922</f>
        <v>58637</v>
      </c>
      <c r="X922" s="712">
        <f t="shared" si="188"/>
        <v>48520.262000000002</v>
      </c>
      <c r="Z922" s="783"/>
    </row>
    <row r="923" spans="1:26" ht="15.75" x14ac:dyDescent="0.25">
      <c r="A923" s="709" t="s">
        <v>73</v>
      </c>
      <c r="B923" s="710">
        <v>29511</v>
      </c>
      <c r="C923" s="711">
        <v>1447.4088306055369</v>
      </c>
      <c r="D923" s="710">
        <f t="shared" si="181"/>
        <v>42714.482000000004</v>
      </c>
      <c r="E923" s="710">
        <v>13206</v>
      </c>
      <c r="F923" s="711">
        <v>502.46781765864006</v>
      </c>
      <c r="G923" s="710">
        <f t="shared" si="182"/>
        <v>6635.5900000000011</v>
      </c>
      <c r="H923" s="710">
        <v>13366</v>
      </c>
      <c r="I923" s="711">
        <v>660.53478976507552</v>
      </c>
      <c r="J923" s="710">
        <f t="shared" si="183"/>
        <v>8828.7080000000005</v>
      </c>
      <c r="K923" s="710"/>
      <c r="L923" s="711"/>
      <c r="M923" s="710">
        <f t="shared" si="184"/>
        <v>0</v>
      </c>
      <c r="N923" s="710">
        <v>1229</v>
      </c>
      <c r="O923" s="711">
        <v>2150.4434499593167</v>
      </c>
      <c r="P923" s="710">
        <f t="shared" si="185"/>
        <v>2642.895</v>
      </c>
      <c r="Q923" s="710"/>
      <c r="R923" s="711"/>
      <c r="S923" s="710">
        <f t="shared" si="186"/>
        <v>0</v>
      </c>
      <c r="T923" s="710"/>
      <c r="U923" s="711"/>
      <c r="V923" s="710">
        <f t="shared" si="187"/>
        <v>0</v>
      </c>
      <c r="W923" s="710">
        <v>57312</v>
      </c>
      <c r="X923" s="712">
        <f t="shared" si="188"/>
        <v>60821.675000000003</v>
      </c>
      <c r="Z923" s="783"/>
    </row>
    <row r="924" spans="1:26" ht="15.75" x14ac:dyDescent="0.25">
      <c r="A924" s="709" t="s">
        <v>162</v>
      </c>
      <c r="B924" s="710">
        <v>69327</v>
      </c>
      <c r="C924" s="711">
        <v>1222.4000461580624</v>
      </c>
      <c r="D924" s="710">
        <f t="shared" si="181"/>
        <v>84745.327999999994</v>
      </c>
      <c r="E924" s="710">
        <v>60675</v>
      </c>
      <c r="F924" s="711">
        <v>516.73374536464769</v>
      </c>
      <c r="G924" s="710">
        <f t="shared" si="182"/>
        <v>31352.82</v>
      </c>
      <c r="H924" s="710">
        <v>11127</v>
      </c>
      <c r="I924" s="711">
        <v>630.03442077828709</v>
      </c>
      <c r="J924" s="710">
        <f t="shared" si="183"/>
        <v>7010.393</v>
      </c>
      <c r="K924" s="710"/>
      <c r="L924" s="711"/>
      <c r="M924" s="710">
        <f t="shared" si="184"/>
        <v>0</v>
      </c>
      <c r="N924" s="710">
        <v>4321</v>
      </c>
      <c r="O924" s="711">
        <v>12865.737329321917</v>
      </c>
      <c r="P924" s="710">
        <f t="shared" si="185"/>
        <v>55592.851000000002</v>
      </c>
      <c r="Q924" s="710"/>
      <c r="R924" s="711"/>
      <c r="S924" s="710">
        <f t="shared" si="186"/>
        <v>0</v>
      </c>
      <c r="T924" s="710"/>
      <c r="U924" s="711"/>
      <c r="V924" s="710">
        <f t="shared" si="187"/>
        <v>0</v>
      </c>
      <c r="W924" s="710">
        <v>145450</v>
      </c>
      <c r="X924" s="712">
        <f t="shared" si="188"/>
        <v>178701.39199999999</v>
      </c>
      <c r="Z924" s="783"/>
    </row>
    <row r="925" spans="1:26" ht="15.75" x14ac:dyDescent="0.25">
      <c r="A925" s="709" t="s">
        <v>163</v>
      </c>
      <c r="B925" s="710">
        <v>44915</v>
      </c>
      <c r="C925" s="711">
        <v>1452.9611933652452</v>
      </c>
      <c r="D925" s="710">
        <f t="shared" si="181"/>
        <v>65259.751999999986</v>
      </c>
      <c r="E925" s="710">
        <v>42697</v>
      </c>
      <c r="F925" s="711">
        <v>537.3399770475678</v>
      </c>
      <c r="G925" s="710">
        <f t="shared" si="182"/>
        <v>22942.805000000004</v>
      </c>
      <c r="H925" s="710">
        <v>14183</v>
      </c>
      <c r="I925" s="711">
        <v>497.60981456673477</v>
      </c>
      <c r="J925" s="710">
        <f t="shared" si="183"/>
        <v>7057.5999999999995</v>
      </c>
      <c r="K925" s="710"/>
      <c r="L925" s="711"/>
      <c r="M925" s="710">
        <f t="shared" si="184"/>
        <v>0</v>
      </c>
      <c r="N925" s="710">
        <v>5531</v>
      </c>
      <c r="O925" s="711">
        <v>3526.8141384921355</v>
      </c>
      <c r="P925" s="710">
        <f t="shared" si="185"/>
        <v>19506.809000000001</v>
      </c>
      <c r="Q925" s="710"/>
      <c r="R925" s="711"/>
      <c r="S925" s="710">
        <f t="shared" si="186"/>
        <v>0</v>
      </c>
      <c r="T925" s="710"/>
      <c r="U925" s="711"/>
      <c r="V925" s="710">
        <f t="shared" si="187"/>
        <v>0</v>
      </c>
      <c r="W925" s="710">
        <v>107326</v>
      </c>
      <c r="X925" s="712">
        <f t="shared" si="188"/>
        <v>114766.96599999999</v>
      </c>
      <c r="Z925" s="783"/>
    </row>
    <row r="926" spans="1:26" ht="15.75" x14ac:dyDescent="0.25">
      <c r="A926" s="709" t="s">
        <v>27</v>
      </c>
      <c r="B926" s="710">
        <v>23420</v>
      </c>
      <c r="C926" s="711">
        <v>1629.3483347566182</v>
      </c>
      <c r="D926" s="710">
        <f t="shared" si="181"/>
        <v>38159.338000000003</v>
      </c>
      <c r="E926" s="710">
        <v>12216</v>
      </c>
      <c r="F926" s="711">
        <v>502.77210216110018</v>
      </c>
      <c r="G926" s="710">
        <f t="shared" si="182"/>
        <v>6141.8639999999996</v>
      </c>
      <c r="H926" s="710">
        <v>7603</v>
      </c>
      <c r="I926" s="711">
        <v>552.12652900170986</v>
      </c>
      <c r="J926" s="710">
        <f t="shared" si="183"/>
        <v>4197.8180000000002</v>
      </c>
      <c r="K926" s="710"/>
      <c r="L926" s="711"/>
      <c r="M926" s="710">
        <f t="shared" si="184"/>
        <v>0</v>
      </c>
      <c r="N926" s="710">
        <v>2540</v>
      </c>
      <c r="O926" s="711">
        <v>3222.4338582677165</v>
      </c>
      <c r="P926" s="710">
        <f t="shared" si="185"/>
        <v>8184.982</v>
      </c>
      <c r="Q926" s="710"/>
      <c r="R926" s="711"/>
      <c r="S926" s="710">
        <f t="shared" si="186"/>
        <v>0</v>
      </c>
      <c r="T926" s="710"/>
      <c r="U926" s="711"/>
      <c r="V926" s="710">
        <f t="shared" si="187"/>
        <v>0</v>
      </c>
      <c r="W926" s="710">
        <v>45779</v>
      </c>
      <c r="X926" s="712">
        <f t="shared" si="188"/>
        <v>56684.002000000008</v>
      </c>
      <c r="Z926" s="783"/>
    </row>
    <row r="927" spans="1:26" ht="15.75" x14ac:dyDescent="0.25">
      <c r="A927" s="718" t="s">
        <v>177</v>
      </c>
      <c r="B927" s="717">
        <f>SUM(B920:B926)</f>
        <v>280018</v>
      </c>
      <c r="C927" s="717"/>
      <c r="D927" s="717">
        <f>SUM(D920:D926)</f>
        <v>348853.63399999996</v>
      </c>
      <c r="E927" s="717">
        <f>SUM(E920:E926)</f>
        <v>188382</v>
      </c>
      <c r="F927" s="717"/>
      <c r="G927" s="717">
        <f>SUM(G920:G926)</f>
        <v>92827.263000000006</v>
      </c>
      <c r="H927" s="717">
        <f>SUM(H920:H926)</f>
        <v>87789</v>
      </c>
      <c r="I927" s="719"/>
      <c r="J927" s="717">
        <f>SUM(J920:J926)</f>
        <v>44833.681999999993</v>
      </c>
      <c r="K927" s="717">
        <f>SUM(K920:K926)</f>
        <v>0</v>
      </c>
      <c r="L927" s="717"/>
      <c r="M927" s="717">
        <f>SUM(M920:M926)</f>
        <v>0</v>
      </c>
      <c r="N927" s="717">
        <f>SUM(N920:N926)</f>
        <v>27093</v>
      </c>
      <c r="O927" s="717"/>
      <c r="P927" s="717">
        <f>SUM(P920:P926)</f>
        <v>140959.323</v>
      </c>
      <c r="Q927" s="717">
        <f>SUM(Q920:Q926)</f>
        <v>0</v>
      </c>
      <c r="R927" s="717"/>
      <c r="S927" s="717">
        <f>SUM(S920:S926)</f>
        <v>0</v>
      </c>
      <c r="T927" s="717">
        <f>SUM(T920:T926)</f>
        <v>2299</v>
      </c>
      <c r="U927" s="717"/>
      <c r="V927" s="717">
        <f>SUM(V920:V926)</f>
        <v>4251.652</v>
      </c>
      <c r="W927" s="717">
        <f>SUM(W920:W926)</f>
        <v>585581</v>
      </c>
      <c r="X927" s="717">
        <f>SUM(X920:X926)</f>
        <v>631725.554</v>
      </c>
      <c r="Z927" s="783"/>
    </row>
    <row r="928" spans="1:26" ht="15.75" x14ac:dyDescent="0.25">
      <c r="A928" s="720" t="s">
        <v>32</v>
      </c>
      <c r="B928" s="721">
        <f>SUM(B919+B927)</f>
        <v>774604</v>
      </c>
      <c r="C928" s="721"/>
      <c r="D928" s="721">
        <f>SUM(D919+D927)</f>
        <v>791087.59399999992</v>
      </c>
      <c r="E928" s="721">
        <f>SUM(E919+E927)</f>
        <v>421562</v>
      </c>
      <c r="F928" s="717"/>
      <c r="G928" s="721">
        <f>SUM(G919+G927)</f>
        <v>204847.97600000002</v>
      </c>
      <c r="H928" s="721">
        <f>SUM(H919+H927)</f>
        <v>211607</v>
      </c>
      <c r="I928" s="717"/>
      <c r="J928" s="721">
        <f>SUM(J919+J927)</f>
        <v>113922.07499999998</v>
      </c>
      <c r="K928" s="721">
        <f>SUM(K919+K927)</f>
        <v>444</v>
      </c>
      <c r="L928" s="717"/>
      <c r="M928" s="721">
        <f>SUM(M919+M927)</f>
        <v>443.55599999999998</v>
      </c>
      <c r="N928" s="721">
        <f>SUM(N919+N927)</f>
        <v>30682.3</v>
      </c>
      <c r="O928" s="717"/>
      <c r="P928" s="721">
        <f>SUM(P919+P927)</f>
        <v>166887.717</v>
      </c>
      <c r="Q928" s="721">
        <f>SUM(Q919+Q927)</f>
        <v>9330</v>
      </c>
      <c r="R928" s="717"/>
      <c r="S928" s="721">
        <f>SUM(S919+S927)</f>
        <v>142677.22829999999</v>
      </c>
      <c r="T928" s="721">
        <f>SUM(T919+T927)</f>
        <v>2299</v>
      </c>
      <c r="U928" s="717"/>
      <c r="V928" s="721">
        <f>SUM(V919+V927)</f>
        <v>4251.652</v>
      </c>
      <c r="W928" s="721">
        <f>SUM(W919+W927)</f>
        <v>1450528.3</v>
      </c>
      <c r="X928" s="721">
        <f>SUM(X919+X927)</f>
        <v>1424117.7983000001</v>
      </c>
      <c r="Z928" s="783"/>
    </row>
    <row r="929" spans="1:24" ht="15.75" x14ac:dyDescent="0.25">
      <c r="A929" s="704" t="s">
        <v>188</v>
      </c>
      <c r="B929" s="704"/>
      <c r="C929" s="704"/>
      <c r="D929" s="704"/>
      <c r="E929" s="704"/>
      <c r="F929" s="704"/>
      <c r="G929" s="704"/>
      <c r="H929" s="704"/>
      <c r="I929" s="704"/>
      <c r="J929" s="704"/>
      <c r="K929" s="704"/>
      <c r="L929" s="704"/>
      <c r="M929" s="704"/>
      <c r="N929" s="704"/>
      <c r="O929" s="704"/>
      <c r="P929" s="704"/>
      <c r="Q929" s="704"/>
      <c r="R929" s="704"/>
      <c r="S929" s="704"/>
      <c r="T929" s="704"/>
      <c r="U929" s="704"/>
      <c r="V929" s="704"/>
      <c r="W929" s="704"/>
      <c r="X929" s="704"/>
    </row>
    <row r="932" spans="1:24" ht="18.75" x14ac:dyDescent="0.3">
      <c r="A932" s="450"/>
      <c r="B932" s="450"/>
      <c r="C932" s="450"/>
      <c r="D932" s="450"/>
      <c r="E932" s="450"/>
      <c r="F932" s="450"/>
      <c r="G932" s="450"/>
      <c r="H932" s="746" t="s">
        <v>206</v>
      </c>
      <c r="I932" s="746"/>
      <c r="J932" s="746"/>
      <c r="K932" s="746"/>
      <c r="L932" s="746"/>
      <c r="M932" s="746"/>
      <c r="N932" s="450"/>
      <c r="O932" s="450"/>
      <c r="P932" s="450"/>
      <c r="Q932" s="450"/>
      <c r="R932" s="450"/>
      <c r="S932" s="450"/>
      <c r="T932" s="450"/>
      <c r="U932" s="450"/>
    </row>
    <row r="933" spans="1:24" ht="18.75" x14ac:dyDescent="0.3">
      <c r="A933" s="450"/>
      <c r="B933" s="450"/>
      <c r="C933" s="450"/>
      <c r="D933" s="450"/>
      <c r="E933" s="450"/>
      <c r="F933" s="450"/>
      <c r="G933" s="450"/>
      <c r="H933" s="746"/>
      <c r="I933" s="746"/>
      <c r="J933" s="746"/>
      <c r="K933" s="746"/>
      <c r="L933" s="746"/>
      <c r="M933" s="746"/>
      <c r="N933" s="450"/>
      <c r="O933" s="450"/>
      <c r="P933" s="450"/>
      <c r="Q933" s="450"/>
      <c r="R933" s="450"/>
      <c r="S933" s="450"/>
      <c r="T933" s="450"/>
      <c r="U933" s="450"/>
    </row>
    <row r="934" spans="1:24" ht="18.75" x14ac:dyDescent="0.3">
      <c r="A934" s="746" t="s">
        <v>207</v>
      </c>
      <c r="B934" s="746"/>
      <c r="C934" s="746"/>
      <c r="D934" s="450"/>
      <c r="E934" s="450"/>
      <c r="F934" s="450"/>
      <c r="G934" s="450"/>
      <c r="H934" s="450"/>
      <c r="I934" s="450"/>
      <c r="J934" s="450"/>
      <c r="M934" s="450"/>
      <c r="N934" s="450"/>
      <c r="O934" s="450"/>
      <c r="P934" s="450"/>
      <c r="Q934" s="450"/>
      <c r="R934" s="450"/>
      <c r="S934" s="450"/>
      <c r="T934" s="450"/>
      <c r="U934" s="450"/>
    </row>
    <row r="935" spans="1:24" x14ac:dyDescent="0.25">
      <c r="A935" s="450"/>
      <c r="B935" s="450" t="s">
        <v>208</v>
      </c>
      <c r="C935" s="450"/>
      <c r="D935" s="450"/>
      <c r="E935" s="450"/>
      <c r="F935" s="450"/>
      <c r="G935" s="450"/>
      <c r="H935" s="450"/>
      <c r="I935" s="450"/>
      <c r="J935" s="450"/>
      <c r="K935" s="450"/>
      <c r="L935" s="450"/>
      <c r="M935" s="450"/>
      <c r="N935" s="450"/>
      <c r="O935" s="450"/>
      <c r="P935" s="450"/>
      <c r="Q935" s="450"/>
      <c r="R935" s="450"/>
      <c r="S935" s="450"/>
      <c r="T935" s="450"/>
      <c r="U935" s="450"/>
    </row>
    <row r="936" spans="1:24" x14ac:dyDescent="0.25">
      <c r="A936" s="747" t="s">
        <v>2</v>
      </c>
      <c r="B936" s="984" t="s">
        <v>209</v>
      </c>
      <c r="C936" s="985"/>
      <c r="D936" s="986"/>
      <c r="E936" s="984" t="s">
        <v>200</v>
      </c>
      <c r="F936" s="985"/>
      <c r="G936" s="986"/>
      <c r="H936" s="984" t="s">
        <v>201</v>
      </c>
      <c r="I936" s="985"/>
      <c r="J936" s="986"/>
      <c r="K936" s="984" t="s">
        <v>202</v>
      </c>
      <c r="L936" s="985"/>
      <c r="M936" s="986"/>
      <c r="N936" s="984" t="s">
        <v>210</v>
      </c>
      <c r="O936" s="985"/>
      <c r="P936" s="986"/>
      <c r="Q936" s="984" t="s">
        <v>8</v>
      </c>
      <c r="R936" s="985"/>
      <c r="S936" s="986"/>
      <c r="T936" s="984" t="s">
        <v>211</v>
      </c>
      <c r="U936" s="986"/>
    </row>
    <row r="937" spans="1:24" x14ac:dyDescent="0.25">
      <c r="A937" s="544" t="s">
        <v>131</v>
      </c>
      <c r="B937" s="748" t="s">
        <v>12</v>
      </c>
      <c r="C937" s="748" t="s">
        <v>13</v>
      </c>
      <c r="D937" s="748" t="s">
        <v>14</v>
      </c>
      <c r="E937" s="748" t="s">
        <v>12</v>
      </c>
      <c r="F937" s="748" t="s">
        <v>13</v>
      </c>
      <c r="G937" s="748" t="s">
        <v>14</v>
      </c>
      <c r="H937" s="748" t="s">
        <v>12</v>
      </c>
      <c r="I937" s="748" t="s">
        <v>13</v>
      </c>
      <c r="J937" s="748" t="s">
        <v>14</v>
      </c>
      <c r="K937" s="748" t="s">
        <v>12</v>
      </c>
      <c r="L937" s="748" t="s">
        <v>13</v>
      </c>
      <c r="M937" s="748" t="s">
        <v>14</v>
      </c>
      <c r="N937" s="748" t="s">
        <v>12</v>
      </c>
      <c r="O937" s="748" t="s">
        <v>13</v>
      </c>
      <c r="P937" s="748" t="s">
        <v>14</v>
      </c>
      <c r="Q937" s="748" t="s">
        <v>12</v>
      </c>
      <c r="R937" s="748" t="s">
        <v>13</v>
      </c>
      <c r="S937" s="748" t="s">
        <v>14</v>
      </c>
      <c r="T937" s="748" t="s">
        <v>12</v>
      </c>
      <c r="U937" s="748" t="s">
        <v>14</v>
      </c>
    </row>
    <row r="938" spans="1:24" x14ac:dyDescent="0.25">
      <c r="A938" s="749" t="s">
        <v>15</v>
      </c>
      <c r="B938" s="750">
        <v>147442</v>
      </c>
      <c r="C938" s="751">
        <v>267</v>
      </c>
      <c r="D938" s="750">
        <f>B938*C938/1000</f>
        <v>39367.014000000003</v>
      </c>
      <c r="E938" s="750">
        <v>54417</v>
      </c>
      <c r="F938" s="752">
        <v>414</v>
      </c>
      <c r="G938" s="750">
        <f>E938*F938/1000</f>
        <v>22528.637999999999</v>
      </c>
      <c r="H938" s="750">
        <v>6</v>
      </c>
      <c r="I938" s="753">
        <v>210</v>
      </c>
      <c r="J938" s="750">
        <f>H938*I938/1000</f>
        <v>1.26</v>
      </c>
      <c r="K938" s="750">
        <v>8</v>
      </c>
      <c r="L938" s="751">
        <v>450</v>
      </c>
      <c r="M938" s="750">
        <f>K938*L938/1000</f>
        <v>3.6</v>
      </c>
      <c r="N938" s="750">
        <v>61815</v>
      </c>
      <c r="O938" s="751">
        <v>467</v>
      </c>
      <c r="P938" s="750">
        <f>N938*O938/1000</f>
        <v>28867.605</v>
      </c>
      <c r="Q938" s="750"/>
      <c r="R938" s="750"/>
      <c r="S938" s="750">
        <f>Q938*R938/1000</f>
        <v>0</v>
      </c>
      <c r="T938" s="750">
        <f>B938+E938+H938+K938+N938+Q938</f>
        <v>263688</v>
      </c>
      <c r="U938" s="750">
        <f>D938+G938+J938+M938+P938+S938</f>
        <v>90768.116999999998</v>
      </c>
    </row>
    <row r="939" spans="1:24" x14ac:dyDescent="0.25">
      <c r="A939" s="749" t="s">
        <v>187</v>
      </c>
      <c r="B939" s="750">
        <v>28911</v>
      </c>
      <c r="C939" s="754">
        <v>290</v>
      </c>
      <c r="D939" s="750">
        <f t="shared" ref="D939:D948" si="189">B939*C939/1000</f>
        <v>8384.19</v>
      </c>
      <c r="E939" s="750">
        <v>96</v>
      </c>
      <c r="F939" s="755">
        <v>460</v>
      </c>
      <c r="G939" s="750">
        <f t="shared" ref="G939:G944" si="190">E939*F939/1000</f>
        <v>44.16</v>
      </c>
      <c r="H939" s="750">
        <v>1725</v>
      </c>
      <c r="I939" s="753">
        <v>860</v>
      </c>
      <c r="J939" s="750">
        <f t="shared" ref="J939:J948" si="191">H939*I939/1000</f>
        <v>1483.5</v>
      </c>
      <c r="K939" s="750"/>
      <c r="L939" s="754"/>
      <c r="M939" s="750">
        <f t="shared" ref="M939:M948" si="192">K939*L939/1000</f>
        <v>0</v>
      </c>
      <c r="N939" s="750">
        <v>0</v>
      </c>
      <c r="O939" s="754"/>
      <c r="P939" s="750">
        <f t="shared" ref="P939:P948" si="193">N939*O939/1000</f>
        <v>0</v>
      </c>
      <c r="Q939" s="750"/>
      <c r="R939" s="750"/>
      <c r="S939" s="750">
        <f t="shared" ref="S939:S948" si="194">Q939*R939/1000</f>
        <v>0</v>
      </c>
      <c r="T939" s="750">
        <f t="shared" ref="T939:T948" si="195">B939+E939+H939+K939+N939+Q939</f>
        <v>30732</v>
      </c>
      <c r="U939" s="750">
        <f t="shared" ref="U939:U948" si="196">D939+G939+J939+M939+P939+S939</f>
        <v>9911.85</v>
      </c>
    </row>
    <row r="940" spans="1:24" x14ac:dyDescent="0.25">
      <c r="A940" s="749" t="s">
        <v>103</v>
      </c>
      <c r="B940" s="750">
        <v>134015</v>
      </c>
      <c r="C940" s="754">
        <v>659</v>
      </c>
      <c r="D940" s="750">
        <f t="shared" si="189"/>
        <v>88315.884999999995</v>
      </c>
      <c r="E940" s="750">
        <v>162111</v>
      </c>
      <c r="F940" s="755">
        <v>797</v>
      </c>
      <c r="G940" s="750">
        <f t="shared" si="190"/>
        <v>129202.467</v>
      </c>
      <c r="H940" s="750">
        <v>43070.1</v>
      </c>
      <c r="I940" s="753">
        <v>797</v>
      </c>
      <c r="J940" s="750">
        <f t="shared" si="191"/>
        <v>34326.869699999996</v>
      </c>
      <c r="K940" s="750">
        <v>14849</v>
      </c>
      <c r="L940" s="754">
        <v>1030</v>
      </c>
      <c r="M940" s="750">
        <f t="shared" si="192"/>
        <v>15294.47</v>
      </c>
      <c r="N940" s="750">
        <v>17036</v>
      </c>
      <c r="O940" s="756">
        <v>842</v>
      </c>
      <c r="P940" s="750">
        <f t="shared" si="193"/>
        <v>14344.312</v>
      </c>
      <c r="Q940" s="750"/>
      <c r="R940" s="750"/>
      <c r="S940" s="750">
        <f t="shared" si="194"/>
        <v>0</v>
      </c>
      <c r="T940" s="750">
        <f t="shared" si="195"/>
        <v>371081.1</v>
      </c>
      <c r="U940" s="750">
        <f t="shared" si="196"/>
        <v>281484.00369999994</v>
      </c>
    </row>
    <row r="941" spans="1:24" x14ac:dyDescent="0.25">
      <c r="A941" s="749" t="s">
        <v>20</v>
      </c>
      <c r="B941" s="750">
        <v>59605</v>
      </c>
      <c r="C941" s="754">
        <v>428</v>
      </c>
      <c r="D941" s="750">
        <f t="shared" si="189"/>
        <v>25510.94</v>
      </c>
      <c r="E941" s="750">
        <v>91000</v>
      </c>
      <c r="F941" s="755">
        <v>1048</v>
      </c>
      <c r="G941" s="750">
        <f t="shared" si="190"/>
        <v>95368</v>
      </c>
      <c r="H941" s="750">
        <v>1994</v>
      </c>
      <c r="I941" s="753">
        <v>629</v>
      </c>
      <c r="J941" s="750">
        <f t="shared" si="191"/>
        <v>1254.2260000000001</v>
      </c>
      <c r="K941" s="750">
        <v>304</v>
      </c>
      <c r="L941" s="756">
        <v>850</v>
      </c>
      <c r="M941" s="750">
        <f t="shared" si="192"/>
        <v>258.39999999999998</v>
      </c>
      <c r="N941" s="750">
        <v>27477</v>
      </c>
      <c r="O941" s="756">
        <v>540.80302029801044</v>
      </c>
      <c r="P941" s="750">
        <f t="shared" si="193"/>
        <v>14859.644588728434</v>
      </c>
      <c r="Q941" s="750"/>
      <c r="R941" s="750"/>
      <c r="S941" s="750">
        <f t="shared" si="194"/>
        <v>0</v>
      </c>
      <c r="T941" s="750">
        <f t="shared" si="195"/>
        <v>180380</v>
      </c>
      <c r="U941" s="750">
        <f t="shared" si="196"/>
        <v>137251.21058872843</v>
      </c>
    </row>
    <row r="942" spans="1:24" x14ac:dyDescent="0.25">
      <c r="A942" s="749" t="s">
        <v>133</v>
      </c>
      <c r="B942" s="750">
        <v>82160</v>
      </c>
      <c r="C942" s="754">
        <v>329</v>
      </c>
      <c r="D942" s="750">
        <f t="shared" si="189"/>
        <v>27030.639999999999</v>
      </c>
      <c r="E942" s="750">
        <v>89405</v>
      </c>
      <c r="F942" s="757">
        <v>623</v>
      </c>
      <c r="G942" s="750">
        <f t="shared" si="190"/>
        <v>55699.315000000002</v>
      </c>
      <c r="H942" s="750">
        <v>41991</v>
      </c>
      <c r="I942" s="754">
        <v>684</v>
      </c>
      <c r="J942" s="750">
        <f t="shared" si="191"/>
        <v>28721.844000000001</v>
      </c>
      <c r="K942" s="750">
        <v>2292</v>
      </c>
      <c r="L942" s="756">
        <v>2838</v>
      </c>
      <c r="M942" s="750">
        <f t="shared" si="192"/>
        <v>6504.6959999999999</v>
      </c>
      <c r="N942" s="750">
        <v>7712</v>
      </c>
      <c r="O942" s="756">
        <v>670</v>
      </c>
      <c r="P942" s="750">
        <f t="shared" si="193"/>
        <v>5167.04</v>
      </c>
      <c r="Q942" s="750"/>
      <c r="R942" s="750"/>
      <c r="S942" s="750">
        <f t="shared" si="194"/>
        <v>0</v>
      </c>
      <c r="T942" s="750">
        <f t="shared" si="195"/>
        <v>223560</v>
      </c>
      <c r="U942" s="750">
        <f t="shared" si="196"/>
        <v>123123.53499999999</v>
      </c>
    </row>
    <row r="943" spans="1:24" x14ac:dyDescent="0.25">
      <c r="A943" s="749" t="s">
        <v>21</v>
      </c>
      <c r="B943" s="750">
        <v>14973</v>
      </c>
      <c r="C943" s="754">
        <v>278</v>
      </c>
      <c r="D943" s="750">
        <f t="shared" si="189"/>
        <v>4162.4939999999997</v>
      </c>
      <c r="E943" s="750">
        <v>0</v>
      </c>
      <c r="F943" s="757"/>
      <c r="G943" s="750">
        <f t="shared" si="190"/>
        <v>0</v>
      </c>
      <c r="H943" s="750">
        <v>401</v>
      </c>
      <c r="I943" s="754">
        <v>523</v>
      </c>
      <c r="J943" s="750">
        <f t="shared" si="191"/>
        <v>209.72300000000001</v>
      </c>
      <c r="K943" s="750">
        <v>0</v>
      </c>
      <c r="L943" s="756">
        <v>0</v>
      </c>
      <c r="M943" s="750">
        <f t="shared" si="192"/>
        <v>0</v>
      </c>
      <c r="N943" s="750">
        <v>0</v>
      </c>
      <c r="O943" s="756"/>
      <c r="P943" s="750">
        <f t="shared" si="193"/>
        <v>0</v>
      </c>
      <c r="Q943" s="750"/>
      <c r="R943" s="750"/>
      <c r="S943" s="750">
        <f t="shared" si="194"/>
        <v>0</v>
      </c>
      <c r="T943" s="750">
        <f t="shared" si="195"/>
        <v>15374</v>
      </c>
      <c r="U943" s="750">
        <f t="shared" si="196"/>
        <v>4372.2169999999996</v>
      </c>
    </row>
    <row r="944" spans="1:24" x14ac:dyDescent="0.25">
      <c r="A944" s="749" t="s">
        <v>22</v>
      </c>
      <c r="B944" s="750">
        <v>78947</v>
      </c>
      <c r="C944" s="754">
        <v>600</v>
      </c>
      <c r="D944" s="750">
        <f t="shared" si="189"/>
        <v>47368.2</v>
      </c>
      <c r="E944" s="750">
        <v>147</v>
      </c>
      <c r="F944" s="757">
        <v>800</v>
      </c>
      <c r="G944" s="750">
        <f t="shared" si="190"/>
        <v>117.6</v>
      </c>
      <c r="H944" s="750">
        <v>45021</v>
      </c>
      <c r="I944" s="754">
        <v>2300</v>
      </c>
      <c r="J944" s="750">
        <f t="shared" si="191"/>
        <v>103548.3</v>
      </c>
      <c r="K944" s="750">
        <v>382</v>
      </c>
      <c r="L944" s="756">
        <v>4000</v>
      </c>
      <c r="M944" s="750">
        <f t="shared" si="192"/>
        <v>1528</v>
      </c>
      <c r="N944" s="750">
        <v>310</v>
      </c>
      <c r="O944" s="756">
        <v>1500</v>
      </c>
      <c r="P944" s="750">
        <f t="shared" si="193"/>
        <v>465</v>
      </c>
      <c r="Q944" s="750">
        <v>689</v>
      </c>
      <c r="R944" s="750">
        <v>1400</v>
      </c>
      <c r="S944" s="750">
        <f t="shared" si="194"/>
        <v>964.6</v>
      </c>
      <c r="T944" s="750">
        <f t="shared" si="195"/>
        <v>125496</v>
      </c>
      <c r="U944" s="750">
        <f t="shared" si="196"/>
        <v>153991.70000000001</v>
      </c>
    </row>
    <row r="945" spans="1:21" x14ac:dyDescent="0.25">
      <c r="A945" s="749" t="s">
        <v>23</v>
      </c>
      <c r="B945" s="750">
        <v>178862</v>
      </c>
      <c r="C945" s="754">
        <v>647</v>
      </c>
      <c r="D945" s="750">
        <f t="shared" si="189"/>
        <v>115723.71400000001</v>
      </c>
      <c r="E945" s="750">
        <v>95069</v>
      </c>
      <c r="F945" s="757">
        <v>571</v>
      </c>
      <c r="G945" s="750">
        <f>E945*F945/1000</f>
        <v>54284.398999999998</v>
      </c>
      <c r="H945" s="750">
        <v>887</v>
      </c>
      <c r="I945" s="754">
        <v>708</v>
      </c>
      <c r="J945" s="750">
        <f t="shared" si="191"/>
        <v>627.99599999999998</v>
      </c>
      <c r="K945" s="750">
        <v>0</v>
      </c>
      <c r="L945" s="756"/>
      <c r="M945" s="750">
        <f t="shared" si="192"/>
        <v>0</v>
      </c>
      <c r="N945" s="750">
        <v>283</v>
      </c>
      <c r="O945" s="756">
        <v>615</v>
      </c>
      <c r="P945" s="750">
        <f t="shared" si="193"/>
        <v>174.04499999999999</v>
      </c>
      <c r="Q945" s="750">
        <v>0</v>
      </c>
      <c r="R945" s="750"/>
      <c r="S945" s="750">
        <f t="shared" si="194"/>
        <v>0</v>
      </c>
      <c r="T945" s="750">
        <f t="shared" si="195"/>
        <v>275101</v>
      </c>
      <c r="U945" s="750">
        <f t="shared" si="196"/>
        <v>170810.15400000004</v>
      </c>
    </row>
    <row r="946" spans="1:21" x14ac:dyDescent="0.25">
      <c r="A946" s="749" t="s">
        <v>24</v>
      </c>
      <c r="B946" s="750">
        <v>5930</v>
      </c>
      <c r="C946" s="754">
        <v>731</v>
      </c>
      <c r="D946" s="750">
        <f t="shared" si="189"/>
        <v>4334.83</v>
      </c>
      <c r="E946" s="750">
        <v>19804</v>
      </c>
      <c r="F946" s="757">
        <v>1147</v>
      </c>
      <c r="G946" s="750">
        <f>E946*F946/1000</f>
        <v>22715.187999999998</v>
      </c>
      <c r="H946" s="750">
        <v>27982</v>
      </c>
      <c r="I946" s="754">
        <v>1326</v>
      </c>
      <c r="J946" s="750">
        <f t="shared" si="191"/>
        <v>37104.131999999998</v>
      </c>
      <c r="K946" s="750">
        <v>5281</v>
      </c>
      <c r="L946" s="756">
        <v>2688</v>
      </c>
      <c r="M946" s="750">
        <f t="shared" si="192"/>
        <v>14195.328</v>
      </c>
      <c r="N946" s="750">
        <v>201226</v>
      </c>
      <c r="O946" s="756">
        <v>1480</v>
      </c>
      <c r="P946" s="750">
        <f t="shared" si="193"/>
        <v>297814.48</v>
      </c>
      <c r="Q946" s="750"/>
      <c r="R946" s="750"/>
      <c r="S946" s="750">
        <f t="shared" si="194"/>
        <v>0</v>
      </c>
      <c r="T946" s="750">
        <f t="shared" si="195"/>
        <v>260223</v>
      </c>
      <c r="U946" s="750">
        <f t="shared" si="196"/>
        <v>376163.95799999998</v>
      </c>
    </row>
    <row r="947" spans="1:21" x14ac:dyDescent="0.25">
      <c r="A947" s="749" t="s">
        <v>134</v>
      </c>
      <c r="B947" s="750">
        <v>100876</v>
      </c>
      <c r="C947" s="754">
        <v>835</v>
      </c>
      <c r="D947" s="750">
        <f t="shared" si="189"/>
        <v>84231.46</v>
      </c>
      <c r="E947" s="750">
        <v>134284</v>
      </c>
      <c r="F947" s="757">
        <v>915</v>
      </c>
      <c r="G947" s="750">
        <f t="shared" ref="G947:G948" si="197">E947*F947/1000</f>
        <v>122869.86</v>
      </c>
      <c r="H947" s="750">
        <v>40035</v>
      </c>
      <c r="I947" s="754">
        <v>1231</v>
      </c>
      <c r="J947" s="750">
        <f t="shared" si="191"/>
        <v>49283.084999999999</v>
      </c>
      <c r="K947" s="750">
        <v>213</v>
      </c>
      <c r="L947" s="756">
        <v>850</v>
      </c>
      <c r="M947" s="750">
        <f t="shared" si="192"/>
        <v>181.05</v>
      </c>
      <c r="N947" s="750">
        <v>6432</v>
      </c>
      <c r="O947" s="756">
        <v>1019</v>
      </c>
      <c r="P947" s="750">
        <f t="shared" si="193"/>
        <v>6554.2079999999996</v>
      </c>
      <c r="Q947" s="750">
        <v>0</v>
      </c>
      <c r="R947" s="750"/>
      <c r="S947" s="750">
        <f t="shared" si="194"/>
        <v>0</v>
      </c>
      <c r="T947" s="750">
        <f t="shared" si="195"/>
        <v>281840</v>
      </c>
      <c r="U947" s="750">
        <f t="shared" si="196"/>
        <v>263119.663</v>
      </c>
    </row>
    <row r="948" spans="1:21" x14ac:dyDescent="0.25">
      <c r="A948" s="749" t="s">
        <v>161</v>
      </c>
      <c r="B948" s="750">
        <v>106564</v>
      </c>
      <c r="C948" s="758">
        <v>358</v>
      </c>
      <c r="D948" s="750">
        <f t="shared" si="189"/>
        <v>38149.911999999997</v>
      </c>
      <c r="E948" s="750">
        <v>21848</v>
      </c>
      <c r="F948" s="759">
        <v>480</v>
      </c>
      <c r="G948" s="750">
        <f t="shared" si="197"/>
        <v>10487.04</v>
      </c>
      <c r="H948" s="750">
        <v>0</v>
      </c>
      <c r="I948" s="758"/>
      <c r="J948" s="750">
        <f t="shared" si="191"/>
        <v>0</v>
      </c>
      <c r="K948" s="750"/>
      <c r="L948" s="758"/>
      <c r="M948" s="750">
        <f t="shared" si="192"/>
        <v>0</v>
      </c>
      <c r="N948" s="750"/>
      <c r="O948" s="756"/>
      <c r="P948" s="750">
        <f t="shared" si="193"/>
        <v>0</v>
      </c>
      <c r="Q948" s="750">
        <v>0</v>
      </c>
      <c r="R948" s="750"/>
      <c r="S948" s="750">
        <f t="shared" si="194"/>
        <v>0</v>
      </c>
      <c r="T948" s="750">
        <f t="shared" si="195"/>
        <v>128412</v>
      </c>
      <c r="U948" s="750">
        <f t="shared" si="196"/>
        <v>48636.951999999997</v>
      </c>
    </row>
    <row r="949" spans="1:21" x14ac:dyDescent="0.25">
      <c r="A949" s="544" t="s">
        <v>173</v>
      </c>
      <c r="B949" s="748">
        <f>SUM(B938:B948)</f>
        <v>938285</v>
      </c>
      <c r="C949" s="760"/>
      <c r="D949" s="748">
        <f>SUM(D938:D948)</f>
        <v>482579.2790000001</v>
      </c>
      <c r="E949" s="748">
        <f>SUM(E938:E948)</f>
        <v>668181</v>
      </c>
      <c r="F949" s="696"/>
      <c r="G949" s="748">
        <f>G938+G939+G940+G941+G942+G943+G944+G945+G946+G947+G948</f>
        <v>513316.66699999996</v>
      </c>
      <c r="H949" s="748">
        <f>SUM(H938:H948)</f>
        <v>203112.1</v>
      </c>
      <c r="I949" s="760"/>
      <c r="J949" s="748">
        <f>SUM(J938:J948)</f>
        <v>256560.9357</v>
      </c>
      <c r="K949" s="748">
        <f>SUM(K938:K948)</f>
        <v>23329</v>
      </c>
      <c r="L949" s="760"/>
      <c r="M949" s="748">
        <f>SUM(M938:M948)</f>
        <v>37965.544000000002</v>
      </c>
      <c r="N949" s="748">
        <f>SUM(N938:N948)</f>
        <v>322291</v>
      </c>
      <c r="O949" s="761"/>
      <c r="P949" s="748">
        <f>SUM(P938:P948)</f>
        <v>368246.33458872838</v>
      </c>
      <c r="Q949" s="748">
        <v>689</v>
      </c>
      <c r="R949" s="748"/>
      <c r="S949" s="748">
        <f>SUM(S938:S948)</f>
        <v>964.6</v>
      </c>
      <c r="T949" s="748">
        <f>SUM(T938:T948)</f>
        <v>2155887.1</v>
      </c>
      <c r="U949" s="748">
        <f>SUM(U938:U948)</f>
        <v>1659633.3602887283</v>
      </c>
    </row>
    <row r="950" spans="1:21" x14ac:dyDescent="0.25">
      <c r="A950" s="749" t="s">
        <v>135</v>
      </c>
      <c r="B950" s="750">
        <v>42804</v>
      </c>
      <c r="C950" s="754">
        <v>689</v>
      </c>
      <c r="D950" s="750">
        <f>B950*C950/1000</f>
        <v>29491.955999999998</v>
      </c>
      <c r="E950" s="750">
        <v>78462</v>
      </c>
      <c r="F950" s="757">
        <v>614</v>
      </c>
      <c r="G950" s="750">
        <f>E950*F950/1000</f>
        <v>48175.667999999998</v>
      </c>
      <c r="H950" s="750">
        <v>9905.5</v>
      </c>
      <c r="I950" s="754">
        <v>954</v>
      </c>
      <c r="J950" s="750">
        <f>H950*I950/1000</f>
        <v>9449.8469999999998</v>
      </c>
      <c r="K950" s="750">
        <v>12480</v>
      </c>
      <c r="L950" s="756">
        <v>1000</v>
      </c>
      <c r="M950" s="750">
        <f>K950*L950/1000</f>
        <v>12480</v>
      </c>
      <c r="N950" s="750"/>
      <c r="O950" s="756"/>
      <c r="P950" s="750">
        <f>N950*O950/1000</f>
        <v>0</v>
      </c>
      <c r="Q950" s="750"/>
      <c r="R950" s="750"/>
      <c r="S950" s="750">
        <f>Q950*R950/1000</f>
        <v>0</v>
      </c>
      <c r="T950" s="750">
        <f>B950+E950+H950+K950+N950+Q950</f>
        <v>143651.5</v>
      </c>
      <c r="U950" s="750">
        <f>D950+G950+J950+M950+P950+S950</f>
        <v>99597.47099999999</v>
      </c>
    </row>
    <row r="951" spans="1:21" x14ac:dyDescent="0.25">
      <c r="A951" s="749" t="s">
        <v>136</v>
      </c>
      <c r="B951" s="750">
        <v>23656</v>
      </c>
      <c r="C951" s="754">
        <v>592</v>
      </c>
      <c r="D951" s="750">
        <f t="shared" ref="D951:D956" si="198">B951*C951/1000</f>
        <v>14004.352000000001</v>
      </c>
      <c r="E951" s="750">
        <v>64316</v>
      </c>
      <c r="F951" s="757">
        <v>639</v>
      </c>
      <c r="G951" s="750">
        <f t="shared" ref="G951:G956" si="199">E951*F951/1000</f>
        <v>41097.923999999999</v>
      </c>
      <c r="H951" s="750">
        <v>7613.5</v>
      </c>
      <c r="I951" s="754">
        <v>1050</v>
      </c>
      <c r="J951" s="750">
        <f t="shared" ref="J951:J956" si="200">H951*I951/1000</f>
        <v>7994.1750000000002</v>
      </c>
      <c r="K951" s="750">
        <v>34850</v>
      </c>
      <c r="L951" s="756">
        <v>2086.91489361702</v>
      </c>
      <c r="M951" s="750">
        <f t="shared" ref="M951:M956" si="201">K951*L951/1000</f>
        <v>72728.984042553144</v>
      </c>
      <c r="N951" s="750">
        <v>66347</v>
      </c>
      <c r="O951" s="756">
        <v>723.67640073747691</v>
      </c>
      <c r="P951" s="750">
        <f t="shared" ref="P951:P956" si="202">N951*O951/1000</f>
        <v>48013.758159729383</v>
      </c>
      <c r="Q951" s="750"/>
      <c r="R951" s="750"/>
      <c r="S951" s="750">
        <f t="shared" ref="S951:S957" si="203">Q951*R951/1000</f>
        <v>0</v>
      </c>
      <c r="T951" s="750">
        <f t="shared" ref="T951:T956" si="204">B951+E951+H951+K951+N951+Q951</f>
        <v>196782.5</v>
      </c>
      <c r="U951" s="750">
        <f t="shared" ref="U951:U956" si="205">D951+G951+J951+M951+P951+S951</f>
        <v>183839.19320228253</v>
      </c>
    </row>
    <row r="952" spans="1:21" x14ac:dyDescent="0.25">
      <c r="A952" s="749" t="s">
        <v>137</v>
      </c>
      <c r="B952" s="750">
        <v>7517</v>
      </c>
      <c r="C952" s="754">
        <v>609</v>
      </c>
      <c r="D952" s="750">
        <f t="shared" si="198"/>
        <v>4577.8530000000001</v>
      </c>
      <c r="E952" s="750">
        <v>55025</v>
      </c>
      <c r="F952" s="757">
        <v>759</v>
      </c>
      <c r="G952" s="750">
        <f t="shared" si="199"/>
        <v>41763.974999999999</v>
      </c>
      <c r="H952" s="750">
        <v>30371.5</v>
      </c>
      <c r="I952" s="754">
        <v>950</v>
      </c>
      <c r="J952" s="750">
        <f t="shared" si="200"/>
        <v>28852.924999999999</v>
      </c>
      <c r="K952" s="750">
        <v>5799</v>
      </c>
      <c r="L952" s="756">
        <v>1070</v>
      </c>
      <c r="M952" s="750">
        <f t="shared" si="201"/>
        <v>6204.93</v>
      </c>
      <c r="N952" s="750">
        <v>7985</v>
      </c>
      <c r="O952" s="756">
        <v>792.04599593299122</v>
      </c>
      <c r="P952" s="750">
        <f t="shared" si="202"/>
        <v>6324.4872775249351</v>
      </c>
      <c r="Q952" s="750"/>
      <c r="R952" s="750"/>
      <c r="S952" s="750">
        <f t="shared" si="203"/>
        <v>0</v>
      </c>
      <c r="T952" s="750">
        <f t="shared" si="204"/>
        <v>106697.5</v>
      </c>
      <c r="U952" s="750">
        <f t="shared" si="205"/>
        <v>87724.170277524929</v>
      </c>
    </row>
    <row r="953" spans="1:21" x14ac:dyDescent="0.25">
      <c r="A953" s="749" t="s">
        <v>73</v>
      </c>
      <c r="B953" s="750">
        <v>19581</v>
      </c>
      <c r="C953" s="754">
        <v>638</v>
      </c>
      <c r="D953" s="750">
        <f t="shared" si="198"/>
        <v>12492.678</v>
      </c>
      <c r="E953" s="750">
        <v>54349</v>
      </c>
      <c r="F953" s="757">
        <v>833</v>
      </c>
      <c r="G953" s="750">
        <f t="shared" si="199"/>
        <v>45272.716999999997</v>
      </c>
      <c r="H953" s="750">
        <v>14763</v>
      </c>
      <c r="I953" s="754">
        <v>854</v>
      </c>
      <c r="J953" s="750">
        <f t="shared" si="200"/>
        <v>12607.602000000001</v>
      </c>
      <c r="K953" s="750">
        <v>4364</v>
      </c>
      <c r="L953" s="756">
        <v>981.20349650349647</v>
      </c>
      <c r="M953" s="750">
        <f t="shared" si="201"/>
        <v>4281.9720587412585</v>
      </c>
      <c r="N953" s="750">
        <v>1505</v>
      </c>
      <c r="O953" s="756">
        <v>800</v>
      </c>
      <c r="P953" s="750">
        <f t="shared" si="202"/>
        <v>1204</v>
      </c>
      <c r="Q953" s="750">
        <v>0</v>
      </c>
      <c r="R953" s="750"/>
      <c r="S953" s="750">
        <f t="shared" si="203"/>
        <v>0</v>
      </c>
      <c r="T953" s="750">
        <f t="shared" si="204"/>
        <v>94562</v>
      </c>
      <c r="U953" s="750">
        <f t="shared" si="205"/>
        <v>75858.969058741262</v>
      </c>
    </row>
    <row r="954" spans="1:21" x14ac:dyDescent="0.25">
      <c r="A954" s="749" t="s">
        <v>162</v>
      </c>
      <c r="B954" s="750">
        <v>18219</v>
      </c>
      <c r="C954" s="754">
        <v>561</v>
      </c>
      <c r="D954" s="750">
        <f t="shared" si="198"/>
        <v>10220.859</v>
      </c>
      <c r="E954" s="750">
        <v>47382</v>
      </c>
      <c r="F954" s="757">
        <v>740</v>
      </c>
      <c r="G954" s="750">
        <f t="shared" si="199"/>
        <v>35062.68</v>
      </c>
      <c r="H954" s="750">
        <v>11490</v>
      </c>
      <c r="I954" s="754">
        <v>748</v>
      </c>
      <c r="J954" s="750">
        <f t="shared" si="200"/>
        <v>8594.52</v>
      </c>
      <c r="K954" s="750">
        <v>16477</v>
      </c>
      <c r="L954" s="756">
        <v>1277.5678949381613</v>
      </c>
      <c r="M954" s="750">
        <f t="shared" si="201"/>
        <v>21050.486204896086</v>
      </c>
      <c r="N954" s="750">
        <v>0</v>
      </c>
      <c r="O954" s="756"/>
      <c r="P954" s="750">
        <f t="shared" si="202"/>
        <v>0</v>
      </c>
      <c r="Q954" s="750"/>
      <c r="R954" s="750"/>
      <c r="S954" s="750">
        <f t="shared" si="203"/>
        <v>0</v>
      </c>
      <c r="T954" s="750">
        <f t="shared" si="204"/>
        <v>93568</v>
      </c>
      <c r="U954" s="750">
        <f t="shared" si="205"/>
        <v>74928.545204896101</v>
      </c>
    </row>
    <row r="955" spans="1:21" x14ac:dyDescent="0.25">
      <c r="A955" s="749" t="s">
        <v>163</v>
      </c>
      <c r="B955" s="750">
        <v>20069</v>
      </c>
      <c r="C955" s="754">
        <v>959</v>
      </c>
      <c r="D955" s="750">
        <f t="shared" si="198"/>
        <v>19246.170999999998</v>
      </c>
      <c r="E955" s="750">
        <v>61169</v>
      </c>
      <c r="F955" s="757">
        <v>1248</v>
      </c>
      <c r="G955" s="750">
        <f t="shared" si="199"/>
        <v>76338.911999999997</v>
      </c>
      <c r="H955" s="750">
        <v>20899</v>
      </c>
      <c r="I955" s="754">
        <v>951</v>
      </c>
      <c r="J955" s="750">
        <f t="shared" si="200"/>
        <v>19874.949000000001</v>
      </c>
      <c r="K955" s="750">
        <v>21621</v>
      </c>
      <c r="L955" s="756">
        <v>1235</v>
      </c>
      <c r="M955" s="750">
        <f t="shared" si="201"/>
        <v>26701.935000000001</v>
      </c>
      <c r="N955" s="750">
        <v>0</v>
      </c>
      <c r="O955" s="756"/>
      <c r="P955" s="750">
        <f t="shared" si="202"/>
        <v>0</v>
      </c>
      <c r="Q955" s="750"/>
      <c r="R955" s="750"/>
      <c r="S955" s="750">
        <f t="shared" si="203"/>
        <v>0</v>
      </c>
      <c r="T955" s="750">
        <f t="shared" si="204"/>
        <v>123758</v>
      </c>
      <c r="U955" s="750">
        <f t="shared" si="205"/>
        <v>142161.967</v>
      </c>
    </row>
    <row r="956" spans="1:21" x14ac:dyDescent="0.25">
      <c r="A956" s="749" t="s">
        <v>27</v>
      </c>
      <c r="B956" s="750">
        <v>28235</v>
      </c>
      <c r="C956" s="754">
        <v>691</v>
      </c>
      <c r="D956" s="750">
        <f t="shared" si="198"/>
        <v>19510.384999999998</v>
      </c>
      <c r="E956" s="750">
        <v>45472</v>
      </c>
      <c r="F956" s="757">
        <v>756</v>
      </c>
      <c r="G956" s="750">
        <f t="shared" si="199"/>
        <v>34376.832000000002</v>
      </c>
      <c r="H956" s="750">
        <v>6787</v>
      </c>
      <c r="I956" s="754">
        <v>820</v>
      </c>
      <c r="J956" s="750">
        <f t="shared" si="200"/>
        <v>5565.34</v>
      </c>
      <c r="K956" s="750">
        <v>53092</v>
      </c>
      <c r="L956" s="756">
        <v>1169</v>
      </c>
      <c r="M956" s="750">
        <f t="shared" si="201"/>
        <v>62064.548000000003</v>
      </c>
      <c r="N956" s="750">
        <v>9955</v>
      </c>
      <c r="O956" s="756">
        <v>730</v>
      </c>
      <c r="P956" s="750">
        <f t="shared" si="202"/>
        <v>7267.15</v>
      </c>
      <c r="Q956" s="750"/>
      <c r="R956" s="750"/>
      <c r="S956" s="750">
        <f t="shared" si="203"/>
        <v>0</v>
      </c>
      <c r="T956" s="750">
        <f t="shared" si="204"/>
        <v>143541</v>
      </c>
      <c r="U956" s="750">
        <f t="shared" si="205"/>
        <v>128784.255</v>
      </c>
    </row>
    <row r="957" spans="1:21" x14ac:dyDescent="0.25">
      <c r="A957" s="544" t="s">
        <v>174</v>
      </c>
      <c r="B957" s="748">
        <f>SUM(B950:B956)</f>
        <v>160081</v>
      </c>
      <c r="C957" s="748"/>
      <c r="D957" s="748">
        <f>SUM(D950:D956)</f>
        <v>109544.254</v>
      </c>
      <c r="E957" s="748">
        <f>SUM(E950:E956)</f>
        <v>406175</v>
      </c>
      <c r="F957" s="748"/>
      <c r="G957" s="748">
        <f>SUM(G950:G956)</f>
        <v>322088.70799999998</v>
      </c>
      <c r="H957" s="748">
        <f>SUM(H950:H956)</f>
        <v>101829.5</v>
      </c>
      <c r="I957" s="748"/>
      <c r="J957" s="748">
        <f>SUM(J950:J956)</f>
        <v>92939.358000000007</v>
      </c>
      <c r="K957" s="748">
        <f>SUM(K950:K956)</f>
        <v>148683</v>
      </c>
      <c r="L957" s="748"/>
      <c r="M957" s="748">
        <f>SUM(M950:M956)</f>
        <v>205512.8553061905</v>
      </c>
      <c r="N957" s="748">
        <f>SUM(N950:N956)</f>
        <v>85792</v>
      </c>
      <c r="O957" s="748"/>
      <c r="P957" s="748">
        <f>SUM(P950:P956)</f>
        <v>62809.395437254316</v>
      </c>
      <c r="Q957" s="748">
        <v>0</v>
      </c>
      <c r="R957" s="748"/>
      <c r="S957" s="748">
        <f t="shared" si="203"/>
        <v>0</v>
      </c>
      <c r="T957" s="748">
        <f>SUM(T950:T956)</f>
        <v>902560.5</v>
      </c>
      <c r="U957" s="748">
        <f>SUM(U950:U956)</f>
        <v>792894.57074344496</v>
      </c>
    </row>
    <row r="958" spans="1:21" x14ac:dyDescent="0.25">
      <c r="A958" s="544" t="s">
        <v>32</v>
      </c>
      <c r="B958" s="748">
        <f>B949+B957</f>
        <v>1098366</v>
      </c>
      <c r="C958" s="748"/>
      <c r="D958" s="748">
        <f>D949+D957</f>
        <v>592123.53300000005</v>
      </c>
      <c r="E958" s="748">
        <f>E957+E949</f>
        <v>1074356</v>
      </c>
      <c r="F958" s="748"/>
      <c r="G958" s="748">
        <f>G949+G957</f>
        <v>835405.375</v>
      </c>
      <c r="H958" s="748">
        <f>H957+H949</f>
        <v>304941.59999999998</v>
      </c>
      <c r="I958" s="748"/>
      <c r="J958" s="748">
        <f>J949+J957</f>
        <v>349500.29370000004</v>
      </c>
      <c r="K958" s="748">
        <f>K949+K957</f>
        <v>172012</v>
      </c>
      <c r="L958" s="748"/>
      <c r="M958" s="748">
        <f>M949+M957</f>
        <v>243478.39930619049</v>
      </c>
      <c r="N958" s="748">
        <f>N949+N957</f>
        <v>408083</v>
      </c>
      <c r="O958" s="748"/>
      <c r="P958" s="748">
        <f>P949+P957</f>
        <v>431055.73002598272</v>
      </c>
      <c r="Q958" s="748">
        <v>689</v>
      </c>
      <c r="R958" s="748"/>
      <c r="S958" s="748">
        <f>S949+S957</f>
        <v>964.6</v>
      </c>
      <c r="T958" s="748">
        <f>T949+T957</f>
        <v>3058447.6</v>
      </c>
      <c r="U958" s="748">
        <f>U949+U957</f>
        <v>2452527.9310321733</v>
      </c>
    </row>
    <row r="959" spans="1:21" x14ac:dyDescent="0.25">
      <c r="A959" s="762" t="s">
        <v>212</v>
      </c>
      <c r="B959" s="763"/>
      <c r="C959" s="450"/>
      <c r="D959" s="450"/>
      <c r="E959" s="450"/>
      <c r="F959" s="450"/>
      <c r="G959" s="450"/>
      <c r="H959" s="450"/>
      <c r="I959" s="450"/>
      <c r="J959" s="450"/>
      <c r="K959" s="450"/>
      <c r="L959" s="450"/>
      <c r="M959" s="450"/>
      <c r="N959" s="450"/>
      <c r="O959" s="450"/>
      <c r="P959" s="450"/>
      <c r="Q959" s="450"/>
      <c r="R959" s="450"/>
      <c r="S959" s="450"/>
      <c r="T959" s="764"/>
      <c r="U959" s="450"/>
    </row>
    <row r="961" spans="1:26" x14ac:dyDescent="0.25">
      <c r="C961" s="782" t="s">
        <v>217</v>
      </c>
      <c r="D961" s="782"/>
      <c r="E961" s="782"/>
    </row>
    <row r="962" spans="1:26" x14ac:dyDescent="0.25">
      <c r="A962" s="450"/>
      <c r="B962" s="450" t="s">
        <v>208</v>
      </c>
      <c r="C962" s="450"/>
      <c r="D962" s="450"/>
      <c r="E962" s="450"/>
      <c r="F962" s="450"/>
      <c r="G962" s="450"/>
      <c r="H962" s="450"/>
      <c r="I962" s="450"/>
      <c r="J962" s="450"/>
      <c r="K962" s="450"/>
      <c r="L962" s="450"/>
      <c r="M962" s="450"/>
      <c r="N962" s="450"/>
      <c r="O962" s="450"/>
      <c r="P962" s="450"/>
      <c r="Q962" s="450"/>
      <c r="R962" s="765"/>
      <c r="S962" s="450"/>
      <c r="T962" s="450"/>
      <c r="U962" s="450"/>
      <c r="V962" s="450"/>
      <c r="W962" s="450"/>
      <c r="X962" s="450"/>
    </row>
    <row r="963" spans="1:26" x14ac:dyDescent="0.25">
      <c r="A963" s="766" t="s">
        <v>2</v>
      </c>
      <c r="B963" s="942" t="s">
        <v>203</v>
      </c>
      <c r="C963" s="942"/>
      <c r="D963" s="942"/>
      <c r="E963" s="942" t="s">
        <v>204</v>
      </c>
      <c r="F963" s="942"/>
      <c r="G963" s="943"/>
      <c r="H963" s="942" t="s">
        <v>205</v>
      </c>
      <c r="I963" s="942"/>
      <c r="J963" s="942"/>
      <c r="K963" s="942" t="s">
        <v>213</v>
      </c>
      <c r="L963" s="942"/>
      <c r="M963" s="943"/>
      <c r="N963" s="942" t="s">
        <v>214</v>
      </c>
      <c r="O963" s="942"/>
      <c r="P963" s="942"/>
      <c r="Q963" s="936" t="s">
        <v>215</v>
      </c>
      <c r="R963" s="936"/>
      <c r="S963" s="937"/>
      <c r="T963" s="938" t="s">
        <v>216</v>
      </c>
      <c r="U963" s="936"/>
      <c r="V963" s="937"/>
      <c r="W963" s="983" t="s">
        <v>44</v>
      </c>
      <c r="X963" s="983"/>
    </row>
    <row r="964" spans="1:26" x14ac:dyDescent="0.25">
      <c r="A964" s="767" t="s">
        <v>131</v>
      </c>
      <c r="B964" s="768" t="s">
        <v>12</v>
      </c>
      <c r="C964" s="768" t="s">
        <v>13</v>
      </c>
      <c r="D964" s="768" t="s">
        <v>14</v>
      </c>
      <c r="E964" s="768" t="s">
        <v>12</v>
      </c>
      <c r="F964" s="769" t="s">
        <v>13</v>
      </c>
      <c r="G964" s="768" t="s">
        <v>14</v>
      </c>
      <c r="H964" s="768" t="s">
        <v>12</v>
      </c>
      <c r="I964" s="768" t="s">
        <v>13</v>
      </c>
      <c r="J964" s="768" t="s">
        <v>14</v>
      </c>
      <c r="K964" s="768" t="s">
        <v>12</v>
      </c>
      <c r="L964" s="768" t="s">
        <v>13</v>
      </c>
      <c r="M964" s="768" t="s">
        <v>14</v>
      </c>
      <c r="N964" s="768" t="s">
        <v>12</v>
      </c>
      <c r="O964" s="768" t="s">
        <v>13</v>
      </c>
      <c r="P964" s="768" t="s">
        <v>14</v>
      </c>
      <c r="Q964" s="768" t="s">
        <v>12</v>
      </c>
      <c r="R964" s="770" t="s">
        <v>13</v>
      </c>
      <c r="S964" s="768" t="s">
        <v>14</v>
      </c>
      <c r="T964" s="768" t="s">
        <v>12</v>
      </c>
      <c r="U964" s="768" t="s">
        <v>13</v>
      </c>
      <c r="V964" s="768" t="s">
        <v>14</v>
      </c>
      <c r="W964" s="771" t="s">
        <v>12</v>
      </c>
      <c r="X964" s="771" t="s">
        <v>14</v>
      </c>
    </row>
    <row r="965" spans="1:26" x14ac:dyDescent="0.25">
      <c r="A965" s="772" t="s">
        <v>15</v>
      </c>
      <c r="B965" s="750">
        <v>24401</v>
      </c>
      <c r="C965" s="773">
        <v>1330</v>
      </c>
      <c r="D965" s="750">
        <f>B965*C965/1000</f>
        <v>32453.33</v>
      </c>
      <c r="E965" s="750">
        <v>5774</v>
      </c>
      <c r="F965" s="774">
        <v>300</v>
      </c>
      <c r="G965" s="750">
        <f>E965*F965/1000</f>
        <v>1732.2</v>
      </c>
      <c r="H965" s="750">
        <f>Céréale!$Y$5</f>
        <v>124786</v>
      </c>
      <c r="I965" s="774">
        <v>474</v>
      </c>
      <c r="J965" s="750">
        <f>H965*I965/1000</f>
        <v>59148.563999999998</v>
      </c>
      <c r="K965" s="750">
        <v>0</v>
      </c>
      <c r="L965" s="774"/>
      <c r="M965" s="750">
        <f>K965*L965/1000</f>
        <v>0</v>
      </c>
      <c r="N965" s="750">
        <v>0</v>
      </c>
      <c r="O965" s="774"/>
      <c r="P965" s="750">
        <f>N965*O965/1000</f>
        <v>0</v>
      </c>
      <c r="Q965" s="750">
        <v>0</v>
      </c>
      <c r="R965" s="775"/>
      <c r="S965" s="750">
        <f>Q965*R965/1000</f>
        <v>0</v>
      </c>
      <c r="T965" s="750"/>
      <c r="U965" s="749"/>
      <c r="V965" s="750">
        <f>T965*U965/1000</f>
        <v>0</v>
      </c>
      <c r="W965" s="750">
        <f>B965+E965+H965+K965+N965+Q965+T965</f>
        <v>154961</v>
      </c>
      <c r="X965" s="750">
        <f>D965+G965+J965+M965+P965+S965+V965</f>
        <v>93334.093999999997</v>
      </c>
      <c r="Z965" s="784"/>
    </row>
    <row r="966" spans="1:26" x14ac:dyDescent="0.25">
      <c r="A966" s="772" t="s">
        <v>187</v>
      </c>
      <c r="B966" s="750">
        <v>0</v>
      </c>
      <c r="C966" s="773"/>
      <c r="D966" s="750">
        <f t="shared" ref="D966:D975" si="206">B966*C966/1000</f>
        <v>0</v>
      </c>
      <c r="E966" s="750">
        <v>0</v>
      </c>
      <c r="F966" s="776"/>
      <c r="G966" s="750">
        <f t="shared" ref="G966:G975" si="207">E966*F966/1000</f>
        <v>0</v>
      </c>
      <c r="H966" s="750">
        <v>0</v>
      </c>
      <c r="I966" s="757">
        <v>350</v>
      </c>
      <c r="J966" s="750">
        <f t="shared" ref="J966:J975" si="208">H966*I966/1000</f>
        <v>0</v>
      </c>
      <c r="K966" s="750"/>
      <c r="L966" s="757"/>
      <c r="M966" s="750">
        <f t="shared" ref="M966:M975" si="209">K966*L966/1000</f>
        <v>0</v>
      </c>
      <c r="N966" s="750"/>
      <c r="O966" s="757"/>
      <c r="P966" s="750">
        <f t="shared" ref="P966:P975" si="210">N966*O966/1000</f>
        <v>0</v>
      </c>
      <c r="Q966" s="750"/>
      <c r="R966" s="775"/>
      <c r="S966" s="750">
        <f t="shared" ref="S966:S975" si="211">Q966*R966/1000</f>
        <v>0</v>
      </c>
      <c r="T966" s="750"/>
      <c r="U966" s="749"/>
      <c r="V966" s="750">
        <f t="shared" ref="V966:V975" si="212">T966*U966/1000</f>
        <v>0</v>
      </c>
      <c r="W966" s="750">
        <f t="shared" ref="W966:W975" si="213">B966+E966+H966+K966+N966+Q966+T966</f>
        <v>0</v>
      </c>
      <c r="X966" s="750">
        <f t="shared" ref="X966:X975" si="214">D966+G966+J966+M966+P966+S966+V966</f>
        <v>0</v>
      </c>
      <c r="Z966" s="784"/>
    </row>
    <row r="967" spans="1:26" x14ac:dyDescent="0.25">
      <c r="A967" s="772" t="s">
        <v>103</v>
      </c>
      <c r="B967" s="750">
        <v>54739</v>
      </c>
      <c r="C967" s="773">
        <v>1304</v>
      </c>
      <c r="D967" s="750">
        <f t="shared" si="206"/>
        <v>71379.656000000003</v>
      </c>
      <c r="E967" s="750">
        <v>15521</v>
      </c>
      <c r="F967" s="750">
        <v>414.04224686866593</v>
      </c>
      <c r="G967" s="750">
        <f t="shared" si="207"/>
        <v>6426.3497136485639</v>
      </c>
      <c r="H967" s="750">
        <v>27098</v>
      </c>
      <c r="I967" s="757">
        <v>1154</v>
      </c>
      <c r="J967" s="750">
        <f t="shared" si="208"/>
        <v>31271.092000000001</v>
      </c>
      <c r="K967" s="750"/>
      <c r="L967" s="757">
        <v>1480</v>
      </c>
      <c r="M967" s="750">
        <f t="shared" si="209"/>
        <v>0</v>
      </c>
      <c r="N967" s="750">
        <v>331</v>
      </c>
      <c r="O967" s="757">
        <v>1683</v>
      </c>
      <c r="P967" s="750">
        <f t="shared" si="210"/>
        <v>557.07299999999998</v>
      </c>
      <c r="Q967" s="750">
        <v>0</v>
      </c>
      <c r="R967" s="775">
        <v>2020</v>
      </c>
      <c r="S967" s="750">
        <f t="shared" si="211"/>
        <v>0</v>
      </c>
      <c r="T967" s="750"/>
      <c r="U967" s="749"/>
      <c r="V967" s="750">
        <f t="shared" si="212"/>
        <v>0</v>
      </c>
      <c r="W967" s="750">
        <f t="shared" si="213"/>
        <v>97689</v>
      </c>
      <c r="X967" s="750">
        <f t="shared" si="214"/>
        <v>109634.17071364858</v>
      </c>
      <c r="Z967" s="784"/>
    </row>
    <row r="968" spans="1:26" x14ac:dyDescent="0.25">
      <c r="A968" s="772" t="s">
        <v>20</v>
      </c>
      <c r="B968" s="750">
        <v>26482</v>
      </c>
      <c r="C968" s="773">
        <v>1463</v>
      </c>
      <c r="D968" s="750">
        <f t="shared" si="206"/>
        <v>38743.165999999997</v>
      </c>
      <c r="E968" s="750">
        <v>10030</v>
      </c>
      <c r="F968" s="750">
        <v>392.0522532758003</v>
      </c>
      <c r="G968" s="750">
        <f t="shared" si="207"/>
        <v>3932.2841003562771</v>
      </c>
      <c r="H968" s="750">
        <v>6525</v>
      </c>
      <c r="I968" s="757">
        <v>464</v>
      </c>
      <c r="J968" s="750">
        <f t="shared" si="208"/>
        <v>3027.6</v>
      </c>
      <c r="K968" s="750">
        <v>2472</v>
      </c>
      <c r="L968" s="757">
        <v>2280</v>
      </c>
      <c r="M968" s="750">
        <f t="shared" si="209"/>
        <v>5636.16</v>
      </c>
      <c r="N968" s="750">
        <v>605</v>
      </c>
      <c r="O968" s="750">
        <v>1400</v>
      </c>
      <c r="P968" s="750">
        <f t="shared" si="210"/>
        <v>847</v>
      </c>
      <c r="Q968" s="750">
        <v>2577</v>
      </c>
      <c r="R968" s="775">
        <v>4333</v>
      </c>
      <c r="S968" s="750">
        <f t="shared" si="211"/>
        <v>11166.141</v>
      </c>
      <c r="T968" s="750"/>
      <c r="U968" s="749"/>
      <c r="V968" s="750">
        <f t="shared" si="212"/>
        <v>0</v>
      </c>
      <c r="W968" s="750">
        <f t="shared" si="213"/>
        <v>48691</v>
      </c>
      <c r="X968" s="750">
        <f t="shared" si="214"/>
        <v>63352.351100356274</v>
      </c>
      <c r="Z968" s="784"/>
    </row>
    <row r="969" spans="1:26" x14ac:dyDescent="0.25">
      <c r="A969" s="772" t="s">
        <v>133</v>
      </c>
      <c r="B969" s="750">
        <v>52575</v>
      </c>
      <c r="C969" s="773">
        <v>1176</v>
      </c>
      <c r="D969" s="750">
        <f t="shared" si="206"/>
        <v>61828.2</v>
      </c>
      <c r="E969" s="750">
        <v>14423</v>
      </c>
      <c r="F969" s="750">
        <v>434</v>
      </c>
      <c r="G969" s="750">
        <f t="shared" si="207"/>
        <v>6259.5820000000003</v>
      </c>
      <c r="H969" s="750">
        <v>29598</v>
      </c>
      <c r="I969" s="750">
        <v>563.2902266288952</v>
      </c>
      <c r="J969" s="750">
        <f t="shared" si="208"/>
        <v>16672.264127762039</v>
      </c>
      <c r="K969" s="750">
        <v>0</v>
      </c>
      <c r="L969" s="757"/>
      <c r="M969" s="750">
        <f t="shared" si="209"/>
        <v>0</v>
      </c>
      <c r="N969" s="750">
        <v>371</v>
      </c>
      <c r="O969" s="750">
        <v>950</v>
      </c>
      <c r="P969" s="750">
        <f t="shared" si="210"/>
        <v>352.45</v>
      </c>
      <c r="Q969" s="750">
        <v>0</v>
      </c>
      <c r="R969" s="775"/>
      <c r="S969" s="750">
        <f t="shared" si="211"/>
        <v>0</v>
      </c>
      <c r="T969" s="750">
        <v>0</v>
      </c>
      <c r="U969" s="749"/>
      <c r="V969" s="750">
        <f t="shared" si="212"/>
        <v>0</v>
      </c>
      <c r="W969" s="750">
        <f t="shared" si="213"/>
        <v>96967</v>
      </c>
      <c r="X969" s="750">
        <f t="shared" si="214"/>
        <v>85112.496127762031</v>
      </c>
      <c r="Z969" s="784"/>
    </row>
    <row r="970" spans="1:26" x14ac:dyDescent="0.25">
      <c r="A970" s="772" t="s">
        <v>21</v>
      </c>
      <c r="B970" s="750">
        <v>0</v>
      </c>
      <c r="C970" s="773"/>
      <c r="D970" s="750">
        <f t="shared" si="206"/>
        <v>0</v>
      </c>
      <c r="E970" s="750">
        <v>0</v>
      </c>
      <c r="F970" s="757"/>
      <c r="G970" s="750">
        <f t="shared" si="207"/>
        <v>0</v>
      </c>
      <c r="H970" s="750">
        <v>0</v>
      </c>
      <c r="I970" s="750">
        <v>206.75</v>
      </c>
      <c r="J970" s="750">
        <f t="shared" si="208"/>
        <v>0</v>
      </c>
      <c r="K970" s="750">
        <v>0</v>
      </c>
      <c r="L970" s="757"/>
      <c r="M970" s="750">
        <f t="shared" si="209"/>
        <v>0</v>
      </c>
      <c r="N970" s="750">
        <v>0</v>
      </c>
      <c r="O970" s="750"/>
      <c r="P970" s="750">
        <f t="shared" si="210"/>
        <v>0</v>
      </c>
      <c r="Q970" s="750">
        <v>0</v>
      </c>
      <c r="R970" s="775"/>
      <c r="S970" s="750">
        <f t="shared" si="211"/>
        <v>0</v>
      </c>
      <c r="T970" s="750"/>
      <c r="U970" s="749"/>
      <c r="V970" s="750">
        <f t="shared" si="212"/>
        <v>0</v>
      </c>
      <c r="W970" s="750">
        <f t="shared" si="213"/>
        <v>0</v>
      </c>
      <c r="X970" s="750">
        <f t="shared" si="214"/>
        <v>0</v>
      </c>
      <c r="Z970" s="784"/>
    </row>
    <row r="971" spans="1:26" x14ac:dyDescent="0.25">
      <c r="A971" s="772" t="s">
        <v>22</v>
      </c>
      <c r="B971" s="750">
        <v>730</v>
      </c>
      <c r="C971" s="773">
        <v>1400</v>
      </c>
      <c r="D971" s="750">
        <f t="shared" si="206"/>
        <v>1022</v>
      </c>
      <c r="E971" s="750">
        <v>0</v>
      </c>
      <c r="F971" s="757"/>
      <c r="G971" s="750">
        <f t="shared" si="207"/>
        <v>0</v>
      </c>
      <c r="H971" s="750">
        <v>1457</v>
      </c>
      <c r="I971" s="757">
        <v>1200</v>
      </c>
      <c r="J971" s="750">
        <f t="shared" si="208"/>
        <v>1748.4</v>
      </c>
      <c r="K971" s="750">
        <v>0</v>
      </c>
      <c r="L971" s="757"/>
      <c r="M971" s="750">
        <f t="shared" si="209"/>
        <v>0</v>
      </c>
      <c r="N971" s="750">
        <v>783</v>
      </c>
      <c r="O971" s="750">
        <v>6200</v>
      </c>
      <c r="P971" s="750">
        <f t="shared" si="210"/>
        <v>4854.6000000000004</v>
      </c>
      <c r="Q971" s="750">
        <v>334</v>
      </c>
      <c r="R971" s="775">
        <v>15300</v>
      </c>
      <c r="S971" s="750">
        <f t="shared" si="211"/>
        <v>5110.2</v>
      </c>
      <c r="T971" s="750">
        <v>0</v>
      </c>
      <c r="U971" s="749"/>
      <c r="V971" s="750">
        <f t="shared" si="212"/>
        <v>0</v>
      </c>
      <c r="W971" s="750">
        <f t="shared" si="213"/>
        <v>3304</v>
      </c>
      <c r="X971" s="750">
        <f t="shared" si="214"/>
        <v>12735.2</v>
      </c>
      <c r="Z971" s="784"/>
    </row>
    <row r="972" spans="1:26" x14ac:dyDescent="0.25">
      <c r="A972" s="772" t="s">
        <v>23</v>
      </c>
      <c r="B972" s="750">
        <v>129948</v>
      </c>
      <c r="C972" s="773">
        <v>950</v>
      </c>
      <c r="D972" s="750">
        <f t="shared" si="206"/>
        <v>123450.6</v>
      </c>
      <c r="E972" s="750">
        <v>62492</v>
      </c>
      <c r="F972" s="750">
        <v>389</v>
      </c>
      <c r="G972" s="750">
        <f t="shared" si="207"/>
        <v>24309.387999999999</v>
      </c>
      <c r="H972" s="750">
        <v>12231</v>
      </c>
      <c r="I972" s="750">
        <v>449.4</v>
      </c>
      <c r="J972" s="750">
        <f t="shared" si="208"/>
        <v>5496.6113999999998</v>
      </c>
      <c r="K972" s="750"/>
      <c r="L972" s="757"/>
      <c r="M972" s="750">
        <f t="shared" si="209"/>
        <v>0</v>
      </c>
      <c r="N972" s="750"/>
      <c r="O972" s="750"/>
      <c r="P972" s="750">
        <f t="shared" si="210"/>
        <v>0</v>
      </c>
      <c r="Q972" s="750"/>
      <c r="R972" s="775"/>
      <c r="S972" s="750">
        <f t="shared" si="211"/>
        <v>0</v>
      </c>
      <c r="T972" s="750"/>
      <c r="U972" s="749"/>
      <c r="V972" s="750">
        <f t="shared" si="212"/>
        <v>0</v>
      </c>
      <c r="W972" s="750">
        <f t="shared" si="213"/>
        <v>204671</v>
      </c>
      <c r="X972" s="750">
        <f t="shared" si="214"/>
        <v>153256.59940000001</v>
      </c>
      <c r="Z972" s="784"/>
    </row>
    <row r="973" spans="1:26" x14ac:dyDescent="0.25">
      <c r="A973" s="772" t="s">
        <v>24</v>
      </c>
      <c r="B973" s="750">
        <v>6800</v>
      </c>
      <c r="C973" s="773">
        <v>1067</v>
      </c>
      <c r="D973" s="750">
        <f t="shared" si="206"/>
        <v>7255.6</v>
      </c>
      <c r="E973" s="750">
        <v>7032</v>
      </c>
      <c r="F973" s="750">
        <v>566</v>
      </c>
      <c r="G973" s="750">
        <f t="shared" si="207"/>
        <v>3980.1120000000001</v>
      </c>
      <c r="H973" s="750">
        <v>2719</v>
      </c>
      <c r="I973" s="750">
        <v>661</v>
      </c>
      <c r="J973" s="750">
        <f t="shared" si="208"/>
        <v>1797.259</v>
      </c>
      <c r="K973" s="750">
        <v>449</v>
      </c>
      <c r="L973" s="757">
        <v>973</v>
      </c>
      <c r="M973" s="750">
        <f t="shared" si="209"/>
        <v>436.87700000000001</v>
      </c>
      <c r="N973" s="750">
        <v>1781</v>
      </c>
      <c r="O973" s="750">
        <v>9914</v>
      </c>
      <c r="P973" s="750">
        <f t="shared" si="210"/>
        <v>17656.833999999999</v>
      </c>
      <c r="Q973" s="750">
        <v>2178</v>
      </c>
      <c r="R973" s="775">
        <v>10903</v>
      </c>
      <c r="S973" s="750">
        <f t="shared" si="211"/>
        <v>23746.734</v>
      </c>
      <c r="T973" s="750"/>
      <c r="U973" s="749"/>
      <c r="V973" s="750">
        <f t="shared" si="212"/>
        <v>0</v>
      </c>
      <c r="W973" s="750">
        <f t="shared" si="213"/>
        <v>20959</v>
      </c>
      <c r="X973" s="750">
        <f t="shared" si="214"/>
        <v>54873.415999999997</v>
      </c>
      <c r="Z973" s="784"/>
    </row>
    <row r="974" spans="1:26" x14ac:dyDescent="0.25">
      <c r="A974" s="772" t="s">
        <v>134</v>
      </c>
      <c r="B974" s="750">
        <v>21691</v>
      </c>
      <c r="C974" s="773">
        <v>1097</v>
      </c>
      <c r="D974" s="750">
        <f t="shared" si="206"/>
        <v>23795.026999999998</v>
      </c>
      <c r="E974" s="750">
        <v>51284</v>
      </c>
      <c r="F974" s="750">
        <v>517</v>
      </c>
      <c r="G974" s="750">
        <f t="shared" si="207"/>
        <v>26513.828000000001</v>
      </c>
      <c r="H974" s="750">
        <v>21691</v>
      </c>
      <c r="I974" s="750">
        <v>605.54530497120697</v>
      </c>
      <c r="J974" s="750">
        <f t="shared" si="208"/>
        <v>13134.883210130451</v>
      </c>
      <c r="K974" s="750"/>
      <c r="L974" s="757"/>
      <c r="M974" s="750">
        <f t="shared" si="209"/>
        <v>0</v>
      </c>
      <c r="N974" s="750"/>
      <c r="O974" s="757"/>
      <c r="P974" s="750">
        <f t="shared" si="210"/>
        <v>0</v>
      </c>
      <c r="Q974" s="750"/>
      <c r="R974" s="775"/>
      <c r="S974" s="750">
        <f t="shared" si="211"/>
        <v>0</v>
      </c>
      <c r="T974" s="750"/>
      <c r="U974" s="749"/>
      <c r="V974" s="750">
        <f t="shared" si="212"/>
        <v>0</v>
      </c>
      <c r="W974" s="750">
        <f t="shared" si="213"/>
        <v>94666</v>
      </c>
      <c r="X974" s="750">
        <f t="shared" si="214"/>
        <v>63443.738210130447</v>
      </c>
      <c r="Z974" s="784"/>
    </row>
    <row r="975" spans="1:26" x14ac:dyDescent="0.25">
      <c r="A975" s="772" t="s">
        <v>161</v>
      </c>
      <c r="B975" s="750">
        <v>17537</v>
      </c>
      <c r="C975" s="773">
        <v>1842</v>
      </c>
      <c r="D975" s="750">
        <f t="shared" si="206"/>
        <v>32303.153999999999</v>
      </c>
      <c r="E975" s="750">
        <v>4606</v>
      </c>
      <c r="F975" s="750">
        <v>298.9580007074178</v>
      </c>
      <c r="G975" s="750">
        <f t="shared" si="207"/>
        <v>1377.0005512583664</v>
      </c>
      <c r="H975" s="750">
        <v>4616</v>
      </c>
      <c r="I975" s="750">
        <v>436.16566389735073</v>
      </c>
      <c r="J975" s="750">
        <f t="shared" si="208"/>
        <v>2013.340704550171</v>
      </c>
      <c r="K975" s="750"/>
      <c r="L975" s="757"/>
      <c r="M975" s="750">
        <f t="shared" si="209"/>
        <v>0</v>
      </c>
      <c r="N975" s="750"/>
      <c r="O975" s="757"/>
      <c r="P975" s="750">
        <f t="shared" si="210"/>
        <v>0</v>
      </c>
      <c r="Q975" s="750"/>
      <c r="R975" s="775"/>
      <c r="S975" s="750">
        <f t="shared" si="211"/>
        <v>0</v>
      </c>
      <c r="T975" s="750"/>
      <c r="U975" s="749"/>
      <c r="V975" s="750">
        <f t="shared" si="212"/>
        <v>0</v>
      </c>
      <c r="W975" s="750">
        <f t="shared" si="213"/>
        <v>26759</v>
      </c>
      <c r="X975" s="750">
        <f t="shared" si="214"/>
        <v>35693.495255808535</v>
      </c>
      <c r="Z975" s="784"/>
    </row>
    <row r="976" spans="1:26" x14ac:dyDescent="0.25">
      <c r="A976" s="767" t="s">
        <v>173</v>
      </c>
      <c r="B976" s="777">
        <f>SUM(B965:B975)</f>
        <v>334903</v>
      </c>
      <c r="C976" s="773"/>
      <c r="D976" s="777">
        <f>SUM(D965:D975)</f>
        <v>392230.73300000001</v>
      </c>
      <c r="E976" s="777">
        <f>SUM(E965:E975)</f>
        <v>171162</v>
      </c>
      <c r="F976" s="696"/>
      <c r="G976" s="777">
        <f>SUM(G965:G975)</f>
        <v>74530.744365263206</v>
      </c>
      <c r="H976" s="777">
        <f>SUM(H965:H975)</f>
        <v>230721</v>
      </c>
      <c r="I976" s="696"/>
      <c r="J976" s="777">
        <f>SUM(J965:J975)</f>
        <v>134310.01444244268</v>
      </c>
      <c r="K976" s="777">
        <f>SUM(K965:K975)</f>
        <v>2921</v>
      </c>
      <c r="L976" s="696"/>
      <c r="M976" s="777">
        <f>SUM(M965:M975)</f>
        <v>6073.0370000000003</v>
      </c>
      <c r="N976" s="777">
        <f>SUM(N965:N975)</f>
        <v>3871</v>
      </c>
      <c r="O976" s="696"/>
      <c r="P976" s="777">
        <f>SUM(P965:P975)</f>
        <v>24267.956999999999</v>
      </c>
      <c r="Q976" s="777">
        <f>SUM(Q965:Q975)</f>
        <v>5089</v>
      </c>
      <c r="R976" s="696"/>
      <c r="S976" s="777">
        <f>SUM(S965:S975)</f>
        <v>40023.074999999997</v>
      </c>
      <c r="T976" s="777">
        <f>SUM(T965:T975)</f>
        <v>0</v>
      </c>
      <c r="U976" s="749"/>
      <c r="V976" s="777">
        <f>SUM(V965:V975)</f>
        <v>0</v>
      </c>
      <c r="W976" s="777">
        <f>SUM(W965:W975)</f>
        <v>748667</v>
      </c>
      <c r="X976" s="777">
        <f>SUM(X965:X975)</f>
        <v>671435.56080770597</v>
      </c>
      <c r="Z976" s="784"/>
    </row>
    <row r="977" spans="1:26" x14ac:dyDescent="0.25">
      <c r="A977" s="778" t="s">
        <v>135</v>
      </c>
      <c r="B977" s="750">
        <v>47577.5</v>
      </c>
      <c r="C977" s="460">
        <v>1813</v>
      </c>
      <c r="D977" s="750">
        <f>B977*C977/1000</f>
        <v>86258.007500000007</v>
      </c>
      <c r="E977" s="750">
        <v>19655.5</v>
      </c>
      <c r="F977" s="757">
        <v>970</v>
      </c>
      <c r="G977" s="750">
        <f>E977*F977/1000</f>
        <v>19065.834999999999</v>
      </c>
      <c r="H977" s="750">
        <v>21019.5</v>
      </c>
      <c r="I977" s="757">
        <v>909</v>
      </c>
      <c r="J977" s="750">
        <f>H977*I977/1000</f>
        <v>19106.7255</v>
      </c>
      <c r="K977" s="750">
        <v>4561.5</v>
      </c>
      <c r="L977" s="757">
        <v>1861</v>
      </c>
      <c r="M977" s="750">
        <f>K977*L977/1000</f>
        <v>8488.9514999999992</v>
      </c>
      <c r="N977" s="750">
        <v>4657.5</v>
      </c>
      <c r="O977" s="750">
        <v>5125.6284741973304</v>
      </c>
      <c r="P977" s="750">
        <f>N977*O977/1000</f>
        <v>23872.614618574069</v>
      </c>
      <c r="Q977" s="750">
        <v>387</v>
      </c>
      <c r="R977" s="775">
        <v>6500</v>
      </c>
      <c r="S977" s="750">
        <f>Q977*R977/1000</f>
        <v>2515.5</v>
      </c>
      <c r="T977" s="750">
        <v>3471</v>
      </c>
      <c r="U977" s="750">
        <v>2700</v>
      </c>
      <c r="V977" s="750">
        <f>T977*U977/1000</f>
        <v>9371.7000000000007</v>
      </c>
      <c r="W977" s="750">
        <f>B977+E977+H977+K977+N977+Q977+T977</f>
        <v>101329.5</v>
      </c>
      <c r="X977" s="750">
        <f>D977+G977+J977+M977+P977+S977+V976</f>
        <v>159307.63411857406</v>
      </c>
      <c r="Z977" s="784"/>
    </row>
    <row r="978" spans="1:26" x14ac:dyDescent="0.25">
      <c r="A978" s="778" t="s">
        <v>136</v>
      </c>
      <c r="B978" s="750">
        <v>17726.5</v>
      </c>
      <c r="C978" s="757">
        <v>927</v>
      </c>
      <c r="D978" s="750">
        <f t="shared" ref="D978:D983" si="215">B978*C978/1000</f>
        <v>16432.465499999998</v>
      </c>
      <c r="E978" s="750">
        <v>17770</v>
      </c>
      <c r="F978" s="757">
        <v>448</v>
      </c>
      <c r="G978" s="750">
        <f t="shared" ref="G978:G983" si="216">E978*F978/1000</f>
        <v>7960.96</v>
      </c>
      <c r="H978" s="750">
        <v>13567.5</v>
      </c>
      <c r="I978" s="757">
        <v>554</v>
      </c>
      <c r="J978" s="750">
        <f t="shared" ref="J978:J983" si="217">H978*I978/1000</f>
        <v>7516.3950000000004</v>
      </c>
      <c r="K978" s="750">
        <v>3919.5</v>
      </c>
      <c r="L978" s="750">
        <v>530.25</v>
      </c>
      <c r="M978" s="750">
        <f t="shared" ref="M978:M983" si="218">K978*L978/1000</f>
        <v>2078.314875</v>
      </c>
      <c r="N978" s="750">
        <v>1982.5</v>
      </c>
      <c r="O978" s="750">
        <v>5951.9787022608116</v>
      </c>
      <c r="P978" s="750">
        <f t="shared" ref="P978:P983" si="219">N978*O978/1000</f>
        <v>11799.797777232059</v>
      </c>
      <c r="Q978" s="750">
        <v>0</v>
      </c>
      <c r="R978" s="775"/>
      <c r="S978" s="750">
        <f t="shared" ref="S978:S983" si="220">Q978*R978/1000</f>
        <v>0</v>
      </c>
      <c r="T978" s="750">
        <v>1456.5</v>
      </c>
      <c r="U978" s="750">
        <v>3061.8</v>
      </c>
      <c r="V978" s="750">
        <f t="shared" ref="V978:V983" si="221">T978*U978/1000</f>
        <v>4459.5117</v>
      </c>
      <c r="W978" s="750">
        <f t="shared" ref="W978:W983" si="222">B978+E978+H978+K978+N978+Q978+T978</f>
        <v>56422.5</v>
      </c>
      <c r="X978" s="750">
        <f t="shared" ref="X978:X983" si="223">D978+G978+J978+M978+P978+S978+V977</f>
        <v>55159.633152232054</v>
      </c>
      <c r="Z978" s="784"/>
    </row>
    <row r="979" spans="1:26" x14ac:dyDescent="0.25">
      <c r="A979" s="778" t="s">
        <v>137</v>
      </c>
      <c r="B979" s="750">
        <v>27432.5</v>
      </c>
      <c r="C979" s="757">
        <v>1071</v>
      </c>
      <c r="D979" s="750">
        <f t="shared" si="215"/>
        <v>29380.2075</v>
      </c>
      <c r="E979" s="750">
        <v>12669.5</v>
      </c>
      <c r="F979" s="757">
        <v>560</v>
      </c>
      <c r="G979" s="750">
        <f t="shared" si="216"/>
        <v>7094.92</v>
      </c>
      <c r="H979" s="750">
        <v>9010</v>
      </c>
      <c r="I979" s="750">
        <v>540</v>
      </c>
      <c r="J979" s="750">
        <f t="shared" si="217"/>
        <v>4865.3999999999996</v>
      </c>
      <c r="K979" s="750">
        <v>2231.5</v>
      </c>
      <c r="L979" s="750">
        <v>980</v>
      </c>
      <c r="M979" s="750">
        <f t="shared" si="218"/>
        <v>2186.87</v>
      </c>
      <c r="N979" s="750">
        <v>1939</v>
      </c>
      <c r="O979" s="750">
        <v>1800</v>
      </c>
      <c r="P979" s="750">
        <f t="shared" si="219"/>
        <v>3490.2</v>
      </c>
      <c r="Q979" s="750">
        <v>0</v>
      </c>
      <c r="R979" s="775"/>
      <c r="S979" s="750">
        <f t="shared" si="220"/>
        <v>0</v>
      </c>
      <c r="T979" s="750">
        <v>768.5</v>
      </c>
      <c r="U979" s="750">
        <v>1045</v>
      </c>
      <c r="V979" s="750">
        <f t="shared" si="221"/>
        <v>803.08249999999998</v>
      </c>
      <c r="W979" s="750">
        <f t="shared" si="222"/>
        <v>54051</v>
      </c>
      <c r="X979" s="750">
        <f t="shared" si="223"/>
        <v>51477.109200000006</v>
      </c>
      <c r="Z979" s="784"/>
    </row>
    <row r="980" spans="1:26" x14ac:dyDescent="0.25">
      <c r="A980" s="778" t="s">
        <v>73</v>
      </c>
      <c r="B980" s="750">
        <v>27709.3</v>
      </c>
      <c r="C980" s="757">
        <v>1164</v>
      </c>
      <c r="D980" s="750">
        <f t="shared" si="215"/>
        <v>32253.625199999999</v>
      </c>
      <c r="E980" s="750">
        <v>11181</v>
      </c>
      <c r="F980" s="750">
        <v>457.84039752674852</v>
      </c>
      <c r="G980" s="750">
        <f t="shared" si="216"/>
        <v>5119.1134847465755</v>
      </c>
      <c r="H980" s="750">
        <v>10739</v>
      </c>
      <c r="I980" s="750">
        <v>664.27854584856129</v>
      </c>
      <c r="J980" s="750">
        <f t="shared" si="217"/>
        <v>7133.6873038676995</v>
      </c>
      <c r="K980" s="750">
        <v>2912</v>
      </c>
      <c r="L980" s="757">
        <v>1019</v>
      </c>
      <c r="M980" s="750">
        <f t="shared" si="218"/>
        <v>2967.328</v>
      </c>
      <c r="N980" s="750">
        <v>4019</v>
      </c>
      <c r="O980" s="750">
        <v>4223.5794295816704</v>
      </c>
      <c r="P980" s="750">
        <f t="shared" si="219"/>
        <v>16974.565727488734</v>
      </c>
      <c r="Q980" s="750">
        <v>1182</v>
      </c>
      <c r="R980" s="775">
        <v>7000</v>
      </c>
      <c r="S980" s="750">
        <f t="shared" si="220"/>
        <v>8274</v>
      </c>
      <c r="T980" s="750"/>
      <c r="U980" s="750"/>
      <c r="V980" s="750">
        <f t="shared" si="221"/>
        <v>0</v>
      </c>
      <c r="W980" s="750">
        <f t="shared" si="222"/>
        <v>57742.3</v>
      </c>
      <c r="X980" s="750">
        <f t="shared" si="223"/>
        <v>73525.402216103015</v>
      </c>
      <c r="Z980" s="784"/>
    </row>
    <row r="981" spans="1:26" x14ac:dyDescent="0.25">
      <c r="A981" s="778" t="s">
        <v>162</v>
      </c>
      <c r="B981" s="750">
        <v>58830</v>
      </c>
      <c r="C981" s="757">
        <v>1181</v>
      </c>
      <c r="D981" s="750">
        <f t="shared" si="215"/>
        <v>69478.23</v>
      </c>
      <c r="E981" s="750">
        <v>39706</v>
      </c>
      <c r="F981" s="750">
        <v>499.10827289296213</v>
      </c>
      <c r="G981" s="750">
        <f t="shared" si="216"/>
        <v>19817.593083487955</v>
      </c>
      <c r="H981" s="750">
        <v>10559</v>
      </c>
      <c r="I981" s="750">
        <v>456.54003116515997</v>
      </c>
      <c r="J981" s="750">
        <f t="shared" si="217"/>
        <v>4820.6061890729234</v>
      </c>
      <c r="K981" s="750">
        <v>0</v>
      </c>
      <c r="L981" s="757"/>
      <c r="M981" s="750">
        <f t="shared" si="218"/>
        <v>0</v>
      </c>
      <c r="N981" s="750">
        <v>4414</v>
      </c>
      <c r="O981" s="750">
        <v>9946.9297215983715</v>
      </c>
      <c r="P981" s="750">
        <f t="shared" si="219"/>
        <v>43905.747791135211</v>
      </c>
      <c r="Q981" s="750">
        <v>600</v>
      </c>
      <c r="R981" s="775">
        <v>5650</v>
      </c>
      <c r="S981" s="750">
        <f t="shared" si="220"/>
        <v>3390</v>
      </c>
      <c r="T981" s="750">
        <v>111</v>
      </c>
      <c r="U981" s="750">
        <v>1800</v>
      </c>
      <c r="V981" s="750">
        <f t="shared" si="221"/>
        <v>199.8</v>
      </c>
      <c r="W981" s="750">
        <f t="shared" si="222"/>
        <v>114220</v>
      </c>
      <c r="X981" s="750">
        <f t="shared" si="223"/>
        <v>141412.17706369609</v>
      </c>
      <c r="Z981" s="784"/>
    </row>
    <row r="982" spans="1:26" x14ac:dyDescent="0.25">
      <c r="A982" s="778" t="s">
        <v>163</v>
      </c>
      <c r="B982" s="750">
        <v>35896</v>
      </c>
      <c r="C982" s="757">
        <v>1778</v>
      </c>
      <c r="D982" s="750">
        <f t="shared" si="215"/>
        <v>63823.088000000003</v>
      </c>
      <c r="E982" s="750">
        <v>22018</v>
      </c>
      <c r="F982" s="750">
        <v>614.22690158869466</v>
      </c>
      <c r="G982" s="750">
        <f t="shared" si="216"/>
        <v>13524.047919179879</v>
      </c>
      <c r="H982" s="750">
        <v>12273</v>
      </c>
      <c r="I982" s="750">
        <v>622.27104254907647</v>
      </c>
      <c r="J982" s="750">
        <f t="shared" si="217"/>
        <v>7637.1325052048151</v>
      </c>
      <c r="K982" s="750">
        <v>8095</v>
      </c>
      <c r="L982" s="757">
        <v>1394</v>
      </c>
      <c r="M982" s="750">
        <f t="shared" si="218"/>
        <v>11284.43</v>
      </c>
      <c r="N982" s="750">
        <v>0</v>
      </c>
      <c r="O982" s="750">
        <v>7152.2480102985737</v>
      </c>
      <c r="P982" s="750">
        <f t="shared" si="219"/>
        <v>0</v>
      </c>
      <c r="Q982" s="750">
        <v>5551</v>
      </c>
      <c r="R982" s="775">
        <v>6500</v>
      </c>
      <c r="S982" s="750">
        <f t="shared" si="220"/>
        <v>36081.5</v>
      </c>
      <c r="T982" s="750">
        <v>4398</v>
      </c>
      <c r="U982" s="750">
        <v>1150</v>
      </c>
      <c r="V982" s="750">
        <f t="shared" si="221"/>
        <v>5057.7</v>
      </c>
      <c r="W982" s="750">
        <f t="shared" si="222"/>
        <v>88231</v>
      </c>
      <c r="X982" s="750">
        <f t="shared" si="223"/>
        <v>132549.99842438468</v>
      </c>
      <c r="Z982" s="784"/>
    </row>
    <row r="983" spans="1:26" x14ac:dyDescent="0.25">
      <c r="A983" s="778" t="s">
        <v>27</v>
      </c>
      <c r="B983" s="750">
        <v>27730.3</v>
      </c>
      <c r="C983" s="757">
        <v>1092</v>
      </c>
      <c r="D983" s="750">
        <f t="shared" si="215"/>
        <v>30281.487599999997</v>
      </c>
      <c r="E983" s="750">
        <v>11720</v>
      </c>
      <c r="F983" s="750">
        <v>470.1875727466757</v>
      </c>
      <c r="G983" s="750">
        <f t="shared" si="216"/>
        <v>5510.5983525910397</v>
      </c>
      <c r="H983" s="750">
        <v>8253</v>
      </c>
      <c r="I983" s="757">
        <v>693</v>
      </c>
      <c r="J983" s="750">
        <f t="shared" si="217"/>
        <v>5719.3289999999997</v>
      </c>
      <c r="K983" s="750">
        <v>0</v>
      </c>
      <c r="L983" s="757">
        <v>501</v>
      </c>
      <c r="M983" s="750">
        <f t="shared" si="218"/>
        <v>0</v>
      </c>
      <c r="N983" s="750">
        <v>3407</v>
      </c>
      <c r="O983" s="750">
        <v>4890</v>
      </c>
      <c r="P983" s="750">
        <f t="shared" si="219"/>
        <v>16660.23</v>
      </c>
      <c r="Q983" s="750">
        <v>580</v>
      </c>
      <c r="R983" s="775">
        <v>11800</v>
      </c>
      <c r="S983" s="750">
        <f t="shared" si="220"/>
        <v>6844</v>
      </c>
      <c r="T983" s="750">
        <v>337</v>
      </c>
      <c r="U983" s="750">
        <v>1133.3333333333333</v>
      </c>
      <c r="V983" s="750">
        <f t="shared" si="221"/>
        <v>381.93333333333334</v>
      </c>
      <c r="W983" s="750">
        <f t="shared" si="222"/>
        <v>52027.3</v>
      </c>
      <c r="X983" s="750">
        <f t="shared" si="223"/>
        <v>70073.344952591026</v>
      </c>
      <c r="Z983" s="784"/>
    </row>
    <row r="984" spans="1:26" x14ac:dyDescent="0.25">
      <c r="A984" s="779" t="s">
        <v>174</v>
      </c>
      <c r="B984" s="777">
        <f>SUM(B977:B983)</f>
        <v>242902.09999999998</v>
      </c>
      <c r="C984" s="777"/>
      <c r="D984" s="777">
        <f>SUM(D977:D983)</f>
        <v>327907.11129999999</v>
      </c>
      <c r="E984" s="777">
        <f>SUM(E977:E983)</f>
        <v>134720</v>
      </c>
      <c r="F984" s="777"/>
      <c r="G984" s="777">
        <f>SUM(G977:G983)</f>
        <v>78093.067840005446</v>
      </c>
      <c r="H984" s="777">
        <f>SUM(H977:H983)</f>
        <v>85421</v>
      </c>
      <c r="I984" s="777"/>
      <c r="J984" s="777">
        <f>SUM(J977:J983)</f>
        <v>56799.275498145435</v>
      </c>
      <c r="K984" s="777">
        <f>SUM(K977:K983)</f>
        <v>21719.5</v>
      </c>
      <c r="L984" s="777"/>
      <c r="M984" s="777">
        <f>SUM(M977:M983)</f>
        <v>27005.894374999996</v>
      </c>
      <c r="N984" s="777">
        <f>SUM(N977:N983)</f>
        <v>20419</v>
      </c>
      <c r="O984" s="777"/>
      <c r="P984" s="777">
        <f>SUM(P977:P983)</f>
        <v>116703.15591443006</v>
      </c>
      <c r="Q984" s="777">
        <f>SUM(Q977:Q983)</f>
        <v>8300</v>
      </c>
      <c r="R984" s="777"/>
      <c r="S984" s="777">
        <f>SUM(S977:S983)</f>
        <v>57105</v>
      </c>
      <c r="T984" s="777">
        <f>SUM(T977:T983)</f>
        <v>10542</v>
      </c>
      <c r="U984" s="777"/>
      <c r="V984" s="777">
        <f>SUM(V977:V983)</f>
        <v>20273.727533333335</v>
      </c>
      <c r="W984" s="777">
        <f>SUM(W977:W983)</f>
        <v>524023.6</v>
      </c>
      <c r="X984" s="777">
        <f>SUM(X977:X983)</f>
        <v>683505.29912758083</v>
      </c>
      <c r="Z984" s="784"/>
    </row>
    <row r="985" spans="1:26" x14ac:dyDescent="0.25">
      <c r="A985" s="779" t="s">
        <v>32</v>
      </c>
      <c r="B985" s="777">
        <f>B976+B984</f>
        <v>577805.1</v>
      </c>
      <c r="C985" s="777"/>
      <c r="D985" s="777">
        <f>D976+D984</f>
        <v>720137.8443</v>
      </c>
      <c r="E985" s="777">
        <f>E976+E984</f>
        <v>305882</v>
      </c>
      <c r="F985" s="777"/>
      <c r="G985" s="777">
        <f>G976+G984</f>
        <v>152623.81220526865</v>
      </c>
      <c r="H985" s="777">
        <f>H976+H984</f>
        <v>316142</v>
      </c>
      <c r="I985" s="777"/>
      <c r="J985" s="777">
        <f>J976+J984</f>
        <v>191109.28994058812</v>
      </c>
      <c r="K985" s="777">
        <f>K976+K984</f>
        <v>24640.5</v>
      </c>
      <c r="L985" s="777"/>
      <c r="M985" s="777">
        <f>M976+M984</f>
        <v>33078.931375</v>
      </c>
      <c r="N985" s="777">
        <f>N976+N984</f>
        <v>24290</v>
      </c>
      <c r="O985" s="777"/>
      <c r="P985" s="777">
        <f>P976+P984</f>
        <v>140971.11291443006</v>
      </c>
      <c r="Q985" s="777">
        <f>Q976+Q984</f>
        <v>13389</v>
      </c>
      <c r="R985" s="777"/>
      <c r="S985" s="777">
        <f>S976+S984</f>
        <v>97128.074999999997</v>
      </c>
      <c r="T985" s="777">
        <f>T976+T984</f>
        <v>10542</v>
      </c>
      <c r="U985" s="777"/>
      <c r="V985" s="777">
        <f>V976+V984</f>
        <v>20273.727533333335</v>
      </c>
      <c r="W985" s="777">
        <f>W976+W984</f>
        <v>1272690.6000000001</v>
      </c>
      <c r="X985" s="777">
        <f>X976+X984</f>
        <v>1354940.8599352869</v>
      </c>
      <c r="Z985" s="784"/>
    </row>
    <row r="986" spans="1:26" x14ac:dyDescent="0.25">
      <c r="A986" s="762" t="s">
        <v>212</v>
      </c>
      <c r="B986" s="780"/>
      <c r="D986" s="781"/>
      <c r="E986" s="781"/>
      <c r="F986" s="781"/>
      <c r="G986" s="781"/>
      <c r="H986" s="781"/>
      <c r="I986" s="781"/>
      <c r="J986" s="781"/>
      <c r="K986" s="781"/>
      <c r="L986" s="781"/>
      <c r="M986" s="781"/>
      <c r="N986" s="781"/>
      <c r="O986" s="781"/>
      <c r="P986" s="781"/>
      <c r="Q986" s="781"/>
      <c r="R986" s="781"/>
      <c r="S986" s="781"/>
      <c r="T986" s="781"/>
      <c r="U986" s="781"/>
      <c r="V986" s="781"/>
      <c r="W986" s="781"/>
      <c r="X986" s="781"/>
    </row>
    <row r="989" spans="1:26" ht="21" x14ac:dyDescent="0.35">
      <c r="A989" s="792" t="s">
        <v>228</v>
      </c>
      <c r="B989" s="792"/>
      <c r="C989" s="792"/>
      <c r="D989" s="792"/>
    </row>
    <row r="990" spans="1:26" ht="21" x14ac:dyDescent="0.35">
      <c r="A990" s="792" t="s">
        <v>229</v>
      </c>
      <c r="B990" s="792"/>
      <c r="C990" s="792"/>
      <c r="D990" s="792"/>
    </row>
    <row r="993" spans="1:24" ht="26.25" x14ac:dyDescent="0.4">
      <c r="A993" s="868" t="s">
        <v>230</v>
      </c>
      <c r="B993" s="868"/>
      <c r="C993" s="868"/>
      <c r="D993" s="868"/>
      <c r="E993" s="868"/>
      <c r="F993" s="868"/>
      <c r="G993" s="868"/>
      <c r="H993" s="868"/>
      <c r="I993" s="868"/>
      <c r="J993" s="868"/>
      <c r="K993" s="868"/>
      <c r="L993" s="868"/>
      <c r="M993" s="868"/>
      <c r="N993" s="868"/>
      <c r="O993" s="868"/>
      <c r="P993" s="868"/>
      <c r="Q993" s="868"/>
      <c r="R993" s="868"/>
      <c r="S993" s="868"/>
      <c r="T993" s="868"/>
      <c r="U993" s="868"/>
      <c r="V993" s="868"/>
      <c r="W993" s="868"/>
      <c r="X993" s="868"/>
    </row>
    <row r="994" spans="1:24" ht="21" thickBot="1" x14ac:dyDescent="0.35">
      <c r="A994" s="314" t="s">
        <v>123</v>
      </c>
      <c r="B994" s="450"/>
      <c r="C994" s="450"/>
      <c r="D994" s="450"/>
      <c r="E994" s="450"/>
      <c r="F994" s="450" t="s">
        <v>34</v>
      </c>
      <c r="G994" s="450"/>
      <c r="H994" s="450"/>
      <c r="I994" s="450" t="s">
        <v>102</v>
      </c>
      <c r="J994" s="450"/>
      <c r="K994" s="450"/>
      <c r="L994" s="450"/>
      <c r="M994" s="450"/>
      <c r="N994" s="450" t="s">
        <v>36</v>
      </c>
      <c r="O994" s="450"/>
      <c r="P994" s="450"/>
      <c r="Q994" s="450"/>
      <c r="R994" s="450"/>
      <c r="S994" s="450"/>
      <c r="T994" s="450"/>
      <c r="U994" s="450"/>
      <c r="V994" s="450"/>
      <c r="W994" s="450"/>
      <c r="X994" s="450"/>
    </row>
    <row r="995" spans="1:24" ht="16.5" thickBot="1" x14ac:dyDescent="0.3">
      <c r="A995" s="793" t="s">
        <v>2</v>
      </c>
      <c r="B995" s="944" t="s">
        <v>3</v>
      </c>
      <c r="C995" s="945"/>
      <c r="D995" s="946"/>
      <c r="E995" s="947" t="s">
        <v>4</v>
      </c>
      <c r="F995" s="948"/>
      <c r="G995" s="949"/>
      <c r="H995" s="947" t="s">
        <v>5</v>
      </c>
      <c r="I995" s="948"/>
      <c r="J995" s="949"/>
      <c r="K995" s="947" t="s">
        <v>6</v>
      </c>
      <c r="L995" s="948"/>
      <c r="M995" s="949"/>
      <c r="N995" s="947" t="s">
        <v>7</v>
      </c>
      <c r="O995" s="948"/>
      <c r="P995" s="949"/>
      <c r="Q995" s="947" t="s">
        <v>8</v>
      </c>
      <c r="R995" s="948"/>
      <c r="S995" s="949"/>
      <c r="T995" s="947" t="s">
        <v>9</v>
      </c>
      <c r="U995" s="948"/>
      <c r="V995" s="949"/>
      <c r="W995" s="947" t="s">
        <v>10</v>
      </c>
      <c r="X995" s="949"/>
    </row>
    <row r="996" spans="1:24" x14ac:dyDescent="0.25">
      <c r="A996" s="794" t="s">
        <v>131</v>
      </c>
      <c r="B996" s="795" t="s">
        <v>12</v>
      </c>
      <c r="C996" s="796" t="s">
        <v>13</v>
      </c>
      <c r="D996" s="797" t="s">
        <v>14</v>
      </c>
      <c r="E996" s="795" t="s">
        <v>12</v>
      </c>
      <c r="F996" s="796" t="s">
        <v>13</v>
      </c>
      <c r="G996" s="797" t="s">
        <v>14</v>
      </c>
      <c r="H996" s="795" t="s">
        <v>12</v>
      </c>
      <c r="I996" s="796" t="s">
        <v>13</v>
      </c>
      <c r="J996" s="797" t="s">
        <v>14</v>
      </c>
      <c r="K996" s="795" t="s">
        <v>12</v>
      </c>
      <c r="L996" s="796" t="s">
        <v>13</v>
      </c>
      <c r="M996" s="797" t="s">
        <v>14</v>
      </c>
      <c r="N996" s="795" t="s">
        <v>12</v>
      </c>
      <c r="O996" s="796" t="s">
        <v>13</v>
      </c>
      <c r="P996" s="797" t="s">
        <v>14</v>
      </c>
      <c r="Q996" s="795" t="s">
        <v>12</v>
      </c>
      <c r="R996" s="796" t="s">
        <v>13</v>
      </c>
      <c r="S996" s="797" t="s">
        <v>14</v>
      </c>
      <c r="T996" s="795" t="s">
        <v>12</v>
      </c>
      <c r="U996" s="796" t="s">
        <v>13</v>
      </c>
      <c r="V996" s="797" t="s">
        <v>14</v>
      </c>
      <c r="W996" s="795" t="s">
        <v>12</v>
      </c>
      <c r="X996" s="797" t="s">
        <v>14</v>
      </c>
    </row>
    <row r="997" spans="1:24" x14ac:dyDescent="0.25">
      <c r="A997" s="456" t="s">
        <v>15</v>
      </c>
      <c r="B997" s="798">
        <v>143695.6</v>
      </c>
      <c r="C997" s="798">
        <v>352.21305768762232</v>
      </c>
      <c r="D997" s="798">
        <f>+B997*C997/1000</f>
        <v>50611.466652257499</v>
      </c>
      <c r="E997" s="798">
        <v>55080</v>
      </c>
      <c r="F997" s="798">
        <v>475.7548629637003</v>
      </c>
      <c r="G997" s="798">
        <f>+E997*F997/1000</f>
        <v>26204.577852040613</v>
      </c>
      <c r="H997" s="798">
        <v>60</v>
      </c>
      <c r="I997" s="798">
        <v>357</v>
      </c>
      <c r="J997" s="798">
        <f>+H997*I997/1000</f>
        <v>21.42</v>
      </c>
      <c r="K997" s="798">
        <v>2</v>
      </c>
      <c r="L997" s="798">
        <v>827.75000000000011</v>
      </c>
      <c r="M997" s="798">
        <f>+K997*L997/1000</f>
        <v>1.6555000000000002</v>
      </c>
      <c r="N997" s="798">
        <v>109100</v>
      </c>
      <c r="O997" s="798">
        <v>582.12</v>
      </c>
      <c r="P997" s="798">
        <f>+N997*O997/1000</f>
        <v>63509.292000000001</v>
      </c>
      <c r="Q997" s="798"/>
      <c r="R997" s="798"/>
      <c r="S997" s="798"/>
      <c r="T997" s="457"/>
      <c r="U997" s="457"/>
      <c r="V997" s="457"/>
      <c r="W997" s="457">
        <f>T997+Q997+N997+K997+H997+E997+B997</f>
        <v>307937.59999999998</v>
      </c>
      <c r="X997" s="457">
        <f>+V997+S997+P997+M997+J997+G997+D997</f>
        <v>140348.41200429812</v>
      </c>
    </row>
    <row r="998" spans="1:24" x14ac:dyDescent="0.25">
      <c r="A998" s="456" t="s">
        <v>132</v>
      </c>
      <c r="B998" s="798">
        <v>29098</v>
      </c>
      <c r="C998" s="798">
        <v>383.25</v>
      </c>
      <c r="D998" s="798">
        <f t="shared" ref="D998:D1007" si="224">+B998*C998/1000</f>
        <v>11151.808499999999</v>
      </c>
      <c r="E998" s="798">
        <v>102</v>
      </c>
      <c r="F998" s="798">
        <v>596.61000000000013</v>
      </c>
      <c r="G998" s="798">
        <f t="shared" ref="G998:G1007" si="225">+E998*F998/1000</f>
        <v>60.854220000000012</v>
      </c>
      <c r="H998" s="798">
        <v>2175</v>
      </c>
      <c r="I998" s="798">
        <v>632.52</v>
      </c>
      <c r="J998" s="798">
        <f t="shared" ref="J998:J1006" si="226">+H998*I998/1000</f>
        <v>1375.731</v>
      </c>
      <c r="K998" s="798"/>
      <c r="L998" s="798"/>
      <c r="M998" s="798">
        <f t="shared" ref="M998:M1006" si="227">+K998*L998/1000</f>
        <v>0</v>
      </c>
      <c r="N998" s="798"/>
      <c r="O998" s="798"/>
      <c r="P998" s="798">
        <f t="shared" ref="P998:P1007" si="228">+N998*O998/1000</f>
        <v>0</v>
      </c>
      <c r="Q998" s="798"/>
      <c r="R998" s="798"/>
      <c r="S998" s="798"/>
      <c r="T998" s="457"/>
      <c r="U998" s="457"/>
      <c r="V998" s="457"/>
      <c r="W998" s="457">
        <f t="shared" ref="W998:W1017" si="229">T998+Q998+N998+K998+H998+E998+B998</f>
        <v>31375</v>
      </c>
      <c r="X998" s="457">
        <f t="shared" ref="X998:X1015" si="230">+V998+S998+P998+M998+J998+G998+D998</f>
        <v>12588.39372</v>
      </c>
    </row>
    <row r="999" spans="1:24" x14ac:dyDescent="0.25">
      <c r="A999" s="456" t="s">
        <v>103</v>
      </c>
      <c r="B999" s="798">
        <v>129240</v>
      </c>
      <c r="C999" s="798">
        <v>651</v>
      </c>
      <c r="D999" s="798">
        <f t="shared" si="224"/>
        <v>84135.24</v>
      </c>
      <c r="E999" s="798">
        <v>156940.20000000001</v>
      </c>
      <c r="F999" s="798">
        <v>787.5</v>
      </c>
      <c r="G999" s="798">
        <f t="shared" si="225"/>
        <v>123590.40750000002</v>
      </c>
      <c r="H999" s="798">
        <v>39544.960000000006</v>
      </c>
      <c r="I999" s="798">
        <v>800.1</v>
      </c>
      <c r="J999" s="798">
        <f t="shared" si="226"/>
        <v>31639.922496000007</v>
      </c>
      <c r="K999" s="798">
        <v>15544</v>
      </c>
      <c r="L999" s="798">
        <v>1602.4984216481973</v>
      </c>
      <c r="M999" s="798">
        <f t="shared" si="227"/>
        <v>24909.235466099581</v>
      </c>
      <c r="N999" s="798">
        <v>27634</v>
      </c>
      <c r="O999" s="798">
        <v>1133.3407032850021</v>
      </c>
      <c r="P999" s="798">
        <f t="shared" si="228"/>
        <v>31318.736994577746</v>
      </c>
      <c r="Q999" s="798"/>
      <c r="R999" s="798"/>
      <c r="S999" s="798"/>
      <c r="T999" s="457"/>
      <c r="U999" s="457"/>
      <c r="V999" s="457"/>
      <c r="W999" s="457">
        <f t="shared" si="229"/>
        <v>368903.16000000003</v>
      </c>
      <c r="X999" s="457">
        <f t="shared" si="230"/>
        <v>295593.54245667736</v>
      </c>
    </row>
    <row r="1000" spans="1:24" x14ac:dyDescent="0.25">
      <c r="A1000" s="456" t="s">
        <v>20</v>
      </c>
      <c r="B1000" s="798">
        <v>68103</v>
      </c>
      <c r="C1000" s="798">
        <v>605.85</v>
      </c>
      <c r="D1000" s="798">
        <f t="shared" si="224"/>
        <v>41260.202550000002</v>
      </c>
      <c r="E1000" s="798">
        <v>112476</v>
      </c>
      <c r="F1000" s="798">
        <v>945</v>
      </c>
      <c r="G1000" s="798">
        <f t="shared" si="225"/>
        <v>106289.82</v>
      </c>
      <c r="H1000" s="798">
        <v>2771</v>
      </c>
      <c r="I1000" s="798">
        <v>617.4</v>
      </c>
      <c r="J1000" s="798">
        <f t="shared" si="226"/>
        <v>1710.8154</v>
      </c>
      <c r="K1000" s="798">
        <v>210</v>
      </c>
      <c r="L1000" s="798">
        <v>960.87962962962979</v>
      </c>
      <c r="M1000" s="798">
        <f t="shared" si="227"/>
        <v>201.78472222222226</v>
      </c>
      <c r="N1000" s="798">
        <v>26811</v>
      </c>
      <c r="O1000" s="798">
        <v>900.90000000000009</v>
      </c>
      <c r="P1000" s="798">
        <f t="shared" si="228"/>
        <v>24154.029900000001</v>
      </c>
      <c r="Q1000" s="798"/>
      <c r="R1000" s="798"/>
      <c r="S1000" s="798"/>
      <c r="T1000" s="457"/>
      <c r="U1000" s="457"/>
      <c r="V1000" s="457"/>
      <c r="W1000" s="457">
        <f t="shared" si="229"/>
        <v>210371</v>
      </c>
      <c r="X1000" s="457">
        <f t="shared" si="230"/>
        <v>173616.65257222223</v>
      </c>
    </row>
    <row r="1001" spans="1:24" x14ac:dyDescent="0.25">
      <c r="A1001" s="456" t="s">
        <v>133</v>
      </c>
      <c r="B1001" s="798">
        <v>72669.350000000006</v>
      </c>
      <c r="C1001" s="798">
        <v>377.90047623746619</v>
      </c>
      <c r="D1001" s="798">
        <f t="shared" si="224"/>
        <v>27461.781972867117</v>
      </c>
      <c r="E1001" s="798">
        <v>90280</v>
      </c>
      <c r="F1001" s="798">
        <v>607.51234996486301</v>
      </c>
      <c r="G1001" s="798">
        <f t="shared" si="225"/>
        <v>54846.214954827832</v>
      </c>
      <c r="H1001" s="798">
        <v>35678.25</v>
      </c>
      <c r="I1001" s="798">
        <v>614.25</v>
      </c>
      <c r="J1001" s="798">
        <f t="shared" si="226"/>
        <v>21915.365062500001</v>
      </c>
      <c r="K1001" s="798">
        <v>6400</v>
      </c>
      <c r="L1001" s="798">
        <v>2625</v>
      </c>
      <c r="M1001" s="798">
        <f t="shared" si="227"/>
        <v>16800</v>
      </c>
      <c r="N1001" s="798">
        <v>6362</v>
      </c>
      <c r="O1001" s="798">
        <v>988.76757085020256</v>
      </c>
      <c r="P1001" s="798">
        <f t="shared" si="228"/>
        <v>6290.5392857489887</v>
      </c>
      <c r="Q1001" s="798"/>
      <c r="R1001" s="798"/>
      <c r="S1001" s="798"/>
      <c r="T1001" s="457"/>
      <c r="U1001" s="457"/>
      <c r="V1001" s="457"/>
      <c r="W1001" s="457">
        <f t="shared" si="229"/>
        <v>211389.6</v>
      </c>
      <c r="X1001" s="457">
        <f t="shared" si="230"/>
        <v>127313.90127594394</v>
      </c>
    </row>
    <row r="1002" spans="1:24" x14ac:dyDescent="0.25">
      <c r="A1002" s="456" t="s">
        <v>21</v>
      </c>
      <c r="B1002" s="798">
        <v>20954</v>
      </c>
      <c r="C1002" s="798">
        <v>357</v>
      </c>
      <c r="D1002" s="798">
        <f t="shared" si="224"/>
        <v>7480.5780000000004</v>
      </c>
      <c r="E1002" s="798"/>
      <c r="F1002" s="798"/>
      <c r="G1002" s="798"/>
      <c r="H1002" s="798">
        <v>892</v>
      </c>
      <c r="I1002" s="798">
        <v>532.72800000000007</v>
      </c>
      <c r="J1002" s="798">
        <f t="shared" si="226"/>
        <v>475.19337600000006</v>
      </c>
      <c r="K1002" s="798"/>
      <c r="L1002" s="798"/>
      <c r="M1002" s="798"/>
      <c r="N1002" s="798"/>
      <c r="O1002" s="798"/>
      <c r="P1002" s="798"/>
      <c r="Q1002" s="798"/>
      <c r="R1002" s="798"/>
      <c r="S1002" s="798"/>
      <c r="T1002" s="457"/>
      <c r="U1002" s="457"/>
      <c r="V1002" s="457"/>
      <c r="W1002" s="457">
        <f t="shared" si="229"/>
        <v>21846</v>
      </c>
      <c r="X1002" s="457">
        <f t="shared" si="230"/>
        <v>7955.7713760000006</v>
      </c>
    </row>
    <row r="1003" spans="1:24" x14ac:dyDescent="0.25">
      <c r="A1003" s="456" t="s">
        <v>22</v>
      </c>
      <c r="B1003" s="798">
        <v>76759</v>
      </c>
      <c r="C1003" s="798">
        <v>559.71090000000004</v>
      </c>
      <c r="D1003" s="798">
        <f t="shared" si="224"/>
        <v>42962.848973100008</v>
      </c>
      <c r="E1003" s="798">
        <v>323</v>
      </c>
      <c r="F1003" s="798">
        <v>976.29</v>
      </c>
      <c r="G1003" s="798">
        <f t="shared" si="225"/>
        <v>315.34166999999997</v>
      </c>
      <c r="H1003" s="798">
        <v>31465</v>
      </c>
      <c r="I1003" s="798">
        <v>2348.85</v>
      </c>
      <c r="J1003" s="798">
        <f t="shared" si="226"/>
        <v>73906.56525</v>
      </c>
      <c r="K1003" s="798">
        <v>440</v>
      </c>
      <c r="L1003" s="798">
        <v>2913.2249999999999</v>
      </c>
      <c r="M1003" s="798">
        <f t="shared" si="227"/>
        <v>1281.819</v>
      </c>
      <c r="N1003" s="798">
        <v>600</v>
      </c>
      <c r="O1003" s="798">
        <v>1410.9375</v>
      </c>
      <c r="P1003" s="798">
        <f t="shared" si="228"/>
        <v>846.5625</v>
      </c>
      <c r="Q1003" s="798">
        <v>1800</v>
      </c>
      <c r="R1003" s="798">
        <v>1400</v>
      </c>
      <c r="S1003" s="798">
        <f t="shared" ref="S1003" si="231">+Q1003*R1003/1000</f>
        <v>2520</v>
      </c>
      <c r="T1003" s="457"/>
      <c r="U1003" s="457"/>
      <c r="V1003" s="457"/>
      <c r="W1003" s="457">
        <f t="shared" si="229"/>
        <v>111387</v>
      </c>
      <c r="X1003" s="457">
        <f t="shared" si="230"/>
        <v>121833.13739310001</v>
      </c>
    </row>
    <row r="1004" spans="1:24" x14ac:dyDescent="0.25">
      <c r="A1004" s="456" t="s">
        <v>23</v>
      </c>
      <c r="B1004" s="798">
        <v>222721.84</v>
      </c>
      <c r="C1004" s="798">
        <v>611.1</v>
      </c>
      <c r="D1004" s="798">
        <f t="shared" si="224"/>
        <v>136105.31642399999</v>
      </c>
      <c r="E1004" s="798">
        <v>152897</v>
      </c>
      <c r="F1004" s="798">
        <v>606.375</v>
      </c>
      <c r="G1004" s="798">
        <f t="shared" si="225"/>
        <v>92712.918374999994</v>
      </c>
      <c r="H1004" s="798">
        <v>961</v>
      </c>
      <c r="I1004" s="798">
        <v>559.65</v>
      </c>
      <c r="J1004" s="798">
        <f t="shared" si="226"/>
        <v>537.82365000000004</v>
      </c>
      <c r="K1004" s="798"/>
      <c r="L1004" s="798"/>
      <c r="M1004" s="798">
        <f t="shared" si="227"/>
        <v>0</v>
      </c>
      <c r="N1004" s="798">
        <v>1250</v>
      </c>
      <c r="O1004" s="798">
        <v>540.75</v>
      </c>
      <c r="P1004" s="798">
        <f t="shared" si="228"/>
        <v>675.9375</v>
      </c>
      <c r="Q1004" s="798"/>
      <c r="R1004" s="798"/>
      <c r="S1004" s="798"/>
      <c r="T1004" s="457"/>
      <c r="U1004" s="457"/>
      <c r="V1004" s="457"/>
      <c r="W1004" s="457">
        <f t="shared" si="229"/>
        <v>377829.83999999997</v>
      </c>
      <c r="X1004" s="457">
        <f t="shared" si="230"/>
        <v>230031.995949</v>
      </c>
    </row>
    <row r="1005" spans="1:24" x14ac:dyDescent="0.25">
      <c r="A1005" s="456" t="s">
        <v>24</v>
      </c>
      <c r="B1005" s="798">
        <v>7604</v>
      </c>
      <c r="C1005" s="798">
        <v>758.93999999999994</v>
      </c>
      <c r="D1005" s="798">
        <f t="shared" si="224"/>
        <v>5770.9797600000002</v>
      </c>
      <c r="E1005" s="798">
        <v>25153</v>
      </c>
      <c r="F1005" s="798">
        <v>952.35</v>
      </c>
      <c r="G1005" s="798">
        <f t="shared" si="225"/>
        <v>23954.45955</v>
      </c>
      <c r="H1005" s="798">
        <v>29974</v>
      </c>
      <c r="I1005" s="798">
        <v>1315.0200000000002</v>
      </c>
      <c r="J1005" s="798">
        <f t="shared" si="226"/>
        <v>39416.409480000002</v>
      </c>
      <c r="K1005" s="798">
        <v>6352</v>
      </c>
      <c r="L1005" s="798">
        <v>3449.25</v>
      </c>
      <c r="M1005" s="798">
        <f t="shared" si="227"/>
        <v>21909.635999999999</v>
      </c>
      <c r="N1005" s="798">
        <v>211540</v>
      </c>
      <c r="O1005" s="798">
        <v>1358.91</v>
      </c>
      <c r="P1005" s="798">
        <f t="shared" si="228"/>
        <v>287463.82140000002</v>
      </c>
      <c r="Q1005" s="798"/>
      <c r="R1005" s="798"/>
      <c r="S1005" s="798"/>
      <c r="T1005" s="457"/>
      <c r="U1005" s="457"/>
      <c r="V1005" s="457"/>
      <c r="W1005" s="457">
        <f t="shared" si="229"/>
        <v>280623</v>
      </c>
      <c r="X1005" s="457">
        <f t="shared" si="230"/>
        <v>378515.30619000003</v>
      </c>
    </row>
    <row r="1006" spans="1:24" x14ac:dyDescent="0.25">
      <c r="A1006" s="456" t="s">
        <v>134</v>
      </c>
      <c r="B1006" s="798">
        <v>119536.9</v>
      </c>
      <c r="C1006" s="798">
        <v>688.80000000000007</v>
      </c>
      <c r="D1006" s="798">
        <f t="shared" si="224"/>
        <v>82337.01672</v>
      </c>
      <c r="E1006" s="798">
        <v>131578.4</v>
      </c>
      <c r="F1006" s="798">
        <v>891.45</v>
      </c>
      <c r="G1006" s="798">
        <f t="shared" si="225"/>
        <v>117295.56468000001</v>
      </c>
      <c r="H1006" s="798">
        <v>97207</v>
      </c>
      <c r="I1006" s="798">
        <v>1193.8500000000001</v>
      </c>
      <c r="J1006" s="798">
        <f t="shared" si="226"/>
        <v>116050.57695000002</v>
      </c>
      <c r="K1006" s="798">
        <v>547</v>
      </c>
      <c r="L1006" s="798">
        <v>1081.7220430107527</v>
      </c>
      <c r="M1006" s="798">
        <f t="shared" si="227"/>
        <v>591.70195752688176</v>
      </c>
      <c r="N1006" s="798">
        <v>20078</v>
      </c>
      <c r="O1006" s="798">
        <v>1171.0125</v>
      </c>
      <c r="P1006" s="798">
        <f t="shared" si="228"/>
        <v>23511.588975000002</v>
      </c>
      <c r="Q1006" s="798"/>
      <c r="R1006" s="798"/>
      <c r="S1006" s="798"/>
      <c r="T1006" s="457"/>
      <c r="U1006" s="457"/>
      <c r="V1006" s="457"/>
      <c r="W1006" s="457">
        <f t="shared" si="229"/>
        <v>368947.3</v>
      </c>
      <c r="X1006" s="457">
        <f t="shared" si="230"/>
        <v>339786.44928252691</v>
      </c>
    </row>
    <row r="1007" spans="1:24" ht="15.75" thickBot="1" x14ac:dyDescent="0.3">
      <c r="A1007" s="468" t="s">
        <v>161</v>
      </c>
      <c r="B1007" s="798">
        <v>125725</v>
      </c>
      <c r="C1007" s="798">
        <v>560.70000000000005</v>
      </c>
      <c r="D1007" s="798">
        <f t="shared" si="224"/>
        <v>70494.007500000007</v>
      </c>
      <c r="E1007" s="798">
        <v>26535</v>
      </c>
      <c r="F1007" s="798">
        <v>911.40000000000009</v>
      </c>
      <c r="G1007" s="798">
        <f t="shared" si="225"/>
        <v>24183.999000000003</v>
      </c>
      <c r="H1007" s="798"/>
      <c r="I1007" s="798"/>
      <c r="J1007" s="798"/>
      <c r="K1007" s="798"/>
      <c r="L1007" s="798"/>
      <c r="M1007" s="798"/>
      <c r="N1007" s="798"/>
      <c r="O1007" s="798"/>
      <c r="P1007" s="798">
        <f t="shared" si="228"/>
        <v>0</v>
      </c>
      <c r="Q1007" s="798"/>
      <c r="R1007" s="798"/>
      <c r="S1007" s="798"/>
      <c r="T1007" s="457"/>
      <c r="U1007" s="457"/>
      <c r="V1007" s="457"/>
      <c r="W1007" s="457">
        <f t="shared" si="229"/>
        <v>152260</v>
      </c>
      <c r="X1007" s="457">
        <f t="shared" si="230"/>
        <v>94678.006500000018</v>
      </c>
    </row>
    <row r="1008" spans="1:24" ht="15.75" thickBot="1" x14ac:dyDescent="0.3">
      <c r="A1008" s="479" t="s">
        <v>85</v>
      </c>
      <c r="B1008" s="799">
        <f t="shared" ref="B1008:O1008" si="232">SUM(B997:B1007)</f>
        <v>1016106.69</v>
      </c>
      <c r="C1008" s="799">
        <f t="shared" si="232"/>
        <v>5906.4644339250881</v>
      </c>
      <c r="D1008" s="799">
        <f t="shared" si="232"/>
        <v>559771.2470522247</v>
      </c>
      <c r="E1008" s="799">
        <f t="shared" si="232"/>
        <v>751364.6</v>
      </c>
      <c r="F1008" s="799">
        <f t="shared" si="232"/>
        <v>7750.2422129285642</v>
      </c>
      <c r="G1008" s="799">
        <f t="shared" si="232"/>
        <v>569454.15780186851</v>
      </c>
      <c r="H1008" s="799">
        <f t="shared" si="232"/>
        <v>240728.21000000002</v>
      </c>
      <c r="I1008" s="799">
        <f t="shared" si="232"/>
        <v>8971.3680000000004</v>
      </c>
      <c r="J1008" s="799">
        <f t="shared" si="232"/>
        <v>287049.82266450004</v>
      </c>
      <c r="K1008" s="799">
        <f t="shared" si="232"/>
        <v>29495</v>
      </c>
      <c r="L1008" s="799">
        <f t="shared" si="232"/>
        <v>13460.325094288579</v>
      </c>
      <c r="M1008" s="799">
        <f t="shared" si="232"/>
        <v>65695.832645848684</v>
      </c>
      <c r="N1008" s="799">
        <f t="shared" si="232"/>
        <v>403375</v>
      </c>
      <c r="O1008" s="799">
        <f t="shared" si="232"/>
        <v>8086.7382741352039</v>
      </c>
      <c r="P1008" s="799">
        <f>SUM(P997:P1007)</f>
        <v>437770.50855532679</v>
      </c>
      <c r="Q1008" s="799">
        <f t="shared" ref="Q1008:S1008" si="233">SUM(Q997:Q1007)</f>
        <v>1800</v>
      </c>
      <c r="R1008" s="799">
        <f t="shared" si="233"/>
        <v>1400</v>
      </c>
      <c r="S1008" s="799">
        <f t="shared" si="233"/>
        <v>2520</v>
      </c>
      <c r="T1008" s="799"/>
      <c r="U1008" s="799"/>
      <c r="V1008" s="799"/>
      <c r="W1008" s="799">
        <f t="shared" si="229"/>
        <v>2442869.5</v>
      </c>
      <c r="X1008" s="799">
        <f t="shared" si="230"/>
        <v>1922261.5687197689</v>
      </c>
    </row>
    <row r="1009" spans="1:24" x14ac:dyDescent="0.25">
      <c r="A1009" s="452" t="s">
        <v>135</v>
      </c>
      <c r="B1009" s="798">
        <v>42049</v>
      </c>
      <c r="C1009" s="798">
        <v>546.39946603019689</v>
      </c>
      <c r="D1009" s="798">
        <f t="shared" ref="D1009:D1015" si="234">+B1009*C1009/1000</f>
        <v>22975.55114710375</v>
      </c>
      <c r="E1009" s="798">
        <v>85366</v>
      </c>
      <c r="F1009" s="798">
        <v>651.69813380313587</v>
      </c>
      <c r="G1009" s="798">
        <f>+E1009*F1009/1000</f>
        <v>55632.862890238495</v>
      </c>
      <c r="H1009" s="798">
        <v>13499</v>
      </c>
      <c r="I1009" s="798">
        <v>1004.1298750824362</v>
      </c>
      <c r="J1009" s="798">
        <f>+H1009*I1009/1000</f>
        <v>13554.749183737807</v>
      </c>
      <c r="K1009" s="798">
        <v>20520</v>
      </c>
      <c r="L1009" s="798">
        <v>1145.6166662123799</v>
      </c>
      <c r="M1009" s="798">
        <f>+K1009*L1009/1000</f>
        <v>23508.053990678036</v>
      </c>
      <c r="N1009" s="798">
        <v>0</v>
      </c>
      <c r="O1009" s="798"/>
      <c r="P1009" s="798">
        <f>+N1009*O1009/1000</f>
        <v>0</v>
      </c>
      <c r="Q1009" s="798"/>
      <c r="R1009" s="798"/>
      <c r="S1009" s="798"/>
      <c r="T1009" s="457"/>
      <c r="U1009" s="457"/>
      <c r="V1009" s="457"/>
      <c r="W1009" s="457">
        <f t="shared" si="229"/>
        <v>161434</v>
      </c>
      <c r="X1009" s="457">
        <f t="shared" si="230"/>
        <v>115671.21721175808</v>
      </c>
    </row>
    <row r="1010" spans="1:24" x14ac:dyDescent="0.25">
      <c r="A1010" s="456" t="s">
        <v>136</v>
      </c>
      <c r="B1010" s="798">
        <v>18827</v>
      </c>
      <c r="C1010" s="798">
        <v>628.21315188929441</v>
      </c>
      <c r="D1010" s="798">
        <f t="shared" si="234"/>
        <v>11827.369010619746</v>
      </c>
      <c r="E1010" s="798">
        <v>62131.049999999996</v>
      </c>
      <c r="F1010" s="798">
        <v>992.42376645458478</v>
      </c>
      <c r="G1010" s="798">
        <f t="shared" ref="G1010:G1015" si="235">+E1010*F1010/1000</f>
        <v>61660.330654778125</v>
      </c>
      <c r="H1010" s="798">
        <v>11825</v>
      </c>
      <c r="I1010" s="798">
        <v>1528.1913527370305</v>
      </c>
      <c r="J1010" s="798">
        <f t="shared" ref="J1010:J1015" si="236">+H1010*I1010/1000</f>
        <v>18070.862746115388</v>
      </c>
      <c r="K1010" s="798">
        <v>28022</v>
      </c>
      <c r="L1010" s="798">
        <v>1785.6023151684931</v>
      </c>
      <c r="M1010" s="798">
        <f t="shared" ref="M1010:M1015" si="237">+K1010*L1010/1000</f>
        <v>50036.148075651508</v>
      </c>
      <c r="N1010" s="798">
        <v>76331</v>
      </c>
      <c r="O1010" s="798">
        <v>803.25</v>
      </c>
      <c r="P1010" s="798">
        <f t="shared" ref="P1010:P1015" si="238">+N1010*O1010/1000</f>
        <v>61312.875749999999</v>
      </c>
      <c r="Q1010" s="798"/>
      <c r="R1010" s="798"/>
      <c r="S1010" s="798"/>
      <c r="T1010" s="457"/>
      <c r="U1010" s="457"/>
      <c r="V1010" s="457"/>
      <c r="W1010" s="457">
        <f t="shared" si="229"/>
        <v>197136.05</v>
      </c>
      <c r="X1010" s="457">
        <f t="shared" si="230"/>
        <v>202907.5862371648</v>
      </c>
    </row>
    <row r="1011" spans="1:24" x14ac:dyDescent="0.25">
      <c r="A1011" s="456" t="s">
        <v>137</v>
      </c>
      <c r="B1011" s="798">
        <v>8265.6</v>
      </c>
      <c r="C1011" s="798">
        <v>609</v>
      </c>
      <c r="D1011" s="798">
        <f t="shared" si="234"/>
        <v>5033.7504000000008</v>
      </c>
      <c r="E1011" s="798">
        <v>60378</v>
      </c>
      <c r="F1011" s="798">
        <v>920.85</v>
      </c>
      <c r="G1011" s="798">
        <f t="shared" si="235"/>
        <v>55599.081300000005</v>
      </c>
      <c r="H1011" s="798">
        <v>37422</v>
      </c>
      <c r="I1011" s="798">
        <v>1157.3146687289509</v>
      </c>
      <c r="J1011" s="798">
        <f t="shared" si="236"/>
        <v>43309.029533174798</v>
      </c>
      <c r="K1011" s="798">
        <v>5864</v>
      </c>
      <c r="L1011" s="798">
        <v>1476.2513315853466</v>
      </c>
      <c r="M1011" s="798">
        <f t="shared" si="237"/>
        <v>8656.737808416472</v>
      </c>
      <c r="N1011" s="798">
        <v>13639</v>
      </c>
      <c r="O1011" s="798">
        <v>879.354915776133</v>
      </c>
      <c r="P1011" s="798">
        <f t="shared" si="238"/>
        <v>11993.521696270678</v>
      </c>
      <c r="Q1011" s="798"/>
      <c r="R1011" s="798"/>
      <c r="S1011" s="798"/>
      <c r="T1011" s="457"/>
      <c r="U1011" s="457"/>
      <c r="V1011" s="457"/>
      <c r="W1011" s="457">
        <f t="shared" si="229"/>
        <v>125568.6</v>
      </c>
      <c r="X1011" s="457">
        <f t="shared" si="230"/>
        <v>124592.12073786196</v>
      </c>
    </row>
    <row r="1012" spans="1:24" x14ac:dyDescent="0.25">
      <c r="A1012" s="456" t="s">
        <v>73</v>
      </c>
      <c r="B1012" s="798">
        <v>23110</v>
      </c>
      <c r="C1012" s="798">
        <v>623.70000000000005</v>
      </c>
      <c r="D1012" s="798">
        <f t="shared" si="234"/>
        <v>14413.707000000002</v>
      </c>
      <c r="E1012" s="798">
        <v>53695</v>
      </c>
      <c r="F1012" s="798">
        <v>851.55000000000007</v>
      </c>
      <c r="G1012" s="798">
        <f t="shared" si="235"/>
        <v>45723.977250000004</v>
      </c>
      <c r="H1012" s="798">
        <v>13947</v>
      </c>
      <c r="I1012" s="798">
        <v>880.45110580471157</v>
      </c>
      <c r="J1012" s="798">
        <f t="shared" si="236"/>
        <v>12279.651572658311</v>
      </c>
      <c r="K1012" s="798">
        <v>3584</v>
      </c>
      <c r="L1012" s="798">
        <v>1115.1000000000001</v>
      </c>
      <c r="M1012" s="798">
        <f t="shared" si="237"/>
        <v>3996.5184000000004</v>
      </c>
      <c r="N1012" s="798">
        <v>3279</v>
      </c>
      <c r="O1012" s="798">
        <v>2608.6200000000003</v>
      </c>
      <c r="P1012" s="798">
        <f t="shared" si="238"/>
        <v>8553.6649799999996</v>
      </c>
      <c r="Q1012" s="798"/>
      <c r="R1012" s="798"/>
      <c r="S1012" s="798"/>
      <c r="T1012" s="457"/>
      <c r="U1012" s="457"/>
      <c r="V1012" s="457"/>
      <c r="W1012" s="457">
        <f t="shared" si="229"/>
        <v>97615</v>
      </c>
      <c r="X1012" s="457">
        <f t="shared" si="230"/>
        <v>84967.519202658325</v>
      </c>
    </row>
    <row r="1013" spans="1:24" x14ac:dyDescent="0.25">
      <c r="A1013" s="456" t="s">
        <v>162</v>
      </c>
      <c r="B1013" s="798">
        <v>27147</v>
      </c>
      <c r="C1013" s="798">
        <v>595.13520370841513</v>
      </c>
      <c r="D1013" s="798">
        <f t="shared" si="234"/>
        <v>16156.135375072345</v>
      </c>
      <c r="E1013" s="798">
        <v>62516</v>
      </c>
      <c r="F1013" s="798">
        <v>906.15000000000009</v>
      </c>
      <c r="G1013" s="798">
        <f t="shared" si="235"/>
        <v>56648.873400000004</v>
      </c>
      <c r="H1013" s="798">
        <v>19280.359999999997</v>
      </c>
      <c r="I1013" s="798">
        <v>889.35</v>
      </c>
      <c r="J1013" s="798">
        <f t="shared" si="236"/>
        <v>17146.988165999999</v>
      </c>
      <c r="K1013" s="798">
        <v>14137.425000000001</v>
      </c>
      <c r="L1013" s="798">
        <v>1250.0050401990338</v>
      </c>
      <c r="M1013" s="798">
        <f t="shared" si="237"/>
        <v>17671.852505435829</v>
      </c>
      <c r="N1013" s="798"/>
      <c r="O1013" s="798"/>
      <c r="P1013" s="798"/>
      <c r="Q1013" s="798"/>
      <c r="R1013" s="798"/>
      <c r="S1013" s="798"/>
      <c r="T1013" s="457"/>
      <c r="U1013" s="457"/>
      <c r="V1013" s="457"/>
      <c r="W1013" s="457">
        <f t="shared" si="229"/>
        <v>123080.785</v>
      </c>
      <c r="X1013" s="457">
        <f t="shared" si="230"/>
        <v>107623.84944650817</v>
      </c>
    </row>
    <row r="1014" spans="1:24" x14ac:dyDescent="0.25">
      <c r="A1014" s="456" t="s">
        <v>163</v>
      </c>
      <c r="B1014" s="798">
        <v>29789</v>
      </c>
      <c r="C1014" s="798">
        <v>836.66547294963812</v>
      </c>
      <c r="D1014" s="798">
        <f t="shared" si="234"/>
        <v>24923.427773696771</v>
      </c>
      <c r="E1014" s="798">
        <v>69288</v>
      </c>
      <c r="F1014" s="798">
        <v>955.5</v>
      </c>
      <c r="G1014" s="798">
        <f t="shared" si="235"/>
        <v>66204.683999999994</v>
      </c>
      <c r="H1014" s="798">
        <v>19921</v>
      </c>
      <c r="I1014" s="798">
        <v>1019.3239000936206</v>
      </c>
      <c r="J1014" s="798">
        <f t="shared" si="236"/>
        <v>20305.951413765019</v>
      </c>
      <c r="K1014" s="798">
        <v>22541.5</v>
      </c>
      <c r="L1014" s="798">
        <v>1166.6295209259586</v>
      </c>
      <c r="M1014" s="798">
        <f t="shared" si="237"/>
        <v>26297.579345952498</v>
      </c>
      <c r="N1014" s="798"/>
      <c r="O1014" s="798"/>
      <c r="P1014" s="798"/>
      <c r="Q1014" s="798"/>
      <c r="R1014" s="798"/>
      <c r="S1014" s="798"/>
      <c r="T1014" s="457"/>
      <c r="U1014" s="457"/>
      <c r="V1014" s="457"/>
      <c r="W1014" s="457">
        <f t="shared" si="229"/>
        <v>141539.5</v>
      </c>
      <c r="X1014" s="457">
        <f t="shared" si="230"/>
        <v>137731.64253341427</v>
      </c>
    </row>
    <row r="1015" spans="1:24" ht="15.75" thickBot="1" x14ac:dyDescent="0.3">
      <c r="A1015" s="468" t="s">
        <v>27</v>
      </c>
      <c r="B1015" s="798">
        <v>28409</v>
      </c>
      <c r="C1015" s="798">
        <v>703.37570776305017</v>
      </c>
      <c r="D1015" s="798">
        <f t="shared" si="234"/>
        <v>19982.200481840493</v>
      </c>
      <c r="E1015" s="798">
        <v>28248</v>
      </c>
      <c r="F1015" s="798">
        <v>793.25259487443998</v>
      </c>
      <c r="G1015" s="798">
        <f t="shared" si="235"/>
        <v>22407.799300013179</v>
      </c>
      <c r="H1015" s="798">
        <v>7411.2</v>
      </c>
      <c r="I1015" s="798">
        <v>857.02807944536255</v>
      </c>
      <c r="J1015" s="798">
        <f t="shared" si="236"/>
        <v>6351.6065023854708</v>
      </c>
      <c r="K1015" s="798">
        <v>50242.649999999994</v>
      </c>
      <c r="L1015" s="798">
        <v>1232.5924569716756</v>
      </c>
      <c r="M1015" s="798">
        <f t="shared" si="237"/>
        <v>61928.711408267947</v>
      </c>
      <c r="N1015" s="798">
        <v>9955</v>
      </c>
      <c r="O1015" s="798">
        <v>745</v>
      </c>
      <c r="P1015" s="798">
        <f t="shared" si="238"/>
        <v>7416.4750000000004</v>
      </c>
      <c r="Q1015" s="798"/>
      <c r="R1015" s="798"/>
      <c r="S1015" s="798"/>
      <c r="T1015" s="457"/>
      <c r="U1015" s="457"/>
      <c r="V1015" s="457"/>
      <c r="W1015" s="457">
        <f t="shared" si="229"/>
        <v>124265.84999999999</v>
      </c>
      <c r="X1015" s="457">
        <f t="shared" si="230"/>
        <v>118086.79269250711</v>
      </c>
    </row>
    <row r="1016" spans="1:24" x14ac:dyDescent="0.25">
      <c r="A1016" s="800" t="s">
        <v>164</v>
      </c>
      <c r="B1016" s="801">
        <f t="shared" ref="B1016:D1016" si="239">SUM(B1009:B1015)</f>
        <v>177596.6</v>
      </c>
      <c r="C1016" s="801">
        <f t="shared" si="239"/>
        <v>4542.4890023405951</v>
      </c>
      <c r="D1016" s="801">
        <f t="shared" si="239"/>
        <v>115312.1411883331</v>
      </c>
      <c r="E1016" s="801">
        <f>SUM(E1009:E1015)</f>
        <v>421622.05</v>
      </c>
      <c r="F1016" s="801"/>
      <c r="G1016" s="801">
        <f>SUM(G1009:G1015)</f>
        <v>363877.60879502981</v>
      </c>
      <c r="H1016" s="801">
        <v>123305.56</v>
      </c>
      <c r="I1016" s="801"/>
      <c r="J1016" s="801">
        <v>131018.8391178368</v>
      </c>
      <c r="K1016" s="801">
        <v>144911.57500000001</v>
      </c>
      <c r="L1016" s="801"/>
      <c r="M1016" s="801">
        <v>192095.60153440229</v>
      </c>
      <c r="N1016" s="801">
        <v>103204</v>
      </c>
      <c r="O1016" s="801"/>
      <c r="P1016" s="801">
        <f>P1009+P1010+P1011+P1012+P1015</f>
        <v>89276.53742627069</v>
      </c>
      <c r="Q1016" s="801"/>
      <c r="R1016" s="801"/>
      <c r="S1016" s="801"/>
      <c r="T1016" s="801"/>
      <c r="U1016" s="801"/>
      <c r="V1016" s="801"/>
      <c r="W1016" s="801">
        <f t="shared" si="229"/>
        <v>970639.78500000003</v>
      </c>
      <c r="X1016" s="801">
        <f>SUM(X1009:X1015)</f>
        <v>891580.72806187288</v>
      </c>
    </row>
    <row r="1017" spans="1:24" ht="15.75" thickBot="1" x14ac:dyDescent="0.3">
      <c r="A1017" s="802" t="s">
        <v>32</v>
      </c>
      <c r="B1017" s="801">
        <f>B1008+B1016</f>
        <v>1193703.29</v>
      </c>
      <c r="C1017" s="801">
        <f t="shared" ref="C1017:S1017" si="240">C1008+C1016</f>
        <v>10448.953436265683</v>
      </c>
      <c r="D1017" s="801">
        <f t="shared" si="240"/>
        <v>675083.38824055786</v>
      </c>
      <c r="E1017" s="801">
        <f t="shared" si="240"/>
        <v>1172986.6499999999</v>
      </c>
      <c r="F1017" s="801">
        <f t="shared" si="240"/>
        <v>7750.2422129285642</v>
      </c>
      <c r="G1017" s="801">
        <f t="shared" si="240"/>
        <v>933331.76659689832</v>
      </c>
      <c r="H1017" s="801">
        <f t="shared" si="240"/>
        <v>364033.77</v>
      </c>
      <c r="I1017" s="801">
        <f t="shared" si="240"/>
        <v>8971.3680000000004</v>
      </c>
      <c r="J1017" s="801">
        <f t="shared" si="240"/>
        <v>418068.66178233683</v>
      </c>
      <c r="K1017" s="801">
        <f t="shared" si="240"/>
        <v>174406.57500000001</v>
      </c>
      <c r="L1017" s="801">
        <f t="shared" si="240"/>
        <v>13460.325094288579</v>
      </c>
      <c r="M1017" s="801">
        <f t="shared" si="240"/>
        <v>257791.43418025097</v>
      </c>
      <c r="N1017" s="801">
        <f t="shared" si="240"/>
        <v>506579</v>
      </c>
      <c r="O1017" s="801">
        <f t="shared" si="240"/>
        <v>8086.7382741352039</v>
      </c>
      <c r="P1017" s="801">
        <f>P1008+P1016</f>
        <v>527047.0459815975</v>
      </c>
      <c r="Q1017" s="801">
        <f t="shared" si="240"/>
        <v>1800</v>
      </c>
      <c r="R1017" s="801">
        <f t="shared" si="240"/>
        <v>1400</v>
      </c>
      <c r="S1017" s="801">
        <f t="shared" si="240"/>
        <v>2520</v>
      </c>
      <c r="T1017" s="801"/>
      <c r="U1017" s="801"/>
      <c r="V1017" s="801"/>
      <c r="W1017" s="801">
        <f t="shared" si="229"/>
        <v>3413509.2850000001</v>
      </c>
      <c r="X1017" s="801">
        <f>X1008+X1016</f>
        <v>2813842.2967816419</v>
      </c>
    </row>
    <row r="1018" spans="1:24" x14ac:dyDescent="0.25">
      <c r="A1018" s="803" t="s">
        <v>231</v>
      </c>
      <c r="B1018" s="782"/>
    </row>
    <row r="1019" spans="1:24" x14ac:dyDescent="0.25">
      <c r="P1019" s="804">
        <f>SUM(P1009:P1015)</f>
        <v>89276.53742627069</v>
      </c>
      <c r="R1019" s="804">
        <f>P1009+P1010+P1011+P1012</f>
        <v>81860.062426270684</v>
      </c>
    </row>
    <row r="1020" spans="1:24" x14ac:dyDescent="0.25">
      <c r="P1020" s="804"/>
      <c r="R1020" s="804"/>
    </row>
    <row r="1021" spans="1:24" ht="20.25" x14ac:dyDescent="0.3">
      <c r="A1021" s="314" t="s">
        <v>232</v>
      </c>
      <c r="B1021" s="450"/>
      <c r="C1021" s="450"/>
    </row>
    <row r="1022" spans="1:24" x14ac:dyDescent="0.25">
      <c r="A1022" s="766" t="s">
        <v>2</v>
      </c>
      <c r="B1022" s="941" t="s">
        <v>203</v>
      </c>
      <c r="C1022" s="942"/>
      <c r="D1022" s="942"/>
      <c r="E1022" s="942" t="s">
        <v>204</v>
      </c>
      <c r="F1022" s="942"/>
      <c r="G1022" s="943"/>
      <c r="H1022" s="941" t="s">
        <v>205</v>
      </c>
      <c r="I1022" s="942"/>
      <c r="J1022" s="942"/>
      <c r="K1022" s="942" t="s">
        <v>213</v>
      </c>
      <c r="L1022" s="942"/>
      <c r="M1022" s="943"/>
      <c r="N1022" s="941" t="s">
        <v>214</v>
      </c>
      <c r="O1022" s="942"/>
      <c r="P1022" s="943"/>
      <c r="Q1022" s="936" t="s">
        <v>215</v>
      </c>
      <c r="R1022" s="936"/>
      <c r="S1022" s="937"/>
      <c r="T1022" s="938" t="s">
        <v>216</v>
      </c>
      <c r="U1022" s="936"/>
      <c r="V1022" s="937"/>
      <c r="W1022" s="939" t="s">
        <v>44</v>
      </c>
      <c r="X1022" s="940"/>
    </row>
    <row r="1023" spans="1:24" x14ac:dyDescent="0.25">
      <c r="A1023" s="767" t="s">
        <v>131</v>
      </c>
      <c r="B1023" s="768" t="s">
        <v>12</v>
      </c>
      <c r="C1023" s="768" t="s">
        <v>13</v>
      </c>
      <c r="D1023" s="768" t="s">
        <v>14</v>
      </c>
      <c r="E1023" s="768" t="s">
        <v>12</v>
      </c>
      <c r="F1023" s="769" t="s">
        <v>13</v>
      </c>
      <c r="G1023" s="768" t="s">
        <v>14</v>
      </c>
      <c r="H1023" s="768" t="s">
        <v>12</v>
      </c>
      <c r="I1023" s="768" t="s">
        <v>13</v>
      </c>
      <c r="J1023" s="768" t="s">
        <v>14</v>
      </c>
      <c r="K1023" s="768" t="s">
        <v>12</v>
      </c>
      <c r="L1023" s="768" t="s">
        <v>13</v>
      </c>
      <c r="M1023" s="768" t="s">
        <v>14</v>
      </c>
      <c r="N1023" s="768" t="s">
        <v>12</v>
      </c>
      <c r="O1023" s="768" t="s">
        <v>13</v>
      </c>
      <c r="P1023" s="768" t="s">
        <v>14</v>
      </c>
      <c r="Q1023" s="768" t="s">
        <v>12</v>
      </c>
      <c r="R1023" s="770" t="s">
        <v>13</v>
      </c>
      <c r="S1023" s="768" t="s">
        <v>14</v>
      </c>
      <c r="T1023" s="768" t="s">
        <v>12</v>
      </c>
      <c r="U1023" s="768" t="s">
        <v>13</v>
      </c>
      <c r="V1023" s="768" t="s">
        <v>14</v>
      </c>
      <c r="W1023" s="791" t="s">
        <v>12</v>
      </c>
      <c r="X1023" s="791" t="s">
        <v>14</v>
      </c>
    </row>
    <row r="1024" spans="1:24" x14ac:dyDescent="0.25">
      <c r="A1024" s="772" t="s">
        <v>15</v>
      </c>
      <c r="B1024" s="750">
        <v>24068</v>
      </c>
      <c r="C1024" s="750">
        <v>933.03527584889196</v>
      </c>
      <c r="D1024" s="750">
        <f>B1024*C1024/1000</f>
        <v>22456.293019131132</v>
      </c>
      <c r="E1024" s="750">
        <v>5760</v>
      </c>
      <c r="F1024" s="750">
        <v>412.38835339952004</v>
      </c>
      <c r="G1024" s="750">
        <f>E1024*F1024/1000</f>
        <v>2375.3569155812356</v>
      </c>
      <c r="H1024" s="750">
        <f>1.18*10458</f>
        <v>12340.439999999999</v>
      </c>
      <c r="I1024" s="750">
        <v>409</v>
      </c>
      <c r="J1024" s="750">
        <f>H1024*I1024/1000</f>
        <v>5047.239959999999</v>
      </c>
      <c r="K1024" s="750">
        <f>0.75*321</f>
        <v>240.75</v>
      </c>
      <c r="L1024" s="750">
        <v>560.33333333333337</v>
      </c>
      <c r="M1024" s="750">
        <f>K1024*L1024/1000</f>
        <v>134.90025</v>
      </c>
      <c r="N1024" s="750"/>
      <c r="O1024" s="750">
        <v>0</v>
      </c>
      <c r="P1024" s="750">
        <f>N1024*O1024/1000</f>
        <v>0</v>
      </c>
      <c r="Q1024" s="750"/>
      <c r="R1024" s="750"/>
      <c r="S1024" s="750">
        <f>Q1024*R1024/1000</f>
        <v>0</v>
      </c>
      <c r="T1024" s="750"/>
      <c r="U1024" s="750"/>
      <c r="V1024" s="750"/>
      <c r="W1024" s="750">
        <f>+B1024+E1024+H1024+K1024+N1024+Q1024+T1024</f>
        <v>42409.19</v>
      </c>
      <c r="X1024" s="750">
        <f>+V1024+S1024+P1024+M1024+J1024+G1024+D1024</f>
        <v>30013.790144712366</v>
      </c>
    </row>
    <row r="1025" spans="1:24" x14ac:dyDescent="0.25">
      <c r="A1025" s="772" t="s">
        <v>187</v>
      </c>
      <c r="B1025" s="750"/>
      <c r="C1025" s="750"/>
      <c r="D1025" s="750">
        <f t="shared" ref="D1025:D1042" si="241">B1025*C1025/1000</f>
        <v>0</v>
      </c>
      <c r="E1025" s="750"/>
      <c r="F1025" s="750"/>
      <c r="G1025" s="750">
        <f t="shared" ref="G1025:G1034" si="242">E1025*F1025/1000</f>
        <v>0</v>
      </c>
      <c r="H1025" s="750">
        <v>95</v>
      </c>
      <c r="I1025" s="750">
        <v>350</v>
      </c>
      <c r="J1025" s="750">
        <f t="shared" ref="J1025:J1034" si="243">H1025*I1025/1000</f>
        <v>33.25</v>
      </c>
      <c r="K1025" s="750"/>
      <c r="L1025" s="750"/>
      <c r="M1025" s="750">
        <f t="shared" ref="M1025:M1034" si="244">K1025*L1025/1000</f>
        <v>0</v>
      </c>
      <c r="N1025" s="750"/>
      <c r="O1025" s="750">
        <v>0</v>
      </c>
      <c r="P1025" s="750">
        <f t="shared" ref="P1025:P1034" si="245">N1025*O1025/1000</f>
        <v>0</v>
      </c>
      <c r="Q1025" s="750"/>
      <c r="R1025" s="750"/>
      <c r="S1025" s="750">
        <f t="shared" ref="S1025:S1034" si="246">Q1025*R1025/1000</f>
        <v>0</v>
      </c>
      <c r="T1025" s="750"/>
      <c r="U1025" s="750"/>
      <c r="V1025" s="750"/>
      <c r="W1025" s="750">
        <f t="shared" ref="W1025:W1042" si="247">+B1025+E1025+H1025+K1025+N1025+Q1025+T1025</f>
        <v>95</v>
      </c>
      <c r="X1025" s="750">
        <f t="shared" ref="X1025:X1034" si="248">+V1025+S1025+P1025+M1025+J1025+G1025+D1025</f>
        <v>33.25</v>
      </c>
    </row>
    <row r="1026" spans="1:24" x14ac:dyDescent="0.25">
      <c r="A1026" s="772" t="s">
        <v>103</v>
      </c>
      <c r="B1026" s="750">
        <v>65659</v>
      </c>
      <c r="C1026" s="750">
        <v>1052</v>
      </c>
      <c r="D1026" s="750">
        <f t="shared" si="241"/>
        <v>69073.267999999996</v>
      </c>
      <c r="E1026" s="750">
        <v>19881</v>
      </c>
      <c r="F1026" s="750">
        <v>396.85069624239907</v>
      </c>
      <c r="G1026" s="750">
        <f t="shared" si="242"/>
        <v>7889.7886919951352</v>
      </c>
      <c r="H1026" s="750">
        <v>26367</v>
      </c>
      <c r="I1026" s="750">
        <v>602</v>
      </c>
      <c r="J1026" s="750">
        <f t="shared" si="243"/>
        <v>15872.933999999999</v>
      </c>
      <c r="K1026" s="750">
        <v>1738</v>
      </c>
      <c r="L1026" s="750">
        <v>1280</v>
      </c>
      <c r="M1026" s="750">
        <f t="shared" si="244"/>
        <v>2224.64</v>
      </c>
      <c r="N1026" s="750">
        <f>1.75*766.666666666667</f>
        <v>1341.6666666666672</v>
      </c>
      <c r="O1026" s="750">
        <v>3978.9557500000001</v>
      </c>
      <c r="P1026" s="750">
        <f t="shared" si="245"/>
        <v>5338.4322979166682</v>
      </c>
      <c r="Q1026" s="750">
        <f>0.45*1800</f>
        <v>810</v>
      </c>
      <c r="R1026" s="750">
        <v>4634</v>
      </c>
      <c r="S1026" s="750">
        <f t="shared" si="246"/>
        <v>3753.54</v>
      </c>
      <c r="T1026" s="750"/>
      <c r="U1026" s="750"/>
      <c r="V1026" s="750"/>
      <c r="W1026" s="750">
        <f t="shared" si="247"/>
        <v>115796.66666666667</v>
      </c>
      <c r="X1026" s="750">
        <f t="shared" si="248"/>
        <v>104152.6029899118</v>
      </c>
    </row>
    <row r="1027" spans="1:24" x14ac:dyDescent="0.25">
      <c r="A1027" s="772" t="s">
        <v>20</v>
      </c>
      <c r="B1027" s="750">
        <v>38106</v>
      </c>
      <c r="C1027" s="750">
        <v>841</v>
      </c>
      <c r="D1027" s="750">
        <f t="shared" si="241"/>
        <v>32047.146000000001</v>
      </c>
      <c r="E1027" s="750">
        <f>1.22*11140</f>
        <v>13590.8</v>
      </c>
      <c r="F1027" s="750">
        <v>370.46270393096034</v>
      </c>
      <c r="G1027" s="750">
        <f t="shared" si="242"/>
        <v>5034.8845165848952</v>
      </c>
      <c r="H1027" s="750">
        <v>7149</v>
      </c>
      <c r="I1027" s="750">
        <v>426.85890092354987</v>
      </c>
      <c r="J1027" s="750">
        <f t="shared" si="243"/>
        <v>3051.6142827024582</v>
      </c>
      <c r="K1027" s="750">
        <v>3220</v>
      </c>
      <c r="L1027" s="750">
        <v>984</v>
      </c>
      <c r="M1027" s="750">
        <f t="shared" si="244"/>
        <v>3168.48</v>
      </c>
      <c r="N1027" s="750">
        <v>456</v>
      </c>
      <c r="O1027" s="750">
        <v>561.29200000000003</v>
      </c>
      <c r="P1027" s="750">
        <f t="shared" si="245"/>
        <v>255.949152</v>
      </c>
      <c r="Q1027" s="750">
        <f>0.65*2190</f>
        <v>1423.5</v>
      </c>
      <c r="R1027" s="750">
        <v>5403</v>
      </c>
      <c r="S1027" s="750">
        <f t="shared" si="246"/>
        <v>7691.1705000000002</v>
      </c>
      <c r="T1027" s="750"/>
      <c r="U1027" s="750"/>
      <c r="V1027" s="750"/>
      <c r="W1027" s="750">
        <f t="shared" si="247"/>
        <v>63945.3</v>
      </c>
      <c r="X1027" s="750">
        <f t="shared" si="248"/>
        <v>51249.244451287355</v>
      </c>
    </row>
    <row r="1028" spans="1:24" x14ac:dyDescent="0.25">
      <c r="A1028" s="772" t="s">
        <v>133</v>
      </c>
      <c r="B1028" s="750">
        <v>51842.400000000001</v>
      </c>
      <c r="C1028" s="750">
        <v>911.87306045275693</v>
      </c>
      <c r="D1028" s="750">
        <f t="shared" si="241"/>
        <v>47273.687949216008</v>
      </c>
      <c r="E1028" s="750">
        <f>0.54*15402</f>
        <v>8317.08</v>
      </c>
      <c r="F1028" s="750">
        <v>431.09</v>
      </c>
      <c r="G1028" s="750">
        <f t="shared" si="242"/>
        <v>3585.4100171999999</v>
      </c>
      <c r="H1028" s="750">
        <v>25212</v>
      </c>
      <c r="I1028" s="750">
        <v>585.94827195467428</v>
      </c>
      <c r="J1028" s="750">
        <f t="shared" si="243"/>
        <v>14772.927832521249</v>
      </c>
      <c r="K1028" s="750"/>
      <c r="L1028" s="750"/>
      <c r="M1028" s="750">
        <f t="shared" si="244"/>
        <v>0</v>
      </c>
      <c r="N1028" s="750">
        <v>952</v>
      </c>
      <c r="O1028" s="750">
        <v>450.0625</v>
      </c>
      <c r="P1028" s="750">
        <f t="shared" si="245"/>
        <v>428.45949999999999</v>
      </c>
      <c r="Q1028" s="750">
        <f>0.55*662</f>
        <v>364.1</v>
      </c>
      <c r="R1028" s="750">
        <v>6500</v>
      </c>
      <c r="S1028" s="750">
        <f t="shared" si="246"/>
        <v>2366.65</v>
      </c>
      <c r="T1028" s="750"/>
      <c r="U1028" s="750"/>
      <c r="V1028" s="750"/>
      <c r="W1028" s="750">
        <f t="shared" si="247"/>
        <v>86687.580000000016</v>
      </c>
      <c r="X1028" s="750">
        <f t="shared" si="248"/>
        <v>68427.135298937254</v>
      </c>
    </row>
    <row r="1029" spans="1:24" x14ac:dyDescent="0.25">
      <c r="A1029" s="772" t="s">
        <v>21</v>
      </c>
      <c r="B1029" s="750"/>
      <c r="C1029" s="750"/>
      <c r="D1029" s="750">
        <f t="shared" si="241"/>
        <v>0</v>
      </c>
      <c r="E1029" s="750"/>
      <c r="F1029" s="750"/>
      <c r="G1029" s="750">
        <f t="shared" si="242"/>
        <v>0</v>
      </c>
      <c r="H1029" s="750">
        <v>123</v>
      </c>
      <c r="I1029" s="750">
        <v>206.75</v>
      </c>
      <c r="J1029" s="750">
        <f t="shared" si="243"/>
        <v>25.430250000000001</v>
      </c>
      <c r="K1029" s="750"/>
      <c r="L1029" s="750"/>
      <c r="M1029" s="750">
        <f t="shared" si="244"/>
        <v>0</v>
      </c>
      <c r="N1029" s="750"/>
      <c r="O1029" s="750">
        <v>0</v>
      </c>
      <c r="P1029" s="750">
        <f t="shared" si="245"/>
        <v>0</v>
      </c>
      <c r="Q1029" s="750"/>
      <c r="R1029" s="750"/>
      <c r="S1029" s="750">
        <f t="shared" si="246"/>
        <v>0</v>
      </c>
      <c r="T1029" s="750"/>
      <c r="U1029" s="750"/>
      <c r="V1029" s="750"/>
      <c r="W1029" s="750">
        <f t="shared" si="247"/>
        <v>123</v>
      </c>
      <c r="X1029" s="750">
        <f t="shared" si="248"/>
        <v>25.430250000000001</v>
      </c>
    </row>
    <row r="1030" spans="1:24" x14ac:dyDescent="0.25">
      <c r="A1030" s="772" t="s">
        <v>22</v>
      </c>
      <c r="B1030" s="750">
        <v>599</v>
      </c>
      <c r="C1030" s="750">
        <v>1053</v>
      </c>
      <c r="D1030" s="750">
        <f t="shared" si="241"/>
        <v>630.74699999999996</v>
      </c>
      <c r="E1030" s="750"/>
      <c r="F1030" s="750"/>
      <c r="G1030" s="750">
        <f t="shared" si="242"/>
        <v>0</v>
      </c>
      <c r="H1030" s="750">
        <v>964</v>
      </c>
      <c r="I1030" s="750">
        <v>894.33333333333337</v>
      </c>
      <c r="J1030" s="750">
        <f t="shared" si="243"/>
        <v>862.13733333333334</v>
      </c>
      <c r="K1030" s="750"/>
      <c r="L1030" s="750"/>
      <c r="M1030" s="750">
        <f t="shared" si="244"/>
        <v>0</v>
      </c>
      <c r="N1030" s="750">
        <v>291</v>
      </c>
      <c r="O1030" s="750">
        <v>7023.9968000000008</v>
      </c>
      <c r="P1030" s="750">
        <f>N1030*O1030/1000</f>
        <v>2043.9830688000002</v>
      </c>
      <c r="Q1030" s="750">
        <v>382</v>
      </c>
      <c r="R1030" s="750">
        <v>7566</v>
      </c>
      <c r="S1030" s="750">
        <f t="shared" si="246"/>
        <v>2890.212</v>
      </c>
      <c r="T1030" s="750"/>
      <c r="U1030" s="750"/>
      <c r="V1030" s="750"/>
      <c r="W1030" s="750">
        <f t="shared" si="247"/>
        <v>2236</v>
      </c>
      <c r="X1030" s="750">
        <f t="shared" si="248"/>
        <v>6427.0794021333331</v>
      </c>
    </row>
    <row r="1031" spans="1:24" x14ac:dyDescent="0.25">
      <c r="A1031" s="772" t="s">
        <v>23</v>
      </c>
      <c r="B1031" s="750">
        <v>181833.12</v>
      </c>
      <c r="C1031" s="750">
        <v>939.2</v>
      </c>
      <c r="D1031" s="750">
        <f t="shared" si="241"/>
        <v>170777.66630399998</v>
      </c>
      <c r="E1031" s="750">
        <v>43753</v>
      </c>
      <c r="F1031" s="750">
        <v>466.8</v>
      </c>
      <c r="G1031" s="750">
        <f t="shared" si="242"/>
        <v>20423.900400000002</v>
      </c>
      <c r="H1031" s="750">
        <v>9690.0999999999985</v>
      </c>
      <c r="I1031" s="750">
        <v>399.28000000000003</v>
      </c>
      <c r="J1031" s="750">
        <f t="shared" si="243"/>
        <v>3869.0631279999998</v>
      </c>
      <c r="K1031" s="750">
        <v>2000</v>
      </c>
      <c r="L1031" s="750">
        <v>672</v>
      </c>
      <c r="M1031" s="750">
        <f t="shared" si="244"/>
        <v>1344</v>
      </c>
      <c r="N1031" s="750"/>
      <c r="O1031" s="750">
        <v>0</v>
      </c>
      <c r="P1031" s="750">
        <f t="shared" si="245"/>
        <v>0</v>
      </c>
      <c r="Q1031" s="750"/>
      <c r="R1031" s="750"/>
      <c r="S1031" s="750">
        <f t="shared" si="246"/>
        <v>0</v>
      </c>
      <c r="T1031" s="750"/>
      <c r="U1031" s="750"/>
      <c r="V1031" s="750"/>
      <c r="W1031" s="750">
        <f t="shared" si="247"/>
        <v>237276.22</v>
      </c>
      <c r="X1031" s="750">
        <f t="shared" si="248"/>
        <v>196414.62983199998</v>
      </c>
    </row>
    <row r="1032" spans="1:24" x14ac:dyDescent="0.25">
      <c r="A1032" s="772" t="s">
        <v>24</v>
      </c>
      <c r="B1032" s="750">
        <f>0.8*13057</f>
        <v>10445.6</v>
      </c>
      <c r="C1032" s="750">
        <v>951.4</v>
      </c>
      <c r="D1032" s="750">
        <f t="shared" si="241"/>
        <v>9937.9438399999999</v>
      </c>
      <c r="E1032" s="750">
        <v>7560</v>
      </c>
      <c r="F1032" s="750">
        <v>479</v>
      </c>
      <c r="G1032" s="750">
        <f t="shared" si="242"/>
        <v>3621.24</v>
      </c>
      <c r="H1032" s="750">
        <v>5072</v>
      </c>
      <c r="I1032" s="750">
        <v>530</v>
      </c>
      <c r="J1032" s="750">
        <f t="shared" si="243"/>
        <v>2688.16</v>
      </c>
      <c r="K1032" s="750">
        <f>1.16*462</f>
        <v>535.91999999999996</v>
      </c>
      <c r="L1032" s="750">
        <v>905.2</v>
      </c>
      <c r="M1032" s="750">
        <f t="shared" si="244"/>
        <v>485.11478399999999</v>
      </c>
      <c r="N1032" s="750">
        <f>1.51*1694</f>
        <v>2557.94</v>
      </c>
      <c r="O1032" s="750">
        <v>14477</v>
      </c>
      <c r="P1032" s="750">
        <f t="shared" si="245"/>
        <v>37031.297380000004</v>
      </c>
      <c r="Q1032" s="750">
        <v>2739</v>
      </c>
      <c r="R1032" s="750">
        <v>6800</v>
      </c>
      <c r="S1032" s="750">
        <f t="shared" si="246"/>
        <v>18625.2</v>
      </c>
      <c r="T1032" s="750"/>
      <c r="U1032" s="750"/>
      <c r="V1032" s="750"/>
      <c r="W1032" s="750">
        <f t="shared" si="247"/>
        <v>28910.459999999995</v>
      </c>
      <c r="X1032" s="750">
        <f t="shared" si="248"/>
        <v>72388.956003999992</v>
      </c>
    </row>
    <row r="1033" spans="1:24" x14ac:dyDescent="0.25">
      <c r="A1033" s="772" t="s">
        <v>134</v>
      </c>
      <c r="B1033" s="750">
        <v>92733.1</v>
      </c>
      <c r="C1033" s="750">
        <v>1036</v>
      </c>
      <c r="D1033" s="750">
        <f t="shared" si="241"/>
        <v>96071.491600000008</v>
      </c>
      <c r="E1033" s="750">
        <v>42296</v>
      </c>
      <c r="F1033" s="750">
        <v>565</v>
      </c>
      <c r="G1033" s="750">
        <f t="shared" si="242"/>
        <v>23897.24</v>
      </c>
      <c r="H1033" s="750">
        <v>23826</v>
      </c>
      <c r="I1033" s="750">
        <v>586.65436596544828</v>
      </c>
      <c r="J1033" s="750">
        <f t="shared" si="243"/>
        <v>13977.626923492771</v>
      </c>
      <c r="K1033" s="750"/>
      <c r="L1033" s="750"/>
      <c r="M1033" s="750">
        <f t="shared" si="244"/>
        <v>0</v>
      </c>
      <c r="N1033" s="750"/>
      <c r="O1033" s="750">
        <v>0</v>
      </c>
      <c r="P1033" s="750">
        <f t="shared" si="245"/>
        <v>0</v>
      </c>
      <c r="Q1033" s="750">
        <v>113</v>
      </c>
      <c r="R1033" s="750">
        <v>5900</v>
      </c>
      <c r="S1033" s="750">
        <f t="shared" si="246"/>
        <v>666.7</v>
      </c>
      <c r="T1033" s="750"/>
      <c r="U1033" s="750"/>
      <c r="V1033" s="750"/>
      <c r="W1033" s="750">
        <f t="shared" si="247"/>
        <v>158968.1</v>
      </c>
      <c r="X1033" s="750">
        <f t="shared" si="248"/>
        <v>134613.05852349277</v>
      </c>
    </row>
    <row r="1034" spans="1:24" x14ac:dyDescent="0.25">
      <c r="A1034" s="772" t="s">
        <v>161</v>
      </c>
      <c r="B1034" s="750">
        <v>26518</v>
      </c>
      <c r="C1034" s="750">
        <v>900</v>
      </c>
      <c r="D1034" s="750">
        <f t="shared" si="241"/>
        <v>23866.2</v>
      </c>
      <c r="E1034" s="750">
        <v>5466</v>
      </c>
      <c r="F1034" s="750">
        <v>359</v>
      </c>
      <c r="G1034" s="750">
        <f t="shared" si="242"/>
        <v>1962.2940000000001</v>
      </c>
      <c r="H1034" s="750">
        <v>4274</v>
      </c>
      <c r="I1034" s="750">
        <v>383.39879667682084</v>
      </c>
      <c r="J1034" s="750">
        <f t="shared" si="243"/>
        <v>1638.6464569967322</v>
      </c>
      <c r="K1034" s="750"/>
      <c r="L1034" s="750"/>
      <c r="M1034" s="750">
        <f t="shared" si="244"/>
        <v>0</v>
      </c>
      <c r="N1034" s="750"/>
      <c r="O1034" s="750">
        <v>0</v>
      </c>
      <c r="P1034" s="750">
        <f t="shared" si="245"/>
        <v>0</v>
      </c>
      <c r="Q1034" s="750"/>
      <c r="R1034" s="750"/>
      <c r="S1034" s="750">
        <f t="shared" si="246"/>
        <v>0</v>
      </c>
      <c r="T1034" s="750"/>
      <c r="U1034" s="750"/>
      <c r="V1034" s="750"/>
      <c r="W1034" s="750">
        <f t="shared" si="247"/>
        <v>36258</v>
      </c>
      <c r="X1034" s="750">
        <f t="shared" si="248"/>
        <v>27467.140456996734</v>
      </c>
    </row>
    <row r="1035" spans="1:24" x14ac:dyDescent="0.25">
      <c r="A1035" s="805" t="s">
        <v>173</v>
      </c>
      <c r="B1035" s="806">
        <f>SUM(B1024:B1034)</f>
        <v>491804.22</v>
      </c>
      <c r="C1035" s="806">
        <f t="shared" ref="C1035:V1035" si="249">SUM(C1024:C1034)</f>
        <v>8617.5083363016493</v>
      </c>
      <c r="D1035" s="806">
        <f t="shared" si="249"/>
        <v>472134.44371234719</v>
      </c>
      <c r="E1035" s="806">
        <f t="shared" si="249"/>
        <v>146623.88</v>
      </c>
      <c r="F1035" s="806">
        <f t="shared" si="249"/>
        <v>3480.5917535728795</v>
      </c>
      <c r="G1035" s="806">
        <f t="shared" si="249"/>
        <v>68790.114541361254</v>
      </c>
      <c r="H1035" s="806">
        <f t="shared" si="249"/>
        <v>115112.54000000001</v>
      </c>
      <c r="I1035" s="806">
        <f t="shared" si="249"/>
        <v>5374.2236688538269</v>
      </c>
      <c r="J1035" s="806">
        <f t="shared" si="249"/>
        <v>61839.030167046556</v>
      </c>
      <c r="K1035" s="806">
        <f>SUM(K1024:K1034)</f>
        <v>7734.67</v>
      </c>
      <c r="L1035" s="806">
        <f t="shared" si="249"/>
        <v>4401.5333333333338</v>
      </c>
      <c r="M1035" s="806">
        <f t="shared" si="249"/>
        <v>7357.1350339999999</v>
      </c>
      <c r="N1035" s="806">
        <f t="shared" si="249"/>
        <v>5598.6066666666666</v>
      </c>
      <c r="O1035" s="806">
        <f t="shared" si="249"/>
        <v>26491.307050000003</v>
      </c>
      <c r="P1035" s="806">
        <f t="shared" si="249"/>
        <v>45098.12139871667</v>
      </c>
      <c r="Q1035" s="806">
        <f t="shared" si="249"/>
        <v>5831.6</v>
      </c>
      <c r="R1035" s="806">
        <f t="shared" si="249"/>
        <v>36803</v>
      </c>
      <c r="S1035" s="806">
        <f t="shared" si="249"/>
        <v>35993.472500000003</v>
      </c>
      <c r="T1035" s="806">
        <f t="shared" si="249"/>
        <v>0</v>
      </c>
      <c r="U1035" s="806">
        <f t="shared" si="249"/>
        <v>0</v>
      </c>
      <c r="V1035" s="806">
        <f t="shared" si="249"/>
        <v>0</v>
      </c>
      <c r="W1035" s="806">
        <f>SUM(W1024:W1034)</f>
        <v>772705.5166666666</v>
      </c>
      <c r="X1035" s="806">
        <f>SUM(X1024:X1034)</f>
        <v>691212.31735347165</v>
      </c>
    </row>
    <row r="1036" spans="1:24" x14ac:dyDescent="0.25">
      <c r="A1036" s="778" t="s">
        <v>135</v>
      </c>
      <c r="B1036" s="750">
        <f>1.14*42729</f>
        <v>48711.06</v>
      </c>
      <c r="C1036" s="750">
        <v>1146</v>
      </c>
      <c r="D1036" s="750">
        <f t="shared" si="241"/>
        <v>55822.874759999999</v>
      </c>
      <c r="E1036" s="750">
        <f>1.27*16990</f>
        <v>21577.3</v>
      </c>
      <c r="F1036" s="750">
        <v>493</v>
      </c>
      <c r="G1036" s="750">
        <f t="shared" ref="G1036:G1042" si="250">E1036*F1036/1000</f>
        <v>10637.608900000001</v>
      </c>
      <c r="H1036" s="750">
        <f>1.18*19863</f>
        <v>23438.34</v>
      </c>
      <c r="I1036" s="750">
        <v>554</v>
      </c>
      <c r="J1036" s="750">
        <f t="shared" ref="J1036:J1042" si="251">H1036*I1036/1000</f>
        <v>12984.84036</v>
      </c>
      <c r="K1036" s="750">
        <f>1.16*5591</f>
        <v>6485.5599999999995</v>
      </c>
      <c r="L1036" s="750">
        <v>873</v>
      </c>
      <c r="M1036" s="750">
        <f t="shared" ref="M1036:M1042" si="252">K1036*L1036/1000</f>
        <v>5661.8938799999996</v>
      </c>
      <c r="N1036" s="750">
        <v>5730</v>
      </c>
      <c r="O1036" s="750">
        <v>16388.8</v>
      </c>
      <c r="P1036" s="750">
        <f t="shared" ref="P1036:P1042" si="253">N1036*O1036/1000</f>
        <v>93907.823999999993</v>
      </c>
      <c r="Q1036" s="750">
        <v>1254.1200000000001</v>
      </c>
      <c r="R1036" s="750">
        <v>5064</v>
      </c>
      <c r="S1036" s="750">
        <f t="shared" ref="S1036:S1042" si="254">Q1036*R1036/1000</f>
        <v>6350.8636800000004</v>
      </c>
      <c r="T1036" s="750">
        <v>2066</v>
      </c>
      <c r="U1036" s="750">
        <v>2250</v>
      </c>
      <c r="V1036" s="750">
        <f t="shared" ref="V1036:V1042" si="255">T1036*U1036/1000</f>
        <v>4648.5</v>
      </c>
      <c r="W1036" s="750">
        <f t="shared" si="247"/>
        <v>109262.37999999999</v>
      </c>
      <c r="X1036" s="750">
        <f>+V1036+S1036+P1036+M1036+J1036+G1036+D1036</f>
        <v>190014.40557999999</v>
      </c>
    </row>
    <row r="1037" spans="1:24" x14ac:dyDescent="0.25">
      <c r="A1037" s="778" t="s">
        <v>136</v>
      </c>
      <c r="B1037" s="750">
        <v>25957.72</v>
      </c>
      <c r="C1037" s="750">
        <v>1290.6186091778964</v>
      </c>
      <c r="D1037" s="750">
        <f t="shared" si="241"/>
        <v>33501.516483829262</v>
      </c>
      <c r="E1037" s="750">
        <f>1.18*12533</f>
        <v>14788.939999999999</v>
      </c>
      <c r="F1037" s="750">
        <v>437.94991381479031</v>
      </c>
      <c r="G1037" s="750">
        <f t="shared" si="250"/>
        <v>6476.8149984121046</v>
      </c>
      <c r="H1037" s="750">
        <f>1.11*13853.2</f>
        <v>15377.052000000001</v>
      </c>
      <c r="I1037" s="750">
        <v>500.86727827846136</v>
      </c>
      <c r="J1037" s="750">
        <f t="shared" si="251"/>
        <v>7701.862183186372</v>
      </c>
      <c r="K1037" s="750">
        <v>6118.9</v>
      </c>
      <c r="L1037" s="750">
        <v>561.8125</v>
      </c>
      <c r="M1037" s="750">
        <f t="shared" si="252"/>
        <v>3437.6745062499995</v>
      </c>
      <c r="N1037" s="750">
        <f>1.27*2903</f>
        <v>3686.81</v>
      </c>
      <c r="O1037" s="750">
        <v>18452.587804357132</v>
      </c>
      <c r="P1037" s="750">
        <f t="shared" si="253"/>
        <v>68031.185242981912</v>
      </c>
      <c r="Q1037" s="750">
        <v>1031</v>
      </c>
      <c r="R1037" s="750">
        <v>4535</v>
      </c>
      <c r="S1037" s="750">
        <f t="shared" si="254"/>
        <v>4675.585</v>
      </c>
      <c r="T1037" s="750">
        <v>1824</v>
      </c>
      <c r="U1037" s="750">
        <v>2695.5</v>
      </c>
      <c r="V1037" s="750">
        <f t="shared" si="255"/>
        <v>4916.5919999999996</v>
      </c>
      <c r="W1037" s="750">
        <f t="shared" si="247"/>
        <v>68784.422000000006</v>
      </c>
      <c r="X1037" s="750">
        <f t="shared" ref="X1037:X1042" si="256">+V1037+S1037+P1037+M1037+J1037+G1037+D1037</f>
        <v>128741.23041465966</v>
      </c>
    </row>
    <row r="1038" spans="1:24" x14ac:dyDescent="0.25">
      <c r="A1038" s="778" t="s">
        <v>137</v>
      </c>
      <c r="B1038" s="750">
        <v>36041.25</v>
      </c>
      <c r="C1038" s="750">
        <v>1109.6001483915438</v>
      </c>
      <c r="D1038" s="750">
        <f t="shared" si="241"/>
        <v>39991.376348216727</v>
      </c>
      <c r="E1038" s="750">
        <f>1.03*11243</f>
        <v>11580.29</v>
      </c>
      <c r="F1038" s="750">
        <v>475.31661323156243</v>
      </c>
      <c r="G1038" s="750">
        <f t="shared" si="250"/>
        <v>5504.3042230393312</v>
      </c>
      <c r="H1038" s="750">
        <f>1.04*8292</f>
        <v>8623.68</v>
      </c>
      <c r="I1038" s="750">
        <v>531.23993441017444</v>
      </c>
      <c r="J1038" s="750">
        <f t="shared" si="251"/>
        <v>4581.243197574333</v>
      </c>
      <c r="K1038" s="750">
        <v>2439.36</v>
      </c>
      <c r="L1038" s="750">
        <v>888.66666666666663</v>
      </c>
      <c r="M1038" s="750">
        <f t="shared" si="252"/>
        <v>2167.77792</v>
      </c>
      <c r="N1038" s="750">
        <f>1.32*2684.5</f>
        <v>3543.54</v>
      </c>
      <c r="O1038" s="750">
        <v>8501.0531200000005</v>
      </c>
      <c r="P1038" s="750">
        <f t="shared" si="253"/>
        <v>30123.821772844803</v>
      </c>
      <c r="Q1038" s="750">
        <v>1000</v>
      </c>
      <c r="R1038" s="750">
        <v>3240</v>
      </c>
      <c r="S1038" s="750">
        <f t="shared" si="254"/>
        <v>3240</v>
      </c>
      <c r="T1038" s="750">
        <v>722</v>
      </c>
      <c r="U1038" s="750">
        <v>1471.7250000000001</v>
      </c>
      <c r="V1038" s="750">
        <f t="shared" si="255"/>
        <v>1062.5854500000003</v>
      </c>
      <c r="W1038" s="750">
        <f t="shared" si="247"/>
        <v>63950.12</v>
      </c>
      <c r="X1038" s="750">
        <f t="shared" si="256"/>
        <v>86671.108911675197</v>
      </c>
    </row>
    <row r="1039" spans="1:24" x14ac:dyDescent="0.25">
      <c r="A1039" s="778" t="s">
        <v>73</v>
      </c>
      <c r="B1039" s="750">
        <v>34221.22</v>
      </c>
      <c r="C1039" s="750">
        <v>1366.7940524226428</v>
      </c>
      <c r="D1039" s="750">
        <f t="shared" si="241"/>
        <v>46773.359962646799</v>
      </c>
      <c r="E1039" s="750">
        <f>0.85*10103</f>
        <v>8587.5499999999993</v>
      </c>
      <c r="F1039" s="750">
        <v>468.60847703209828</v>
      </c>
      <c r="G1039" s="750">
        <f t="shared" si="250"/>
        <v>4024.1987269369952</v>
      </c>
      <c r="H1039" s="750">
        <f>1.09*10084</f>
        <v>10991.560000000001</v>
      </c>
      <c r="I1039" s="750">
        <v>694.13425501827362</v>
      </c>
      <c r="J1039" s="750">
        <f t="shared" si="251"/>
        <v>7629.6183120886562</v>
      </c>
      <c r="K1039" s="750">
        <v>3703</v>
      </c>
      <c r="L1039" s="750">
        <v>1018.75</v>
      </c>
      <c r="M1039" s="750">
        <f t="shared" si="252"/>
        <v>3772.4312500000001</v>
      </c>
      <c r="N1039" s="750">
        <v>3159.28</v>
      </c>
      <c r="O1039" s="750">
        <v>11717.281396398197</v>
      </c>
      <c r="P1039" s="750">
        <f t="shared" si="253"/>
        <v>37018.172770012898</v>
      </c>
      <c r="Q1039" s="750">
        <v>1878</v>
      </c>
      <c r="R1039" s="750">
        <v>4742</v>
      </c>
      <c r="S1039" s="750">
        <f t="shared" si="254"/>
        <v>8905.4760000000006</v>
      </c>
      <c r="T1039" s="750">
        <v>1000.8000000000001</v>
      </c>
      <c r="U1039" s="750">
        <v>2160</v>
      </c>
      <c r="V1039" s="750">
        <f t="shared" si="255"/>
        <v>2161.7280000000001</v>
      </c>
      <c r="W1039" s="750">
        <f t="shared" si="247"/>
        <v>63541.41</v>
      </c>
      <c r="X1039" s="750">
        <f t="shared" si="256"/>
        <v>110284.98502168534</v>
      </c>
    </row>
    <row r="1040" spans="1:24" x14ac:dyDescent="0.25">
      <c r="A1040" s="778" t="s">
        <v>162</v>
      </c>
      <c r="B1040" s="750">
        <v>69777</v>
      </c>
      <c r="C1040" s="750">
        <v>1202.2704083745909</v>
      </c>
      <c r="D1040" s="750">
        <f t="shared" si="241"/>
        <v>83890.82228515383</v>
      </c>
      <c r="E1040" s="750">
        <f>1.02*39549.75</f>
        <v>40340.745000000003</v>
      </c>
      <c r="F1040" s="750">
        <v>517.92992747155461</v>
      </c>
      <c r="G1040" s="750">
        <f t="shared" si="250"/>
        <v>20893.67913199848</v>
      </c>
      <c r="H1040" s="750">
        <v>12291</v>
      </c>
      <c r="I1040" s="750">
        <v>471.84803739819188</v>
      </c>
      <c r="J1040" s="750">
        <f t="shared" si="251"/>
        <v>5799.4842276611762</v>
      </c>
      <c r="K1040" s="750">
        <v>2524</v>
      </c>
      <c r="L1040" s="750">
        <v>852</v>
      </c>
      <c r="M1040" s="750">
        <f t="shared" si="252"/>
        <v>2150.4479999999999</v>
      </c>
      <c r="N1040" s="750">
        <v>7073.95</v>
      </c>
      <c r="O1040" s="750">
        <v>18582.400000000001</v>
      </c>
      <c r="P1040" s="750">
        <f t="shared" si="253"/>
        <v>131450.96848000001</v>
      </c>
      <c r="Q1040" s="750">
        <f>2.75*4118</f>
        <v>11324.5</v>
      </c>
      <c r="R1040" s="750">
        <v>5200</v>
      </c>
      <c r="S1040" s="750">
        <f t="shared" si="254"/>
        <v>58887.4</v>
      </c>
      <c r="T1040" s="750">
        <v>93</v>
      </c>
      <c r="U1040" s="750">
        <v>1500</v>
      </c>
      <c r="V1040" s="750">
        <f t="shared" si="255"/>
        <v>139.5</v>
      </c>
      <c r="W1040" s="750">
        <f t="shared" si="247"/>
        <v>143424.19500000001</v>
      </c>
      <c r="X1040" s="750">
        <f t="shared" si="256"/>
        <v>303212.30212481349</v>
      </c>
    </row>
    <row r="1041" spans="1:24" x14ac:dyDescent="0.25">
      <c r="A1041" s="778" t="s">
        <v>163</v>
      </c>
      <c r="B1041" s="750">
        <v>49398</v>
      </c>
      <c r="C1041" s="750">
        <v>1325.5584444127239</v>
      </c>
      <c r="D1041" s="750">
        <f t="shared" si="241"/>
        <v>65479.936037099731</v>
      </c>
      <c r="E1041" s="750">
        <f>1.02*24067.4</f>
        <v>24548.748000000003</v>
      </c>
      <c r="F1041" s="750">
        <v>555.07228190643355</v>
      </c>
      <c r="G1041" s="750">
        <f t="shared" si="250"/>
        <v>13626.329570305999</v>
      </c>
      <c r="H1041" s="750">
        <f>1.07*13000</f>
        <v>13910</v>
      </c>
      <c r="I1041" s="750">
        <v>610.72525105889167</v>
      </c>
      <c r="J1041" s="750">
        <f t="shared" si="251"/>
        <v>8495.1882422291819</v>
      </c>
      <c r="K1041" s="750">
        <f>1.07*4916</f>
        <v>5260.12</v>
      </c>
      <c r="L1041" s="750">
        <v>1394</v>
      </c>
      <c r="M1041" s="750">
        <f t="shared" si="252"/>
        <v>7332.6072800000002</v>
      </c>
      <c r="N1041" s="750">
        <v>3964.5</v>
      </c>
      <c r="O1041" s="750">
        <v>18622.825780317453</v>
      </c>
      <c r="P1041" s="750">
        <f t="shared" si="253"/>
        <v>73830.192806068546</v>
      </c>
      <c r="Q1041" s="750">
        <v>7917.2999999999993</v>
      </c>
      <c r="R1041" s="750">
        <v>3923.3333333333335</v>
      </c>
      <c r="S1041" s="750">
        <f t="shared" si="254"/>
        <v>31062.206999999999</v>
      </c>
      <c r="T1041" s="750">
        <f>1.8*1609</f>
        <v>2896.2000000000003</v>
      </c>
      <c r="U1041" s="750">
        <v>1552.5</v>
      </c>
      <c r="V1041" s="750">
        <f t="shared" si="255"/>
        <v>4496.3504999999996</v>
      </c>
      <c r="W1041" s="750">
        <f t="shared" si="247"/>
        <v>107894.868</v>
      </c>
      <c r="X1041" s="750">
        <f t="shared" si="256"/>
        <v>204322.81143570348</v>
      </c>
    </row>
    <row r="1042" spans="1:24" x14ac:dyDescent="0.25">
      <c r="A1042" s="778" t="s">
        <v>27</v>
      </c>
      <c r="B1042" s="750">
        <f>1.13*25151</f>
        <v>28420.629999999997</v>
      </c>
      <c r="C1042" s="750">
        <v>1082.3570901632461</v>
      </c>
      <c r="D1042" s="750">
        <f t="shared" si="241"/>
        <v>30761.270387406254</v>
      </c>
      <c r="E1042" s="750">
        <f>1.09*10064</f>
        <v>10969.76</v>
      </c>
      <c r="F1042" s="750">
        <v>504.22508729601088</v>
      </c>
      <c r="G1042" s="750">
        <f t="shared" si="250"/>
        <v>5531.228193616289</v>
      </c>
      <c r="H1042" s="750">
        <f>1.2*8229.88</f>
        <v>9875.8559999999979</v>
      </c>
      <c r="I1042" s="750">
        <v>517.29175508000048</v>
      </c>
      <c r="J1042" s="750">
        <f t="shared" si="251"/>
        <v>5108.6988831573517</v>
      </c>
      <c r="K1042" s="750">
        <v>1422</v>
      </c>
      <c r="L1042" s="750">
        <v>501</v>
      </c>
      <c r="M1042" s="750">
        <f t="shared" si="252"/>
        <v>712.42200000000003</v>
      </c>
      <c r="N1042" s="750">
        <f>1.14*3362.32</f>
        <v>3833.0447999999997</v>
      </c>
      <c r="O1042" s="750">
        <v>17076</v>
      </c>
      <c r="P1042" s="750">
        <f t="shared" si="253"/>
        <v>65453.07300479999</v>
      </c>
      <c r="Q1042" s="750">
        <v>3548</v>
      </c>
      <c r="R1042" s="750">
        <v>4451</v>
      </c>
      <c r="S1042" s="750">
        <f t="shared" si="254"/>
        <v>15792.147999999999</v>
      </c>
      <c r="T1042" s="750">
        <v>1138.57</v>
      </c>
      <c r="U1042" s="750">
        <v>1360</v>
      </c>
      <c r="V1042" s="750">
        <f t="shared" si="255"/>
        <v>1548.4551999999999</v>
      </c>
      <c r="W1042" s="750">
        <f t="shared" si="247"/>
        <v>59207.860800000002</v>
      </c>
      <c r="X1042" s="750">
        <f t="shared" si="256"/>
        <v>124907.2956689799</v>
      </c>
    </row>
    <row r="1043" spans="1:24" x14ac:dyDescent="0.25">
      <c r="A1043" s="807" t="s">
        <v>174</v>
      </c>
      <c r="B1043" s="808">
        <f>SUM(B1036:B1042)</f>
        <v>292526.88</v>
      </c>
      <c r="C1043" s="808">
        <f t="shared" ref="C1043:V1043" si="257">SUM(C1036:C1042)</f>
        <v>8523.1987529426442</v>
      </c>
      <c r="D1043" s="808">
        <f t="shared" si="257"/>
        <v>356221.15626435261</v>
      </c>
      <c r="E1043" s="808">
        <f t="shared" si="257"/>
        <v>132393.33300000001</v>
      </c>
      <c r="F1043" s="808">
        <f t="shared" si="257"/>
        <v>3452.10230075245</v>
      </c>
      <c r="G1043" s="808">
        <f t="shared" si="257"/>
        <v>66694.163744309204</v>
      </c>
      <c r="H1043" s="808">
        <f t="shared" si="257"/>
        <v>94507.487999999998</v>
      </c>
      <c r="I1043" s="808">
        <f t="shared" si="257"/>
        <v>3880.1065112439928</v>
      </c>
      <c r="J1043" s="808">
        <f t="shared" si="257"/>
        <v>52300.935405897071</v>
      </c>
      <c r="K1043" s="808">
        <f t="shared" si="257"/>
        <v>27952.94</v>
      </c>
      <c r="L1043" s="808">
        <f t="shared" si="257"/>
        <v>6089.2291666666661</v>
      </c>
      <c r="M1043" s="808">
        <f t="shared" si="257"/>
        <v>25235.254836249998</v>
      </c>
      <c r="N1043" s="808">
        <f t="shared" si="257"/>
        <v>30991.124799999998</v>
      </c>
      <c r="O1043" s="808">
        <f t="shared" si="257"/>
        <v>109340.94810107278</v>
      </c>
      <c r="P1043" s="808">
        <f t="shared" si="257"/>
        <v>499815.23807670816</v>
      </c>
      <c r="Q1043" s="808">
        <f t="shared" si="257"/>
        <v>27952.92</v>
      </c>
      <c r="R1043" s="808">
        <f t="shared" si="257"/>
        <v>31155.333333333332</v>
      </c>
      <c r="S1043" s="808">
        <f t="shared" si="257"/>
        <v>128913.67968</v>
      </c>
      <c r="T1043" s="808">
        <f t="shared" si="257"/>
        <v>9740.57</v>
      </c>
      <c r="U1043" s="808">
        <f t="shared" si="257"/>
        <v>12989.725</v>
      </c>
      <c r="V1043" s="808">
        <f t="shared" si="257"/>
        <v>18973.711150000003</v>
      </c>
      <c r="W1043" s="808">
        <f>SUM(W1036:W1042)</f>
        <v>616065.25580000004</v>
      </c>
      <c r="X1043" s="808">
        <f>SUM(X1036:X1042)</f>
        <v>1148154.1391575169</v>
      </c>
    </row>
    <row r="1044" spans="1:24" x14ac:dyDescent="0.25">
      <c r="A1044" s="807" t="s">
        <v>32</v>
      </c>
      <c r="B1044" s="808">
        <f>B1043+B1035</f>
        <v>784331.1</v>
      </c>
      <c r="C1044" s="808">
        <f t="shared" ref="C1044:V1044" si="258">C1043+C1035</f>
        <v>17140.707089244293</v>
      </c>
      <c r="D1044" s="808">
        <f t="shared" si="258"/>
        <v>828355.5999766998</v>
      </c>
      <c r="E1044" s="808">
        <f t="shared" si="258"/>
        <v>279017.21299999999</v>
      </c>
      <c r="F1044" s="808">
        <f t="shared" si="258"/>
        <v>6932.6940543253295</v>
      </c>
      <c r="G1044" s="808">
        <f t="shared" si="258"/>
        <v>135484.27828567044</v>
      </c>
      <c r="H1044" s="808">
        <f t="shared" si="258"/>
        <v>209620.02799999999</v>
      </c>
      <c r="I1044" s="808">
        <f t="shared" si="258"/>
        <v>9254.3301800978188</v>
      </c>
      <c r="J1044" s="808">
        <f t="shared" si="258"/>
        <v>114139.96557294362</v>
      </c>
      <c r="K1044" s="808">
        <f t="shared" si="258"/>
        <v>35687.61</v>
      </c>
      <c r="L1044" s="808">
        <f t="shared" si="258"/>
        <v>10490.762500000001</v>
      </c>
      <c r="M1044" s="808">
        <f t="shared" si="258"/>
        <v>32592.389870249997</v>
      </c>
      <c r="N1044" s="808">
        <f t="shared" si="258"/>
        <v>36589.731466666664</v>
      </c>
      <c r="O1044" s="808">
        <f t="shared" si="258"/>
        <v>135832.25515107278</v>
      </c>
      <c r="P1044" s="808">
        <f t="shared" si="258"/>
        <v>544913.35947542486</v>
      </c>
      <c r="Q1044" s="808">
        <f t="shared" si="258"/>
        <v>33784.519999999997</v>
      </c>
      <c r="R1044" s="808">
        <f t="shared" si="258"/>
        <v>67958.333333333328</v>
      </c>
      <c r="S1044" s="808">
        <f t="shared" si="258"/>
        <v>164907.15218</v>
      </c>
      <c r="T1044" s="808">
        <f t="shared" si="258"/>
        <v>9740.57</v>
      </c>
      <c r="U1044" s="808">
        <f t="shared" si="258"/>
        <v>12989.725</v>
      </c>
      <c r="V1044" s="808">
        <f t="shared" si="258"/>
        <v>18973.711150000003</v>
      </c>
      <c r="W1044" s="808">
        <f>+W1035+W1043</f>
        <v>1388770.7724666665</v>
      </c>
      <c r="X1044" s="808">
        <f>+X1035+X1043</f>
        <v>1839366.4565109885</v>
      </c>
    </row>
    <row r="1045" spans="1:24" x14ac:dyDescent="0.25">
      <c r="A1045" s="809" t="s">
        <v>233</v>
      </c>
    </row>
  </sheetData>
  <mergeCells count="104">
    <mergeCell ref="W963:X963"/>
    <mergeCell ref="Q936:S936"/>
    <mergeCell ref="T936:U936"/>
    <mergeCell ref="B963:D963"/>
    <mergeCell ref="E963:G963"/>
    <mergeCell ref="H963:J963"/>
    <mergeCell ref="K963:M963"/>
    <mergeCell ref="N963:P963"/>
    <mergeCell ref="Q963:S963"/>
    <mergeCell ref="T963:V963"/>
    <mergeCell ref="B936:D936"/>
    <mergeCell ref="E936:G936"/>
    <mergeCell ref="H936:J936"/>
    <mergeCell ref="K936:M936"/>
    <mergeCell ref="N936:P936"/>
    <mergeCell ref="W906:X906"/>
    <mergeCell ref="T879:U879"/>
    <mergeCell ref="B906:D906"/>
    <mergeCell ref="E906:G906"/>
    <mergeCell ref="H906:J906"/>
    <mergeCell ref="K906:M906"/>
    <mergeCell ref="N906:P906"/>
    <mergeCell ref="Q906:S906"/>
    <mergeCell ref="T906:V906"/>
    <mergeCell ref="B879:D879"/>
    <mergeCell ref="E879:G879"/>
    <mergeCell ref="H879:J879"/>
    <mergeCell ref="K879:M879"/>
    <mergeCell ref="N879:P879"/>
    <mergeCell ref="Q879:S879"/>
    <mergeCell ref="T799:U799"/>
    <mergeCell ref="B826:D826"/>
    <mergeCell ref="E826:G826"/>
    <mergeCell ref="H826:J826"/>
    <mergeCell ref="N826:P826"/>
    <mergeCell ref="Q826:S826"/>
    <mergeCell ref="T826:V826"/>
    <mergeCell ref="B799:D799"/>
    <mergeCell ref="E799:G799"/>
    <mergeCell ref="H799:J799"/>
    <mergeCell ref="K799:M799"/>
    <mergeCell ref="N799:P799"/>
    <mergeCell ref="Q799:S799"/>
    <mergeCell ref="T746:V746"/>
    <mergeCell ref="W746:X746"/>
    <mergeCell ref="A771:U771"/>
    <mergeCell ref="B773:D773"/>
    <mergeCell ref="E773:G773"/>
    <mergeCell ref="H773:J773"/>
    <mergeCell ref="K773:M773"/>
    <mergeCell ref="N773:P773"/>
    <mergeCell ref="Q773:S773"/>
    <mergeCell ref="T773:U773"/>
    <mergeCell ref="B746:D746"/>
    <mergeCell ref="E746:G746"/>
    <mergeCell ref="H746:J746"/>
    <mergeCell ref="K746:M746"/>
    <mergeCell ref="N746:P746"/>
    <mergeCell ref="Q746:S746"/>
    <mergeCell ref="W637:X637"/>
    <mergeCell ref="Q429:S429"/>
    <mergeCell ref="T429:V429"/>
    <mergeCell ref="W429:X429"/>
    <mergeCell ref="W493:X493"/>
    <mergeCell ref="W586:X586"/>
    <mergeCell ref="W690:X690"/>
    <mergeCell ref="B720:D720"/>
    <mergeCell ref="E720:G720"/>
    <mergeCell ref="H720:J720"/>
    <mergeCell ref="K720:M720"/>
    <mergeCell ref="N720:P720"/>
    <mergeCell ref="Q720:S720"/>
    <mergeCell ref="T720:V720"/>
    <mergeCell ref="W720:X720"/>
    <mergeCell ref="AP731:AR731"/>
    <mergeCell ref="AS731:AT731"/>
    <mergeCell ref="AA742:AC742"/>
    <mergeCell ref="AD742:AF742"/>
    <mergeCell ref="AG742:AI742"/>
    <mergeCell ref="AJ742:AL742"/>
    <mergeCell ref="AM742:AO742"/>
    <mergeCell ref="AP742:AR742"/>
    <mergeCell ref="AS742:AT742"/>
    <mergeCell ref="AA731:AC731"/>
    <mergeCell ref="AD731:AF731"/>
    <mergeCell ref="AG731:AI731"/>
    <mergeCell ref="AJ731:AL731"/>
    <mergeCell ref="AM731:AO731"/>
    <mergeCell ref="Q1022:S1022"/>
    <mergeCell ref="T1022:V1022"/>
    <mergeCell ref="W1022:X1022"/>
    <mergeCell ref="B1022:D1022"/>
    <mergeCell ref="E1022:G1022"/>
    <mergeCell ref="H1022:J1022"/>
    <mergeCell ref="K1022:M1022"/>
    <mergeCell ref="N1022:P1022"/>
    <mergeCell ref="B995:D995"/>
    <mergeCell ref="E995:G995"/>
    <mergeCell ref="H995:J995"/>
    <mergeCell ref="K995:M995"/>
    <mergeCell ref="N995:P995"/>
    <mergeCell ref="Q995:S995"/>
    <mergeCell ref="T995:V995"/>
    <mergeCell ref="W995:X995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4FB40C-1DE4-4564-A84D-2C3DC6F4C6A5}">
  <sheetPr filterMode="1"/>
  <dimension ref="A1:Y355"/>
  <sheetViews>
    <sheetView workbookViewId="0">
      <pane xSplit="2" ySplit="2" topLeftCell="F266" activePane="bottomRight" state="frozen"/>
      <selection pane="topRight" activeCell="C1" sqref="C1"/>
      <selection pane="bottomLeft" activeCell="A3" sqref="A3"/>
      <selection pane="bottomRight" activeCell="B274" sqref="B274"/>
    </sheetView>
  </sheetViews>
  <sheetFormatPr baseColWidth="10" defaultRowHeight="15" x14ac:dyDescent="0.25"/>
  <cols>
    <col min="1" max="1" width="16.140625" style="886" bestFit="1" customWidth="1"/>
    <col min="2" max="2" width="10.140625" bestFit="1" customWidth="1"/>
    <col min="3" max="3" width="10.42578125" bestFit="1" customWidth="1"/>
    <col min="4" max="4" width="8.85546875" style="933" bestFit="1" customWidth="1"/>
    <col min="5" max="6" width="10.42578125" bestFit="1" customWidth="1"/>
    <col min="7" max="7" width="8.85546875" bestFit="1" customWidth="1"/>
    <col min="8" max="8" width="10.42578125" bestFit="1" customWidth="1"/>
    <col min="9" max="9" width="9.5703125" bestFit="1" customWidth="1"/>
    <col min="10" max="10" width="8.85546875" bestFit="1" customWidth="1"/>
    <col min="11" max="11" width="10.42578125" bestFit="1" customWidth="1"/>
    <col min="12" max="12" width="9.5703125" bestFit="1" customWidth="1"/>
    <col min="13" max="13" width="8.7109375" bestFit="1" customWidth="1"/>
    <col min="14" max="14" width="9.5703125" bestFit="1" customWidth="1"/>
    <col min="15" max="15" width="10.42578125" bestFit="1" customWidth="1"/>
    <col min="16" max="16" width="8.7109375" bestFit="1" customWidth="1"/>
    <col min="17" max="17" width="10.42578125" bestFit="1" customWidth="1"/>
    <col min="18" max="18" width="9.5703125" bestFit="1" customWidth="1"/>
    <col min="19" max="19" width="8.7109375" bestFit="1" customWidth="1"/>
    <col min="20" max="21" width="9.5703125" bestFit="1" customWidth="1"/>
    <col min="22" max="22" width="8.7109375" bestFit="1" customWidth="1"/>
    <col min="23" max="23" width="9.5703125" bestFit="1" customWidth="1"/>
    <col min="24" max="25" width="10.42578125" bestFit="1" customWidth="1"/>
  </cols>
  <sheetData>
    <row r="1" spans="1:25" x14ac:dyDescent="0.25">
      <c r="A1" s="864" t="s">
        <v>2</v>
      </c>
      <c r="B1" s="852" t="s">
        <v>234</v>
      </c>
      <c r="C1" s="987" t="s">
        <v>3</v>
      </c>
      <c r="D1" s="987"/>
      <c r="E1" s="987"/>
      <c r="F1" s="987" t="s">
        <v>4</v>
      </c>
      <c r="G1" s="987"/>
      <c r="H1" s="987"/>
      <c r="I1" s="987" t="s">
        <v>5</v>
      </c>
      <c r="J1" s="987"/>
      <c r="K1" s="987"/>
      <c r="L1" s="987" t="s">
        <v>6</v>
      </c>
      <c r="M1" s="987"/>
      <c r="N1" s="987"/>
      <c r="O1" s="987" t="s">
        <v>7</v>
      </c>
      <c r="P1" s="987"/>
      <c r="Q1" s="987"/>
      <c r="R1" s="987" t="s">
        <v>8</v>
      </c>
      <c r="S1" s="987"/>
      <c r="T1" s="987"/>
      <c r="U1" s="987" t="s">
        <v>9</v>
      </c>
      <c r="V1" s="987"/>
      <c r="W1" s="987"/>
      <c r="X1" s="987" t="s">
        <v>44</v>
      </c>
      <c r="Y1" s="987"/>
    </row>
    <row r="2" spans="1:25" hidden="1" x14ac:dyDescent="0.25">
      <c r="A2" s="864"/>
      <c r="B2" s="852"/>
      <c r="C2" s="814" t="s">
        <v>286</v>
      </c>
      <c r="D2" s="926" t="s">
        <v>287</v>
      </c>
      <c r="E2" s="814" t="s">
        <v>288</v>
      </c>
      <c r="F2" s="814" t="s">
        <v>286</v>
      </c>
      <c r="G2" s="814" t="s">
        <v>287</v>
      </c>
      <c r="H2" s="814" t="s">
        <v>288</v>
      </c>
      <c r="I2" s="814" t="s">
        <v>286</v>
      </c>
      <c r="J2" s="814" t="s">
        <v>287</v>
      </c>
      <c r="K2" s="814" t="s">
        <v>288</v>
      </c>
      <c r="L2" s="814" t="s">
        <v>286</v>
      </c>
      <c r="M2" s="814" t="s">
        <v>287</v>
      </c>
      <c r="N2" s="814" t="s">
        <v>288</v>
      </c>
      <c r="O2" s="814" t="s">
        <v>286</v>
      </c>
      <c r="P2" s="814" t="s">
        <v>287</v>
      </c>
      <c r="Q2" s="814" t="s">
        <v>288</v>
      </c>
      <c r="R2" s="814" t="s">
        <v>286</v>
      </c>
      <c r="S2" s="814" t="s">
        <v>287</v>
      </c>
      <c r="T2" s="814" t="s">
        <v>288</v>
      </c>
      <c r="U2" s="814" t="s">
        <v>286</v>
      </c>
      <c r="V2" s="814" t="s">
        <v>287</v>
      </c>
      <c r="W2" s="814" t="s">
        <v>288</v>
      </c>
      <c r="X2" s="814" t="s">
        <v>286</v>
      </c>
      <c r="Y2" s="814" t="s">
        <v>288</v>
      </c>
    </row>
    <row r="3" spans="1:25" hidden="1" x14ac:dyDescent="0.25">
      <c r="A3" s="864" t="s">
        <v>15</v>
      </c>
      <c r="B3" s="852" t="s">
        <v>235</v>
      </c>
      <c r="C3" s="853">
        <v>90900</v>
      </c>
      <c r="D3" s="927">
        <v>356</v>
      </c>
      <c r="E3" s="853">
        <v>32360</v>
      </c>
      <c r="F3" s="853">
        <v>42800</v>
      </c>
      <c r="G3" s="853">
        <v>456</v>
      </c>
      <c r="H3" s="853">
        <v>19517</v>
      </c>
      <c r="I3" s="853">
        <v>300</v>
      </c>
      <c r="J3" s="853">
        <v>500</v>
      </c>
      <c r="K3" s="853">
        <v>150</v>
      </c>
      <c r="L3" s="853"/>
      <c r="M3" s="853"/>
      <c r="N3" s="853"/>
      <c r="O3" s="853">
        <v>4500</v>
      </c>
      <c r="P3" s="853">
        <v>600</v>
      </c>
      <c r="Q3" s="853">
        <v>2700</v>
      </c>
      <c r="R3" s="853"/>
      <c r="S3" s="853"/>
      <c r="T3" s="853"/>
      <c r="U3" s="853"/>
      <c r="V3" s="853"/>
      <c r="W3" s="853"/>
      <c r="X3" s="853">
        <v>138500</v>
      </c>
      <c r="Y3" s="853">
        <v>54727</v>
      </c>
    </row>
    <row r="4" spans="1:25" hidden="1" x14ac:dyDescent="0.25">
      <c r="A4" s="864" t="s">
        <v>17</v>
      </c>
      <c r="B4" s="852" t="s">
        <v>235</v>
      </c>
      <c r="C4" s="853">
        <v>46100</v>
      </c>
      <c r="D4" s="927">
        <v>137</v>
      </c>
      <c r="E4" s="853">
        <v>6316</v>
      </c>
      <c r="F4" s="853">
        <v>16000</v>
      </c>
      <c r="G4" s="853">
        <v>109</v>
      </c>
      <c r="H4" s="853">
        <v>1744</v>
      </c>
      <c r="I4" s="854" t="s">
        <v>18</v>
      </c>
      <c r="J4" s="854" t="s">
        <v>18</v>
      </c>
      <c r="K4" s="854" t="s">
        <v>18</v>
      </c>
      <c r="L4" s="854" t="s">
        <v>18</v>
      </c>
      <c r="M4" s="854" t="s">
        <v>18</v>
      </c>
      <c r="N4" s="854" t="s">
        <v>18</v>
      </c>
      <c r="O4" s="854" t="s">
        <v>18</v>
      </c>
      <c r="P4" s="854" t="s">
        <v>18</v>
      </c>
      <c r="Q4" s="854" t="s">
        <v>18</v>
      </c>
      <c r="R4" s="853"/>
      <c r="S4" s="853"/>
      <c r="T4" s="853"/>
      <c r="U4" s="853"/>
      <c r="V4" s="853"/>
      <c r="W4" s="853"/>
      <c r="X4" s="853">
        <v>62100</v>
      </c>
      <c r="Y4" s="853">
        <v>8060</v>
      </c>
    </row>
    <row r="5" spans="1:25" hidden="1" x14ac:dyDescent="0.25">
      <c r="A5" s="819" t="s">
        <v>103</v>
      </c>
      <c r="B5" s="852" t="s">
        <v>235</v>
      </c>
      <c r="C5" s="853">
        <v>104500</v>
      </c>
      <c r="D5" s="927">
        <v>412</v>
      </c>
      <c r="E5" s="853">
        <v>43054</v>
      </c>
      <c r="F5" s="853">
        <v>90250</v>
      </c>
      <c r="G5" s="853">
        <v>592</v>
      </c>
      <c r="H5" s="853">
        <v>53428</v>
      </c>
      <c r="I5" s="853">
        <v>10730</v>
      </c>
      <c r="J5" s="853">
        <v>1762</v>
      </c>
      <c r="K5" s="853">
        <v>18910</v>
      </c>
      <c r="L5" s="853">
        <v>175</v>
      </c>
      <c r="M5" s="853">
        <v>2250</v>
      </c>
      <c r="N5" s="853">
        <v>394</v>
      </c>
      <c r="O5" s="853">
        <v>10000</v>
      </c>
      <c r="P5" s="853">
        <v>900</v>
      </c>
      <c r="Q5" s="853">
        <v>9000</v>
      </c>
      <c r="R5" s="853"/>
      <c r="S5" s="853"/>
      <c r="T5" s="853"/>
      <c r="U5" s="853"/>
      <c r="V5" s="853"/>
      <c r="W5" s="853"/>
      <c r="X5" s="853">
        <v>215655</v>
      </c>
      <c r="Y5" s="853">
        <v>124786</v>
      </c>
    </row>
    <row r="6" spans="1:25" hidden="1" x14ac:dyDescent="0.25">
      <c r="A6" s="864" t="s">
        <v>20</v>
      </c>
      <c r="B6" s="852" t="s">
        <v>235</v>
      </c>
      <c r="C6" s="853">
        <v>15270</v>
      </c>
      <c r="D6" s="927">
        <v>487</v>
      </c>
      <c r="E6" s="853">
        <v>7435</v>
      </c>
      <c r="F6" s="853">
        <v>50700</v>
      </c>
      <c r="G6" s="853">
        <v>799</v>
      </c>
      <c r="H6" s="853">
        <v>40509</v>
      </c>
      <c r="I6" s="853">
        <v>200</v>
      </c>
      <c r="J6" s="853">
        <v>270</v>
      </c>
      <c r="K6" s="853">
        <v>54</v>
      </c>
      <c r="L6" s="854" t="s">
        <v>18</v>
      </c>
      <c r="M6" s="854" t="s">
        <v>18</v>
      </c>
      <c r="N6" s="854" t="s">
        <v>18</v>
      </c>
      <c r="O6" s="854" t="s">
        <v>18</v>
      </c>
      <c r="P6" s="854" t="s">
        <v>18</v>
      </c>
      <c r="Q6" s="854" t="s">
        <v>18</v>
      </c>
      <c r="R6" s="853"/>
      <c r="S6" s="853"/>
      <c r="T6" s="853"/>
      <c r="U6" s="853"/>
      <c r="V6" s="853"/>
      <c r="W6" s="853"/>
      <c r="X6" s="853">
        <v>66170</v>
      </c>
      <c r="Y6" s="853">
        <v>47998</v>
      </c>
    </row>
    <row r="7" spans="1:25" hidden="1" x14ac:dyDescent="0.25">
      <c r="A7" s="864" t="s">
        <v>21</v>
      </c>
      <c r="B7" s="852" t="s">
        <v>235</v>
      </c>
      <c r="C7" s="853">
        <v>37000</v>
      </c>
      <c r="D7" s="927">
        <v>112</v>
      </c>
      <c r="E7" s="853">
        <v>4144</v>
      </c>
      <c r="F7" s="853">
        <v>800</v>
      </c>
      <c r="G7" s="853">
        <v>100</v>
      </c>
      <c r="H7" s="853">
        <v>80</v>
      </c>
      <c r="I7" s="853">
        <v>100</v>
      </c>
      <c r="J7" s="853">
        <v>400</v>
      </c>
      <c r="K7" s="853">
        <v>400</v>
      </c>
      <c r="L7" s="854" t="s">
        <v>18</v>
      </c>
      <c r="M7" s="854" t="s">
        <v>18</v>
      </c>
      <c r="N7" s="854" t="s">
        <v>18</v>
      </c>
      <c r="O7" s="854" t="s">
        <v>18</v>
      </c>
      <c r="P7" s="854" t="s">
        <v>18</v>
      </c>
      <c r="Q7" s="854" t="s">
        <v>18</v>
      </c>
      <c r="R7" s="853"/>
      <c r="S7" s="853"/>
      <c r="T7" s="853"/>
      <c r="U7" s="853"/>
      <c r="V7" s="853"/>
      <c r="W7" s="853"/>
      <c r="X7" s="853">
        <v>37900</v>
      </c>
      <c r="Y7" s="853">
        <v>4624</v>
      </c>
    </row>
    <row r="8" spans="1:25" hidden="1" x14ac:dyDescent="0.25">
      <c r="A8" s="864" t="s">
        <v>22</v>
      </c>
      <c r="B8" s="852" t="s">
        <v>235</v>
      </c>
      <c r="C8" s="853">
        <v>61548</v>
      </c>
      <c r="D8" s="927">
        <v>7</v>
      </c>
      <c r="E8" s="853">
        <v>451</v>
      </c>
      <c r="F8" s="854" t="s">
        <v>18</v>
      </c>
      <c r="G8" s="854" t="s">
        <v>18</v>
      </c>
      <c r="H8" s="854" t="s">
        <v>18</v>
      </c>
      <c r="I8" s="853">
        <v>13020</v>
      </c>
      <c r="J8" s="853">
        <v>916</v>
      </c>
      <c r="K8" s="853">
        <v>11926</v>
      </c>
      <c r="L8" s="854" t="s">
        <v>18</v>
      </c>
      <c r="M8" s="854" t="s">
        <v>18</v>
      </c>
      <c r="N8" s="854" t="s">
        <v>18</v>
      </c>
      <c r="O8" s="854" t="s">
        <v>18</v>
      </c>
      <c r="P8" s="854" t="s">
        <v>18</v>
      </c>
      <c r="Q8" s="854" t="s">
        <v>18</v>
      </c>
      <c r="R8" s="853">
        <v>1897</v>
      </c>
      <c r="S8" s="853">
        <v>1393</v>
      </c>
      <c r="T8" s="853">
        <v>2642</v>
      </c>
      <c r="U8" s="853"/>
      <c r="V8" s="853"/>
      <c r="W8" s="853"/>
      <c r="X8" s="853">
        <v>76465</v>
      </c>
      <c r="Y8" s="853">
        <v>15000</v>
      </c>
    </row>
    <row r="9" spans="1:25" hidden="1" x14ac:dyDescent="0.25">
      <c r="A9" s="864" t="s">
        <v>23</v>
      </c>
      <c r="B9" s="852" t="s">
        <v>235</v>
      </c>
      <c r="C9" s="853">
        <v>107200</v>
      </c>
      <c r="D9" s="927">
        <v>436</v>
      </c>
      <c r="E9" s="853">
        <v>46739</v>
      </c>
      <c r="F9" s="853">
        <v>52000</v>
      </c>
      <c r="G9" s="853">
        <v>500</v>
      </c>
      <c r="H9" s="853">
        <v>26000</v>
      </c>
      <c r="I9" s="853">
        <v>1300</v>
      </c>
      <c r="J9" s="853">
        <v>442</v>
      </c>
      <c r="K9" s="853">
        <v>575</v>
      </c>
      <c r="L9" s="854" t="s">
        <v>18</v>
      </c>
      <c r="M9" s="854" t="s">
        <v>18</v>
      </c>
      <c r="N9" s="854" t="s">
        <v>18</v>
      </c>
      <c r="O9" s="853">
        <v>3800</v>
      </c>
      <c r="P9" s="853">
        <v>830</v>
      </c>
      <c r="Q9" s="853">
        <v>3154</v>
      </c>
      <c r="R9" s="853"/>
      <c r="S9" s="853"/>
      <c r="T9" s="853"/>
      <c r="U9" s="853"/>
      <c r="V9" s="853"/>
      <c r="W9" s="853"/>
      <c r="X9" s="853">
        <v>164300</v>
      </c>
      <c r="Y9" s="853">
        <v>76458</v>
      </c>
    </row>
    <row r="10" spans="1:25" hidden="1" x14ac:dyDescent="0.25">
      <c r="A10" s="864" t="s">
        <v>24</v>
      </c>
      <c r="B10" s="852" t="s">
        <v>235</v>
      </c>
      <c r="C10" s="853">
        <v>2730</v>
      </c>
      <c r="D10" s="927">
        <v>563</v>
      </c>
      <c r="E10" s="853">
        <v>1537</v>
      </c>
      <c r="F10" s="853">
        <v>13200</v>
      </c>
      <c r="G10" s="853">
        <v>675</v>
      </c>
      <c r="H10" s="853">
        <v>8910</v>
      </c>
      <c r="I10" s="853">
        <v>1570</v>
      </c>
      <c r="J10" s="853">
        <v>556</v>
      </c>
      <c r="K10" s="853">
        <v>873</v>
      </c>
      <c r="L10" s="853">
        <v>140</v>
      </c>
      <c r="M10" s="853">
        <v>1000</v>
      </c>
      <c r="N10" s="853">
        <v>140</v>
      </c>
      <c r="O10" s="853">
        <v>48000</v>
      </c>
      <c r="P10" s="853">
        <v>1000</v>
      </c>
      <c r="Q10" s="853">
        <v>4800</v>
      </c>
      <c r="R10" s="853"/>
      <c r="S10" s="853"/>
      <c r="T10" s="853"/>
      <c r="U10" s="853"/>
      <c r="V10" s="853"/>
      <c r="W10" s="853"/>
      <c r="X10" s="853">
        <v>65640</v>
      </c>
      <c r="Y10" s="853">
        <v>594460</v>
      </c>
    </row>
    <row r="11" spans="1:25" hidden="1" x14ac:dyDescent="0.25">
      <c r="A11" s="864" t="s">
        <v>26</v>
      </c>
      <c r="B11" s="852" t="s">
        <v>235</v>
      </c>
      <c r="C11" s="853">
        <v>31111</v>
      </c>
      <c r="D11" s="927">
        <v>749</v>
      </c>
      <c r="E11" s="853">
        <v>23302</v>
      </c>
      <c r="F11" s="853">
        <v>106154</v>
      </c>
      <c r="G11" s="853">
        <v>890</v>
      </c>
      <c r="H11" s="853">
        <v>94477</v>
      </c>
      <c r="I11" s="853">
        <v>17570</v>
      </c>
      <c r="J11" s="853">
        <v>835</v>
      </c>
      <c r="K11" s="853">
        <v>14671</v>
      </c>
      <c r="L11" s="853">
        <v>19820</v>
      </c>
      <c r="M11" s="853">
        <v>1317</v>
      </c>
      <c r="N11" s="853">
        <v>26103</v>
      </c>
      <c r="O11" s="853">
        <v>25000</v>
      </c>
      <c r="P11" s="853">
        <v>1200</v>
      </c>
      <c r="Q11" s="853">
        <v>30000</v>
      </c>
      <c r="R11" s="853"/>
      <c r="S11" s="853"/>
      <c r="T11" s="853"/>
      <c r="U11" s="853">
        <v>500</v>
      </c>
      <c r="V11" s="853"/>
      <c r="W11" s="853">
        <v>169</v>
      </c>
      <c r="X11" s="853">
        <v>200155</v>
      </c>
      <c r="Y11" s="853">
        <v>188722</v>
      </c>
    </row>
    <row r="12" spans="1:25" hidden="1" x14ac:dyDescent="0.25">
      <c r="A12" s="864" t="s">
        <v>27</v>
      </c>
      <c r="B12" s="852" t="s">
        <v>235</v>
      </c>
      <c r="C12" s="853">
        <v>47886</v>
      </c>
      <c r="D12" s="927">
        <v>261</v>
      </c>
      <c r="E12" s="853">
        <v>12498</v>
      </c>
      <c r="F12" s="853">
        <v>85757</v>
      </c>
      <c r="G12" s="853">
        <v>612</v>
      </c>
      <c r="H12" s="853">
        <v>52483</v>
      </c>
      <c r="I12" s="853">
        <v>5758</v>
      </c>
      <c r="J12" s="853">
        <v>532</v>
      </c>
      <c r="K12" s="853">
        <v>3063</v>
      </c>
      <c r="L12" s="853">
        <v>26458</v>
      </c>
      <c r="M12" s="853">
        <v>1532</v>
      </c>
      <c r="N12" s="853">
        <v>40534</v>
      </c>
      <c r="O12" s="853">
        <v>5080</v>
      </c>
      <c r="P12" s="853">
        <v>450</v>
      </c>
      <c r="Q12" s="853">
        <v>2286</v>
      </c>
      <c r="R12" s="853"/>
      <c r="S12" s="853"/>
      <c r="T12" s="853"/>
      <c r="U12" s="853"/>
      <c r="V12" s="853"/>
      <c r="W12" s="853"/>
      <c r="X12" s="853">
        <v>170939</v>
      </c>
      <c r="Y12" s="853">
        <v>110864</v>
      </c>
    </row>
    <row r="13" spans="1:25" hidden="1" x14ac:dyDescent="0.25">
      <c r="A13" s="819" t="s">
        <v>50</v>
      </c>
      <c r="B13" s="852" t="s">
        <v>235</v>
      </c>
      <c r="C13" s="853">
        <v>27985</v>
      </c>
      <c r="D13" s="927">
        <v>448</v>
      </c>
      <c r="E13" s="853">
        <v>12537</v>
      </c>
      <c r="F13" s="853">
        <v>47600</v>
      </c>
      <c r="G13" s="853">
        <v>468</v>
      </c>
      <c r="H13" s="853">
        <v>22277</v>
      </c>
      <c r="I13" s="853">
        <v>4344</v>
      </c>
      <c r="J13" s="853">
        <v>493</v>
      </c>
      <c r="K13" s="853">
        <v>2142</v>
      </c>
      <c r="L13" s="853">
        <v>7980</v>
      </c>
      <c r="M13" s="853">
        <v>950</v>
      </c>
      <c r="N13" s="853">
        <v>7581</v>
      </c>
      <c r="O13" s="854" t="s">
        <v>18</v>
      </c>
      <c r="P13" s="854" t="s">
        <v>18</v>
      </c>
      <c r="Q13" s="854" t="s">
        <v>18</v>
      </c>
      <c r="R13" s="853"/>
      <c r="S13" s="853"/>
      <c r="T13" s="853"/>
      <c r="U13" s="853">
        <v>208</v>
      </c>
      <c r="V13" s="853"/>
      <c r="W13" s="853">
        <v>116</v>
      </c>
      <c r="X13" s="853">
        <v>88117</v>
      </c>
      <c r="Y13" s="853">
        <v>44653</v>
      </c>
    </row>
    <row r="14" spans="1:25" hidden="1" x14ac:dyDescent="0.25">
      <c r="A14" s="888" t="s">
        <v>163</v>
      </c>
      <c r="B14" s="852" t="s">
        <v>235</v>
      </c>
      <c r="C14" s="853">
        <v>20406</v>
      </c>
      <c r="D14" s="927">
        <v>487</v>
      </c>
      <c r="E14" s="853">
        <v>9938</v>
      </c>
      <c r="F14" s="853">
        <v>71887</v>
      </c>
      <c r="G14" s="853">
        <v>590</v>
      </c>
      <c r="H14" s="853">
        <v>42413</v>
      </c>
      <c r="I14" s="853">
        <v>8893</v>
      </c>
      <c r="J14" s="853">
        <v>495</v>
      </c>
      <c r="K14" s="853">
        <v>4402</v>
      </c>
      <c r="L14" s="853">
        <v>2890</v>
      </c>
      <c r="M14" s="853">
        <v>864</v>
      </c>
      <c r="N14" s="853">
        <v>2497</v>
      </c>
      <c r="O14" s="854" t="s">
        <v>18</v>
      </c>
      <c r="P14" s="854" t="s">
        <v>18</v>
      </c>
      <c r="Q14" s="854" t="s">
        <v>18</v>
      </c>
      <c r="R14" s="853"/>
      <c r="S14" s="853"/>
      <c r="T14" s="853"/>
      <c r="U14" s="853"/>
      <c r="V14" s="853"/>
      <c r="W14" s="853"/>
      <c r="X14" s="853">
        <v>104076</v>
      </c>
      <c r="Y14" s="853">
        <v>59250</v>
      </c>
    </row>
    <row r="15" spans="1:25" hidden="1" x14ac:dyDescent="0.25">
      <c r="A15" s="864" t="s">
        <v>52</v>
      </c>
      <c r="B15" s="852" t="s">
        <v>235</v>
      </c>
      <c r="C15" s="853">
        <v>47201</v>
      </c>
      <c r="D15" s="927">
        <v>581</v>
      </c>
      <c r="E15" s="853">
        <v>27424</v>
      </c>
      <c r="F15" s="853">
        <v>98067</v>
      </c>
      <c r="G15" s="853">
        <v>771</v>
      </c>
      <c r="H15" s="853">
        <v>75610</v>
      </c>
      <c r="I15" s="853">
        <v>7028</v>
      </c>
      <c r="J15" s="853">
        <v>816</v>
      </c>
      <c r="K15" s="853">
        <v>5735</v>
      </c>
      <c r="L15" s="853">
        <v>2170</v>
      </c>
      <c r="M15" s="853">
        <v>797</v>
      </c>
      <c r="N15" s="853">
        <v>1929</v>
      </c>
      <c r="O15" s="853">
        <v>4285</v>
      </c>
      <c r="P15" s="853">
        <v>600</v>
      </c>
      <c r="Q15" s="853">
        <v>2571</v>
      </c>
      <c r="R15" s="853"/>
      <c r="S15" s="853"/>
      <c r="T15" s="853"/>
      <c r="U15" s="853"/>
      <c r="V15" s="853"/>
      <c r="W15" s="853"/>
      <c r="X15" s="853">
        <v>158751</v>
      </c>
      <c r="Y15" s="853">
        <v>113069</v>
      </c>
    </row>
    <row r="16" spans="1:25" hidden="1" x14ac:dyDescent="0.25">
      <c r="A16" s="864" t="s">
        <v>15</v>
      </c>
      <c r="B16" s="852" t="s">
        <v>236</v>
      </c>
      <c r="C16" s="853">
        <v>86330</v>
      </c>
      <c r="D16" s="927">
        <v>300</v>
      </c>
      <c r="E16" s="853">
        <v>25899</v>
      </c>
      <c r="F16" s="853">
        <v>32860</v>
      </c>
      <c r="G16" s="853">
        <v>350</v>
      </c>
      <c r="H16" s="853">
        <v>11501</v>
      </c>
      <c r="I16" s="853">
        <v>100</v>
      </c>
      <c r="J16" s="853">
        <v>500</v>
      </c>
      <c r="K16" s="853">
        <v>50</v>
      </c>
      <c r="L16" s="853"/>
      <c r="M16" s="853"/>
      <c r="N16" s="853"/>
      <c r="O16" s="853">
        <v>3000</v>
      </c>
      <c r="P16" s="853">
        <v>450</v>
      </c>
      <c r="Q16" s="853">
        <v>1350</v>
      </c>
      <c r="R16" s="854" t="s">
        <v>18</v>
      </c>
      <c r="S16" s="854" t="s">
        <v>18</v>
      </c>
      <c r="T16" s="854" t="s">
        <v>18</v>
      </c>
      <c r="U16" s="854" t="s">
        <v>18</v>
      </c>
      <c r="V16" s="854" t="s">
        <v>18</v>
      </c>
      <c r="W16" s="854" t="s">
        <v>18</v>
      </c>
      <c r="X16" s="853">
        <v>122290</v>
      </c>
      <c r="Y16" s="853">
        <v>38800</v>
      </c>
    </row>
    <row r="17" spans="1:25" hidden="1" x14ac:dyDescent="0.25">
      <c r="A17" s="864" t="s">
        <v>16</v>
      </c>
      <c r="B17" s="852" t="s">
        <v>236</v>
      </c>
      <c r="C17" s="854"/>
      <c r="D17" s="866"/>
      <c r="E17" s="854"/>
      <c r="F17" s="854"/>
      <c r="G17" s="854"/>
      <c r="H17" s="854"/>
      <c r="I17" s="854"/>
      <c r="J17" s="854"/>
      <c r="K17" s="854"/>
      <c r="L17" s="854"/>
      <c r="M17" s="854"/>
      <c r="N17" s="854"/>
      <c r="O17" s="854"/>
      <c r="P17" s="854"/>
      <c r="Q17" s="854"/>
      <c r="R17" s="854"/>
      <c r="S17" s="854"/>
      <c r="T17" s="854"/>
      <c r="U17" s="854"/>
      <c r="V17" s="854"/>
      <c r="W17" s="854"/>
      <c r="X17" s="854"/>
      <c r="Y17" s="854"/>
    </row>
    <row r="18" spans="1:25" hidden="1" x14ac:dyDescent="0.25">
      <c r="A18" s="864" t="s">
        <v>17</v>
      </c>
      <c r="B18" s="852" t="s">
        <v>236</v>
      </c>
      <c r="C18" s="853">
        <v>58610</v>
      </c>
      <c r="D18" s="927">
        <v>30</v>
      </c>
      <c r="E18" s="853">
        <v>1730</v>
      </c>
      <c r="F18" s="853">
        <v>1340</v>
      </c>
      <c r="G18" s="853">
        <v>70</v>
      </c>
      <c r="H18" s="853">
        <v>100</v>
      </c>
      <c r="I18" s="854" t="s">
        <v>18</v>
      </c>
      <c r="J18" s="854" t="s">
        <v>18</v>
      </c>
      <c r="K18" s="854" t="s">
        <v>18</v>
      </c>
      <c r="L18" s="854" t="s">
        <v>18</v>
      </c>
      <c r="M18" s="854" t="s">
        <v>18</v>
      </c>
      <c r="N18" s="854" t="s">
        <v>18</v>
      </c>
      <c r="O18" s="854" t="s">
        <v>18</v>
      </c>
      <c r="P18" s="854" t="s">
        <v>18</v>
      </c>
      <c r="Q18" s="854" t="s">
        <v>18</v>
      </c>
      <c r="R18" s="854" t="s">
        <v>18</v>
      </c>
      <c r="S18" s="854" t="s">
        <v>18</v>
      </c>
      <c r="T18" s="854" t="s">
        <v>18</v>
      </c>
      <c r="U18" s="854" t="s">
        <v>18</v>
      </c>
      <c r="V18" s="854" t="s">
        <v>18</v>
      </c>
      <c r="W18" s="854" t="s">
        <v>18</v>
      </c>
      <c r="X18" s="853">
        <v>59950</v>
      </c>
      <c r="Y18" s="853">
        <v>1830</v>
      </c>
    </row>
    <row r="19" spans="1:25" hidden="1" x14ac:dyDescent="0.25">
      <c r="A19" s="819" t="s">
        <v>103</v>
      </c>
      <c r="B19" s="852" t="s">
        <v>236</v>
      </c>
      <c r="C19" s="853">
        <v>95870</v>
      </c>
      <c r="D19" s="927">
        <v>400</v>
      </c>
      <c r="E19" s="853">
        <v>38348</v>
      </c>
      <c r="F19" s="853">
        <v>69012</v>
      </c>
      <c r="G19" s="853">
        <v>600</v>
      </c>
      <c r="H19" s="853">
        <v>41407</v>
      </c>
      <c r="I19" s="853">
        <v>13733</v>
      </c>
      <c r="J19" s="853">
        <v>1500</v>
      </c>
      <c r="K19" s="853">
        <v>20600</v>
      </c>
      <c r="L19" s="853">
        <v>210</v>
      </c>
      <c r="M19" s="853">
        <v>2250</v>
      </c>
      <c r="N19" s="853">
        <v>473</v>
      </c>
      <c r="O19" s="853">
        <v>9000</v>
      </c>
      <c r="P19" s="853">
        <v>800</v>
      </c>
      <c r="Q19" s="853">
        <v>7200</v>
      </c>
      <c r="R19" s="854" t="s">
        <v>18</v>
      </c>
      <c r="S19" s="854" t="s">
        <v>18</v>
      </c>
      <c r="T19" s="854" t="s">
        <v>18</v>
      </c>
      <c r="U19" s="854" t="s">
        <v>18</v>
      </c>
      <c r="V19" s="854" t="s">
        <v>18</v>
      </c>
      <c r="W19" s="854" t="s">
        <v>18</v>
      </c>
      <c r="X19" s="853">
        <v>187825</v>
      </c>
      <c r="Y19" s="853">
        <v>108028</v>
      </c>
    </row>
    <row r="20" spans="1:25" hidden="1" x14ac:dyDescent="0.25">
      <c r="A20" s="864" t="s">
        <v>20</v>
      </c>
      <c r="B20" s="852" t="s">
        <v>236</v>
      </c>
      <c r="C20" s="853">
        <v>12490</v>
      </c>
      <c r="D20" s="927">
        <v>450</v>
      </c>
      <c r="E20" s="853">
        <v>5621</v>
      </c>
      <c r="F20" s="853">
        <v>36570</v>
      </c>
      <c r="G20" s="853">
        <v>600</v>
      </c>
      <c r="H20" s="853">
        <v>21942</v>
      </c>
      <c r="I20" s="854" t="s">
        <v>18</v>
      </c>
      <c r="J20" s="854" t="s">
        <v>18</v>
      </c>
      <c r="K20" s="854" t="s">
        <v>18</v>
      </c>
      <c r="L20" s="854" t="s">
        <v>18</v>
      </c>
      <c r="M20" s="854" t="s">
        <v>18</v>
      </c>
      <c r="N20" s="854" t="s">
        <v>18</v>
      </c>
      <c r="O20" s="854" t="s">
        <v>18</v>
      </c>
      <c r="P20" s="854" t="s">
        <v>18</v>
      </c>
      <c r="Q20" s="854" t="s">
        <v>18</v>
      </c>
      <c r="R20" s="854" t="s">
        <v>18</v>
      </c>
      <c r="S20" s="854" t="s">
        <v>18</v>
      </c>
      <c r="T20" s="854" t="s">
        <v>18</v>
      </c>
      <c r="U20" s="854" t="s">
        <v>18</v>
      </c>
      <c r="V20" s="854" t="s">
        <v>18</v>
      </c>
      <c r="W20" s="854" t="s">
        <v>18</v>
      </c>
      <c r="X20" s="853">
        <v>49060</v>
      </c>
      <c r="Y20" s="853">
        <v>27563</v>
      </c>
    </row>
    <row r="21" spans="1:25" hidden="1" x14ac:dyDescent="0.25">
      <c r="A21" s="864" t="s">
        <v>21</v>
      </c>
      <c r="B21" s="852" t="s">
        <v>236</v>
      </c>
      <c r="C21" s="853">
        <v>47200</v>
      </c>
      <c r="D21" s="927">
        <v>100</v>
      </c>
      <c r="E21" s="853">
        <v>4720</v>
      </c>
      <c r="F21" s="853">
        <v>16000</v>
      </c>
      <c r="G21" s="853">
        <v>100</v>
      </c>
      <c r="H21" s="853">
        <v>1600</v>
      </c>
      <c r="I21" s="853">
        <v>1300</v>
      </c>
      <c r="J21" s="853">
        <v>300</v>
      </c>
      <c r="K21" s="853">
        <v>390</v>
      </c>
      <c r="L21" s="854" t="s">
        <v>18</v>
      </c>
      <c r="M21" s="854" t="s">
        <v>18</v>
      </c>
      <c r="N21" s="854" t="s">
        <v>18</v>
      </c>
      <c r="O21" s="854" t="s">
        <v>18</v>
      </c>
      <c r="P21" s="854" t="s">
        <v>18</v>
      </c>
      <c r="Q21" s="854" t="s">
        <v>18</v>
      </c>
      <c r="R21" s="854" t="s">
        <v>18</v>
      </c>
      <c r="S21" s="854" t="s">
        <v>18</v>
      </c>
      <c r="T21" s="854" t="s">
        <v>18</v>
      </c>
      <c r="U21" s="854" t="s">
        <v>18</v>
      </c>
      <c r="V21" s="854" t="s">
        <v>18</v>
      </c>
      <c r="W21" s="854" t="s">
        <v>18</v>
      </c>
      <c r="X21" s="853">
        <v>64500</v>
      </c>
      <c r="Y21" s="853">
        <v>6710</v>
      </c>
    </row>
    <row r="22" spans="1:25" hidden="1" x14ac:dyDescent="0.25">
      <c r="A22" s="864" t="s">
        <v>22</v>
      </c>
      <c r="B22" s="852" t="s">
        <v>236</v>
      </c>
      <c r="C22" s="853">
        <v>35375</v>
      </c>
      <c r="D22" s="927">
        <v>50</v>
      </c>
      <c r="E22" s="853">
        <v>1768</v>
      </c>
      <c r="F22" s="854" t="s">
        <v>18</v>
      </c>
      <c r="G22" s="854" t="s">
        <v>18</v>
      </c>
      <c r="H22" s="854" t="s">
        <v>18</v>
      </c>
      <c r="I22" s="853">
        <v>12033</v>
      </c>
      <c r="J22" s="853">
        <v>617</v>
      </c>
      <c r="K22" s="853">
        <v>7430</v>
      </c>
      <c r="L22" s="854" t="s">
        <v>18</v>
      </c>
      <c r="M22" s="854" t="s">
        <v>18</v>
      </c>
      <c r="N22" s="854" t="s">
        <v>18</v>
      </c>
      <c r="O22" s="854" t="s">
        <v>18</v>
      </c>
      <c r="P22" s="854" t="s">
        <v>18</v>
      </c>
      <c r="Q22" s="854" t="s">
        <v>18</v>
      </c>
      <c r="R22" s="855">
        <v>1178</v>
      </c>
      <c r="S22" s="855">
        <v>2250</v>
      </c>
      <c r="T22" s="855">
        <v>2650</v>
      </c>
      <c r="U22" s="854" t="s">
        <v>18</v>
      </c>
      <c r="V22" s="854" t="s">
        <v>18</v>
      </c>
      <c r="W22" s="854" t="s">
        <v>18</v>
      </c>
      <c r="X22" s="853">
        <v>48586</v>
      </c>
      <c r="Y22" s="853">
        <v>11848</v>
      </c>
    </row>
    <row r="23" spans="1:25" hidden="1" x14ac:dyDescent="0.25">
      <c r="A23" s="864" t="s">
        <v>23</v>
      </c>
      <c r="B23" s="852" t="s">
        <v>236</v>
      </c>
      <c r="C23" s="853">
        <v>137000</v>
      </c>
      <c r="D23" s="927">
        <v>495</v>
      </c>
      <c r="E23" s="853">
        <v>67815</v>
      </c>
      <c r="F23" s="853">
        <v>59050</v>
      </c>
      <c r="G23" s="853">
        <v>110</v>
      </c>
      <c r="H23" s="853">
        <v>26530</v>
      </c>
      <c r="I23" s="853">
        <v>13320</v>
      </c>
      <c r="J23" s="853">
        <v>700</v>
      </c>
      <c r="K23" s="853">
        <v>9769</v>
      </c>
      <c r="L23" s="854" t="s">
        <v>18</v>
      </c>
      <c r="M23" s="854" t="s">
        <v>18</v>
      </c>
      <c r="N23" s="854" t="s">
        <v>18</v>
      </c>
      <c r="O23" s="854" t="s">
        <v>18</v>
      </c>
      <c r="P23" s="854" t="s">
        <v>18</v>
      </c>
      <c r="Q23" s="854" t="s">
        <v>18</v>
      </c>
      <c r="R23" s="854" t="s">
        <v>18</v>
      </c>
      <c r="S23" s="854" t="s">
        <v>18</v>
      </c>
      <c r="T23" s="854" t="s">
        <v>18</v>
      </c>
      <c r="U23" s="854" t="s">
        <v>18</v>
      </c>
      <c r="V23" s="854" t="s">
        <v>18</v>
      </c>
      <c r="W23" s="854" t="s">
        <v>18</v>
      </c>
      <c r="X23" s="853">
        <v>209370</v>
      </c>
      <c r="Y23" s="853">
        <v>104114</v>
      </c>
    </row>
    <row r="24" spans="1:25" hidden="1" x14ac:dyDescent="0.25">
      <c r="A24" s="864" t="s">
        <v>24</v>
      </c>
      <c r="B24" s="852" t="s">
        <v>236</v>
      </c>
      <c r="C24" s="853">
        <v>2250</v>
      </c>
      <c r="D24" s="927">
        <v>750</v>
      </c>
      <c r="E24" s="853">
        <v>1912</v>
      </c>
      <c r="F24" s="853">
        <v>13250</v>
      </c>
      <c r="G24" s="853">
        <v>1010</v>
      </c>
      <c r="H24" s="853">
        <v>13382</v>
      </c>
      <c r="I24" s="853">
        <v>1700</v>
      </c>
      <c r="J24" s="853">
        <v>900</v>
      </c>
      <c r="K24" s="853">
        <v>1530</v>
      </c>
      <c r="L24" s="853">
        <v>35</v>
      </c>
      <c r="M24" s="853">
        <v>450</v>
      </c>
      <c r="N24" s="853">
        <v>15</v>
      </c>
      <c r="O24" s="853">
        <v>40000</v>
      </c>
      <c r="P24" s="853">
        <v>1000</v>
      </c>
      <c r="Q24" s="853">
        <v>40000</v>
      </c>
      <c r="R24" s="854" t="s">
        <v>18</v>
      </c>
      <c r="S24" s="854" t="s">
        <v>18</v>
      </c>
      <c r="T24" s="854" t="s">
        <v>18</v>
      </c>
      <c r="U24" s="854" t="s">
        <v>18</v>
      </c>
      <c r="V24" s="854" t="s">
        <v>18</v>
      </c>
      <c r="W24" s="854" t="s">
        <v>18</v>
      </c>
      <c r="X24" s="853">
        <v>57235</v>
      </c>
      <c r="Y24" s="853">
        <v>56839</v>
      </c>
    </row>
    <row r="25" spans="1:25" hidden="1" x14ac:dyDescent="0.25">
      <c r="A25" s="864" t="s">
        <v>26</v>
      </c>
      <c r="B25" s="852" t="s">
        <v>236</v>
      </c>
      <c r="C25" s="853">
        <v>30000</v>
      </c>
      <c r="D25" s="927">
        <v>624</v>
      </c>
      <c r="E25" s="853">
        <v>30624</v>
      </c>
      <c r="F25" s="853">
        <v>110000</v>
      </c>
      <c r="G25" s="853">
        <v>830</v>
      </c>
      <c r="H25" s="853">
        <v>91300</v>
      </c>
      <c r="I25" s="853">
        <v>17000</v>
      </c>
      <c r="J25" s="853">
        <v>895</v>
      </c>
      <c r="K25" s="853">
        <v>15215</v>
      </c>
      <c r="L25" s="853">
        <v>22000</v>
      </c>
      <c r="M25" s="853">
        <v>1740</v>
      </c>
      <c r="N25" s="853">
        <v>38280</v>
      </c>
      <c r="O25" s="853">
        <v>27000</v>
      </c>
      <c r="P25" s="853">
        <v>1200</v>
      </c>
      <c r="Q25" s="853">
        <v>32400</v>
      </c>
      <c r="R25" s="854" t="s">
        <v>18</v>
      </c>
      <c r="S25" s="854" t="s">
        <v>18</v>
      </c>
      <c r="T25" s="854" t="s">
        <v>18</v>
      </c>
      <c r="U25" s="854" t="s">
        <v>18</v>
      </c>
      <c r="V25" s="854" t="s">
        <v>18</v>
      </c>
      <c r="W25" s="854" t="s">
        <v>18</v>
      </c>
      <c r="X25" s="853">
        <v>206000</v>
      </c>
      <c r="Y25" s="853">
        <v>207819</v>
      </c>
    </row>
    <row r="26" spans="1:25" hidden="1" x14ac:dyDescent="0.25">
      <c r="A26" s="864" t="s">
        <v>27</v>
      </c>
      <c r="B26" s="852" t="s">
        <v>236</v>
      </c>
      <c r="C26" s="853">
        <v>29000</v>
      </c>
      <c r="D26" s="927">
        <v>490</v>
      </c>
      <c r="E26" s="853">
        <v>14210</v>
      </c>
      <c r="F26" s="853">
        <v>51059</v>
      </c>
      <c r="G26" s="853">
        <v>550</v>
      </c>
      <c r="H26" s="853">
        <v>28082</v>
      </c>
      <c r="I26" s="853">
        <v>6000</v>
      </c>
      <c r="J26" s="853">
        <v>830</v>
      </c>
      <c r="K26" s="853">
        <v>4980</v>
      </c>
      <c r="L26" s="853">
        <v>24000</v>
      </c>
      <c r="M26" s="853">
        <v>1500</v>
      </c>
      <c r="N26" s="853">
        <v>35000</v>
      </c>
      <c r="O26" s="853">
        <v>7000</v>
      </c>
      <c r="P26" s="853">
        <v>800</v>
      </c>
      <c r="Q26" s="853">
        <v>5600</v>
      </c>
      <c r="R26" s="854" t="s">
        <v>18</v>
      </c>
      <c r="S26" s="854" t="s">
        <v>18</v>
      </c>
      <c r="T26" s="854" t="s">
        <v>18</v>
      </c>
      <c r="U26" s="854" t="s">
        <v>18</v>
      </c>
      <c r="V26" s="854" t="s">
        <v>18</v>
      </c>
      <c r="W26" s="854" t="s">
        <v>18</v>
      </c>
      <c r="X26" s="853">
        <v>117059</v>
      </c>
      <c r="Y26" s="853">
        <v>88872</v>
      </c>
    </row>
    <row r="27" spans="1:25" hidden="1" x14ac:dyDescent="0.25">
      <c r="A27" s="819" t="s">
        <v>50</v>
      </c>
      <c r="B27" s="852" t="s">
        <v>236</v>
      </c>
      <c r="C27" s="853">
        <v>26000</v>
      </c>
      <c r="D27" s="927">
        <v>600</v>
      </c>
      <c r="E27" s="853">
        <v>15600</v>
      </c>
      <c r="F27" s="853">
        <v>36000</v>
      </c>
      <c r="G27" s="853">
        <v>478</v>
      </c>
      <c r="H27" s="853">
        <v>17408</v>
      </c>
      <c r="I27" s="853">
        <v>2600</v>
      </c>
      <c r="J27" s="853">
        <v>700</v>
      </c>
      <c r="K27" s="853">
        <v>1820</v>
      </c>
      <c r="L27" s="853">
        <v>11000</v>
      </c>
      <c r="M27" s="853">
        <v>1400</v>
      </c>
      <c r="N27" s="853">
        <v>15400</v>
      </c>
      <c r="O27" s="854" t="s">
        <v>18</v>
      </c>
      <c r="P27" s="854" t="s">
        <v>18</v>
      </c>
      <c r="Q27" s="854" t="s">
        <v>18</v>
      </c>
      <c r="R27" s="854" t="s">
        <v>18</v>
      </c>
      <c r="S27" s="854" t="s">
        <v>18</v>
      </c>
      <c r="T27" s="854" t="s">
        <v>18</v>
      </c>
      <c r="U27" s="853">
        <v>1700</v>
      </c>
      <c r="V27" s="853">
        <v>560</v>
      </c>
      <c r="W27" s="853">
        <v>952</v>
      </c>
      <c r="X27" s="853">
        <v>77300</v>
      </c>
      <c r="Y27" s="853">
        <v>51180</v>
      </c>
    </row>
    <row r="28" spans="1:25" hidden="1" x14ac:dyDescent="0.25">
      <c r="A28" s="864" t="s">
        <v>163</v>
      </c>
      <c r="B28" s="852" t="s">
        <v>236</v>
      </c>
      <c r="C28" s="853">
        <v>28000</v>
      </c>
      <c r="D28" s="927">
        <v>629</v>
      </c>
      <c r="E28" s="853">
        <v>17612</v>
      </c>
      <c r="F28" s="853">
        <v>71847</v>
      </c>
      <c r="G28" s="853">
        <v>580</v>
      </c>
      <c r="H28" s="853">
        <v>41671</v>
      </c>
      <c r="I28" s="853">
        <v>8890</v>
      </c>
      <c r="J28" s="853">
        <v>808</v>
      </c>
      <c r="K28" s="853">
        <v>7183</v>
      </c>
      <c r="L28" s="853">
        <v>2890</v>
      </c>
      <c r="M28" s="853">
        <v>1500</v>
      </c>
      <c r="N28" s="853">
        <v>4335</v>
      </c>
      <c r="O28" s="854" t="s">
        <v>18</v>
      </c>
      <c r="P28" s="854" t="s">
        <v>18</v>
      </c>
      <c r="Q28" s="854" t="s">
        <v>18</v>
      </c>
      <c r="R28" s="854" t="s">
        <v>18</v>
      </c>
      <c r="S28" s="854" t="s">
        <v>18</v>
      </c>
      <c r="T28" s="854" t="s">
        <v>18</v>
      </c>
      <c r="U28" s="854" t="s">
        <v>18</v>
      </c>
      <c r="V28" s="854" t="s">
        <v>18</v>
      </c>
      <c r="W28" s="854" t="s">
        <v>18</v>
      </c>
      <c r="X28" s="853">
        <v>111627</v>
      </c>
      <c r="Y28" s="853">
        <v>70801</v>
      </c>
    </row>
    <row r="29" spans="1:25" hidden="1" x14ac:dyDescent="0.25">
      <c r="A29" s="864" t="s">
        <v>52</v>
      </c>
      <c r="B29" s="852" t="s">
        <v>236</v>
      </c>
      <c r="C29" s="853">
        <v>47000</v>
      </c>
      <c r="D29" s="927">
        <v>676</v>
      </c>
      <c r="E29" s="853">
        <v>31772</v>
      </c>
      <c r="F29" s="853">
        <v>87000</v>
      </c>
      <c r="G29" s="853">
        <v>662</v>
      </c>
      <c r="H29" s="853">
        <v>57594</v>
      </c>
      <c r="I29" s="853">
        <v>7080</v>
      </c>
      <c r="J29" s="853">
        <v>800</v>
      </c>
      <c r="K29" s="853">
        <v>5664</v>
      </c>
      <c r="L29" s="853">
        <v>2170</v>
      </c>
      <c r="M29" s="853">
        <v>1500</v>
      </c>
      <c r="N29" s="853">
        <v>3225</v>
      </c>
      <c r="O29" s="853">
        <v>5600</v>
      </c>
      <c r="P29" s="853">
        <v>907</v>
      </c>
      <c r="Q29" s="853">
        <v>5079</v>
      </c>
      <c r="R29" s="854" t="s">
        <v>18</v>
      </c>
      <c r="S29" s="854" t="s">
        <v>18</v>
      </c>
      <c r="T29" s="854" t="s">
        <v>18</v>
      </c>
      <c r="U29" s="854" t="s">
        <v>18</v>
      </c>
      <c r="V29" s="854" t="s">
        <v>18</v>
      </c>
      <c r="W29" s="854" t="s">
        <v>18</v>
      </c>
      <c r="X29" s="853">
        <v>148850</v>
      </c>
      <c r="Y29" s="853">
        <v>103334</v>
      </c>
    </row>
    <row r="30" spans="1:25" hidden="1" x14ac:dyDescent="0.25">
      <c r="A30" s="819" t="s">
        <v>15</v>
      </c>
      <c r="B30" s="849" t="s">
        <v>237</v>
      </c>
      <c r="C30" s="811">
        <v>90370</v>
      </c>
      <c r="D30" s="857">
        <v>275</v>
      </c>
      <c r="E30" s="811">
        <v>24852</v>
      </c>
      <c r="F30" s="811">
        <v>42230</v>
      </c>
      <c r="G30" s="811">
        <v>281</v>
      </c>
      <c r="H30" s="811">
        <v>11867</v>
      </c>
      <c r="I30" s="811">
        <v>1000</v>
      </c>
      <c r="J30" s="811">
        <v>500</v>
      </c>
      <c r="K30" s="811">
        <v>50</v>
      </c>
      <c r="L30" s="818" t="s">
        <v>18</v>
      </c>
      <c r="M30" s="818" t="s">
        <v>18</v>
      </c>
      <c r="N30" s="818" t="s">
        <v>18</v>
      </c>
      <c r="O30" s="811">
        <v>2000</v>
      </c>
      <c r="P30" s="811">
        <v>574</v>
      </c>
      <c r="Q30" s="811">
        <v>1148</v>
      </c>
      <c r="R30" s="818" t="s">
        <v>18</v>
      </c>
      <c r="S30" s="818" t="s">
        <v>18</v>
      </c>
      <c r="T30" s="818" t="s">
        <v>18</v>
      </c>
      <c r="U30" s="818" t="s">
        <v>18</v>
      </c>
      <c r="V30" s="818" t="s">
        <v>18</v>
      </c>
      <c r="W30" s="818" t="s">
        <v>18</v>
      </c>
      <c r="X30" s="811">
        <v>134700</v>
      </c>
      <c r="Y30" s="811">
        <v>37917</v>
      </c>
    </row>
    <row r="31" spans="1:25" hidden="1" x14ac:dyDescent="0.25">
      <c r="A31" s="864" t="s">
        <v>16</v>
      </c>
      <c r="B31" s="849" t="s">
        <v>237</v>
      </c>
      <c r="C31" s="818" t="s">
        <v>18</v>
      </c>
      <c r="D31" s="857" t="s">
        <v>18</v>
      </c>
      <c r="E31" s="818" t="s">
        <v>18</v>
      </c>
      <c r="F31" s="818" t="s">
        <v>18</v>
      </c>
      <c r="G31" s="818" t="s">
        <v>18</v>
      </c>
      <c r="H31" s="818" t="s">
        <v>18</v>
      </c>
      <c r="I31" s="818" t="s">
        <v>18</v>
      </c>
      <c r="J31" s="818" t="s">
        <v>18</v>
      </c>
      <c r="K31" s="818" t="s">
        <v>18</v>
      </c>
      <c r="L31" s="818" t="s">
        <v>18</v>
      </c>
      <c r="M31" s="818" t="s">
        <v>18</v>
      </c>
      <c r="N31" s="818" t="s">
        <v>18</v>
      </c>
      <c r="O31" s="818" t="s">
        <v>18</v>
      </c>
      <c r="P31" s="818" t="s">
        <v>18</v>
      </c>
      <c r="Q31" s="818" t="s">
        <v>18</v>
      </c>
      <c r="R31" s="818" t="s">
        <v>18</v>
      </c>
      <c r="S31" s="818" t="s">
        <v>18</v>
      </c>
      <c r="T31" s="818" t="s">
        <v>18</v>
      </c>
      <c r="U31" s="818" t="s">
        <v>18</v>
      </c>
      <c r="V31" s="818" t="s">
        <v>18</v>
      </c>
      <c r="W31" s="818" t="s">
        <v>18</v>
      </c>
      <c r="X31" s="818" t="s">
        <v>18</v>
      </c>
      <c r="Y31" s="818" t="s">
        <v>18</v>
      </c>
    </row>
    <row r="32" spans="1:25" hidden="1" x14ac:dyDescent="0.25">
      <c r="A32" s="819" t="s">
        <v>17</v>
      </c>
      <c r="B32" s="849" t="s">
        <v>237</v>
      </c>
      <c r="C32" s="811">
        <v>70857</v>
      </c>
      <c r="D32" s="857">
        <v>251</v>
      </c>
      <c r="E32" s="811">
        <v>17785</v>
      </c>
      <c r="F32" s="811">
        <v>13795</v>
      </c>
      <c r="G32" s="811">
        <v>306</v>
      </c>
      <c r="H32" s="811">
        <v>4221</v>
      </c>
      <c r="I32" s="818" t="s">
        <v>18</v>
      </c>
      <c r="J32" s="818" t="s">
        <v>18</v>
      </c>
      <c r="K32" s="818" t="s">
        <v>18</v>
      </c>
      <c r="L32" s="818" t="s">
        <v>18</v>
      </c>
      <c r="M32" s="818" t="s">
        <v>18</v>
      </c>
      <c r="N32" s="818" t="s">
        <v>18</v>
      </c>
      <c r="O32" s="818" t="s">
        <v>18</v>
      </c>
      <c r="P32" s="818" t="s">
        <v>18</v>
      </c>
      <c r="Q32" s="818" t="s">
        <v>18</v>
      </c>
      <c r="R32" s="818" t="s">
        <v>18</v>
      </c>
      <c r="S32" s="818" t="s">
        <v>18</v>
      </c>
      <c r="T32" s="818" t="s">
        <v>18</v>
      </c>
      <c r="U32" s="818" t="s">
        <v>18</v>
      </c>
      <c r="V32" s="818" t="s">
        <v>18</v>
      </c>
      <c r="W32" s="818" t="s">
        <v>18</v>
      </c>
      <c r="X32" s="811">
        <v>84652</v>
      </c>
      <c r="Y32" s="811">
        <v>22006</v>
      </c>
    </row>
    <row r="33" spans="1:25" hidden="1" x14ac:dyDescent="0.25">
      <c r="A33" s="819" t="s">
        <v>103</v>
      </c>
      <c r="B33" s="849" t="s">
        <v>237</v>
      </c>
      <c r="C33" s="811">
        <v>99145</v>
      </c>
      <c r="D33" s="857">
        <v>498</v>
      </c>
      <c r="E33" s="811">
        <v>49374</v>
      </c>
      <c r="F33" s="811">
        <v>70000</v>
      </c>
      <c r="G33" s="811">
        <v>658</v>
      </c>
      <c r="H33" s="811">
        <v>46060</v>
      </c>
      <c r="I33" s="811">
        <v>14000</v>
      </c>
      <c r="J33" s="811">
        <v>1455</v>
      </c>
      <c r="K33" s="811">
        <v>20370</v>
      </c>
      <c r="L33" s="811">
        <v>210</v>
      </c>
      <c r="M33" s="811">
        <v>3433</v>
      </c>
      <c r="N33" s="811">
        <v>721</v>
      </c>
      <c r="O33" s="811">
        <v>10000</v>
      </c>
      <c r="P33" s="811">
        <v>688</v>
      </c>
      <c r="Q33" s="811">
        <v>5880</v>
      </c>
      <c r="R33" s="818" t="s">
        <v>18</v>
      </c>
      <c r="S33" s="818" t="s">
        <v>18</v>
      </c>
      <c r="T33" s="818" t="s">
        <v>18</v>
      </c>
      <c r="U33" s="818" t="s">
        <v>18</v>
      </c>
      <c r="V33" s="818" t="s">
        <v>18</v>
      </c>
      <c r="W33" s="818" t="s">
        <v>18</v>
      </c>
      <c r="X33" s="811">
        <v>193355</v>
      </c>
      <c r="Y33" s="811">
        <v>123405</v>
      </c>
    </row>
    <row r="34" spans="1:25" hidden="1" x14ac:dyDescent="0.25">
      <c r="A34" s="819" t="s">
        <v>20</v>
      </c>
      <c r="B34" s="849" t="s">
        <v>237</v>
      </c>
      <c r="C34" s="811">
        <v>18300</v>
      </c>
      <c r="D34" s="857">
        <v>371</v>
      </c>
      <c r="E34" s="811">
        <v>6790</v>
      </c>
      <c r="F34" s="811">
        <v>48860</v>
      </c>
      <c r="G34" s="811">
        <v>648</v>
      </c>
      <c r="H34" s="811">
        <v>31661</v>
      </c>
      <c r="I34" s="818" t="s">
        <v>18</v>
      </c>
      <c r="J34" s="818" t="s">
        <v>18</v>
      </c>
      <c r="K34" s="818" t="s">
        <v>18</v>
      </c>
      <c r="L34" s="818" t="s">
        <v>18</v>
      </c>
      <c r="M34" s="818" t="s">
        <v>18</v>
      </c>
      <c r="N34" s="818" t="s">
        <v>18</v>
      </c>
      <c r="O34" s="811">
        <v>9500</v>
      </c>
      <c r="P34" s="811">
        <v>671</v>
      </c>
      <c r="Q34" s="811">
        <v>6375</v>
      </c>
      <c r="R34" s="818" t="s">
        <v>18</v>
      </c>
      <c r="S34" s="818" t="s">
        <v>18</v>
      </c>
      <c r="T34" s="818" t="s">
        <v>18</v>
      </c>
      <c r="U34" s="818" t="s">
        <v>18</v>
      </c>
      <c r="V34" s="818" t="s">
        <v>18</v>
      </c>
      <c r="W34" s="818" t="s">
        <v>18</v>
      </c>
      <c r="X34" s="811">
        <v>76660</v>
      </c>
      <c r="Y34" s="811">
        <v>44826</v>
      </c>
    </row>
    <row r="35" spans="1:25" hidden="1" x14ac:dyDescent="0.25">
      <c r="A35" s="819" t="s">
        <v>21</v>
      </c>
      <c r="B35" s="849" t="s">
        <v>237</v>
      </c>
      <c r="C35" s="811">
        <v>39700</v>
      </c>
      <c r="D35" s="857">
        <v>179</v>
      </c>
      <c r="E35" s="811">
        <v>7106</v>
      </c>
      <c r="F35" s="811">
        <v>16000</v>
      </c>
      <c r="G35" s="811">
        <v>178</v>
      </c>
      <c r="H35" s="811">
        <v>2848</v>
      </c>
      <c r="I35" s="818" t="s">
        <v>18</v>
      </c>
      <c r="J35" s="818" t="s">
        <v>18</v>
      </c>
      <c r="K35" s="818" t="s">
        <v>18</v>
      </c>
      <c r="L35" s="818" t="s">
        <v>18</v>
      </c>
      <c r="M35" s="818" t="s">
        <v>18</v>
      </c>
      <c r="N35" s="818" t="s">
        <v>18</v>
      </c>
      <c r="O35" s="818" t="s">
        <v>18</v>
      </c>
      <c r="P35" s="818" t="s">
        <v>18</v>
      </c>
      <c r="Q35" s="818" t="s">
        <v>18</v>
      </c>
      <c r="R35" s="818" t="s">
        <v>18</v>
      </c>
      <c r="S35" s="818" t="s">
        <v>18</v>
      </c>
      <c r="T35" s="818" t="s">
        <v>18</v>
      </c>
      <c r="U35" s="818" t="s">
        <v>18</v>
      </c>
      <c r="V35" s="818" t="s">
        <v>18</v>
      </c>
      <c r="W35" s="818" t="s">
        <v>18</v>
      </c>
      <c r="X35" s="811">
        <v>55700</v>
      </c>
      <c r="Y35" s="811">
        <v>9954</v>
      </c>
    </row>
    <row r="36" spans="1:25" hidden="1" x14ac:dyDescent="0.25">
      <c r="A36" s="819" t="s">
        <v>22</v>
      </c>
      <c r="B36" s="849" t="s">
        <v>237</v>
      </c>
      <c r="C36" s="811">
        <v>46720</v>
      </c>
      <c r="D36" s="857">
        <v>258</v>
      </c>
      <c r="E36" s="811">
        <v>12054</v>
      </c>
      <c r="F36" s="818" t="s">
        <v>18</v>
      </c>
      <c r="G36" s="818" t="s">
        <v>18</v>
      </c>
      <c r="H36" s="818" t="s">
        <v>18</v>
      </c>
      <c r="I36" s="811">
        <v>46470</v>
      </c>
      <c r="J36" s="811">
        <v>1208</v>
      </c>
      <c r="K36" s="811">
        <v>56136</v>
      </c>
      <c r="L36" s="818" t="s">
        <v>18</v>
      </c>
      <c r="M36" s="818" t="s">
        <v>18</v>
      </c>
      <c r="N36" s="818" t="s">
        <v>18</v>
      </c>
      <c r="O36" s="818" t="s">
        <v>18</v>
      </c>
      <c r="P36" s="818" t="s">
        <v>18</v>
      </c>
      <c r="Q36" s="818" t="s">
        <v>18</v>
      </c>
      <c r="R36" s="811">
        <v>1200</v>
      </c>
      <c r="S36" s="811">
        <v>3000</v>
      </c>
      <c r="T36" s="811">
        <v>3600</v>
      </c>
      <c r="U36" s="818" t="s">
        <v>18</v>
      </c>
      <c r="V36" s="818" t="s">
        <v>18</v>
      </c>
      <c r="W36" s="818" t="s">
        <v>18</v>
      </c>
      <c r="X36" s="811">
        <v>94390</v>
      </c>
      <c r="Y36" s="811">
        <v>71790</v>
      </c>
    </row>
    <row r="37" spans="1:25" hidden="1" x14ac:dyDescent="0.25">
      <c r="A37" s="819" t="s">
        <v>23</v>
      </c>
      <c r="B37" s="849" t="s">
        <v>237</v>
      </c>
      <c r="C37" s="811">
        <v>145000</v>
      </c>
      <c r="D37" s="857">
        <v>347</v>
      </c>
      <c r="E37" s="811">
        <v>50315</v>
      </c>
      <c r="F37" s="811">
        <v>69000</v>
      </c>
      <c r="G37" s="811">
        <v>450</v>
      </c>
      <c r="H37" s="811">
        <v>31050</v>
      </c>
      <c r="I37" s="811">
        <v>13500</v>
      </c>
      <c r="J37" s="811">
        <v>378</v>
      </c>
      <c r="K37" s="811">
        <v>5103</v>
      </c>
      <c r="L37" s="818" t="s">
        <v>18</v>
      </c>
      <c r="M37" s="818" t="s">
        <v>18</v>
      </c>
      <c r="N37" s="818" t="s">
        <v>18</v>
      </c>
      <c r="O37" s="818" t="s">
        <v>18</v>
      </c>
      <c r="P37" s="818" t="s">
        <v>18</v>
      </c>
      <c r="Q37" s="818" t="s">
        <v>18</v>
      </c>
      <c r="R37" s="818" t="s">
        <v>18</v>
      </c>
      <c r="S37" s="818" t="s">
        <v>18</v>
      </c>
      <c r="T37" s="818" t="s">
        <v>18</v>
      </c>
      <c r="U37" s="818" t="s">
        <v>18</v>
      </c>
      <c r="V37" s="818" t="s">
        <v>18</v>
      </c>
      <c r="W37" s="818" t="s">
        <v>18</v>
      </c>
      <c r="X37" s="811">
        <v>227500</v>
      </c>
      <c r="Y37" s="811">
        <v>864688</v>
      </c>
    </row>
    <row r="38" spans="1:25" hidden="1" x14ac:dyDescent="0.25">
      <c r="A38" s="819" t="s">
        <v>24</v>
      </c>
      <c r="B38" s="849" t="s">
        <v>237</v>
      </c>
      <c r="C38" s="811">
        <v>2900</v>
      </c>
      <c r="D38" s="857">
        <v>536</v>
      </c>
      <c r="E38" s="811">
        <v>1554</v>
      </c>
      <c r="F38" s="811">
        <v>18600</v>
      </c>
      <c r="G38" s="811">
        <v>620</v>
      </c>
      <c r="H38" s="811">
        <v>11532</v>
      </c>
      <c r="I38" s="811">
        <v>4000</v>
      </c>
      <c r="J38" s="811">
        <v>360</v>
      </c>
      <c r="K38" s="811">
        <v>1440</v>
      </c>
      <c r="L38" s="818" t="s">
        <v>18</v>
      </c>
      <c r="M38" s="818" t="s">
        <v>18</v>
      </c>
      <c r="N38" s="818" t="s">
        <v>18</v>
      </c>
      <c r="O38" s="811">
        <v>45000</v>
      </c>
      <c r="P38" s="811">
        <v>1017</v>
      </c>
      <c r="Q38" s="811">
        <v>45765</v>
      </c>
      <c r="R38" s="818" t="s">
        <v>18</v>
      </c>
      <c r="S38" s="818" t="s">
        <v>18</v>
      </c>
      <c r="T38" s="818" t="s">
        <v>18</v>
      </c>
      <c r="U38" s="818" t="s">
        <v>18</v>
      </c>
      <c r="V38" s="818" t="s">
        <v>18</v>
      </c>
      <c r="W38" s="818" t="s">
        <v>18</v>
      </c>
      <c r="X38" s="811">
        <v>70500</v>
      </c>
      <c r="Y38" s="811">
        <v>60291</v>
      </c>
    </row>
    <row r="39" spans="1:25" hidden="1" x14ac:dyDescent="0.25">
      <c r="A39" s="819" t="s">
        <v>26</v>
      </c>
      <c r="B39" s="849" t="s">
        <v>237</v>
      </c>
      <c r="C39" s="811">
        <v>14576</v>
      </c>
      <c r="D39" s="857">
        <v>310</v>
      </c>
      <c r="E39" s="811">
        <v>5809</v>
      </c>
      <c r="F39" s="811">
        <v>107865</v>
      </c>
      <c r="G39" s="811">
        <v>719</v>
      </c>
      <c r="H39" s="811">
        <v>77555</v>
      </c>
      <c r="I39" s="811">
        <v>9492</v>
      </c>
      <c r="J39" s="811">
        <v>765</v>
      </c>
      <c r="K39" s="811">
        <v>7261</v>
      </c>
      <c r="L39" s="811">
        <v>37523</v>
      </c>
      <c r="M39" s="811">
        <v>1375</v>
      </c>
      <c r="N39" s="811">
        <v>51594</v>
      </c>
      <c r="O39" s="811">
        <v>29700</v>
      </c>
      <c r="P39" s="811">
        <v>876</v>
      </c>
      <c r="Q39" s="811"/>
      <c r="R39" s="818" t="s">
        <v>18</v>
      </c>
      <c r="S39" s="818" t="s">
        <v>18</v>
      </c>
      <c r="T39" s="818" t="s">
        <v>18</v>
      </c>
      <c r="U39" s="811">
        <v>2000</v>
      </c>
      <c r="V39" s="811">
        <v>560</v>
      </c>
      <c r="W39" s="811">
        <v>1120</v>
      </c>
      <c r="X39" s="811">
        <v>93690</v>
      </c>
      <c r="Y39" s="811">
        <v>60102</v>
      </c>
    </row>
    <row r="40" spans="1:25" hidden="1" x14ac:dyDescent="0.25">
      <c r="A40" s="819" t="s">
        <v>27</v>
      </c>
      <c r="B40" s="849" t="s">
        <v>237</v>
      </c>
      <c r="C40" s="811">
        <v>32884</v>
      </c>
      <c r="D40" s="857">
        <v>831</v>
      </c>
      <c r="E40" s="811">
        <v>22764</v>
      </c>
      <c r="F40" s="811">
        <v>67532</v>
      </c>
      <c r="G40" s="811">
        <v>516</v>
      </c>
      <c r="H40" s="811">
        <v>34847</v>
      </c>
      <c r="I40" s="811">
        <v>5610</v>
      </c>
      <c r="J40" s="811">
        <v>450</v>
      </c>
      <c r="K40" s="811">
        <v>2525</v>
      </c>
      <c r="L40" s="811">
        <v>28676</v>
      </c>
      <c r="M40" s="811">
        <v>1235</v>
      </c>
      <c r="N40" s="811">
        <v>35415</v>
      </c>
      <c r="O40" s="811">
        <v>8000</v>
      </c>
      <c r="P40" s="811">
        <v>385</v>
      </c>
      <c r="Q40" s="811">
        <v>26017</v>
      </c>
      <c r="R40" s="818" t="s">
        <v>18</v>
      </c>
      <c r="S40" s="818" t="s">
        <v>18</v>
      </c>
      <c r="T40" s="818" t="s">
        <v>18</v>
      </c>
      <c r="U40" s="811"/>
      <c r="V40" s="811"/>
      <c r="W40" s="811"/>
      <c r="X40" s="811">
        <v>121502</v>
      </c>
      <c r="Y40" s="811">
        <v>93684</v>
      </c>
    </row>
    <row r="41" spans="1:25" hidden="1" x14ac:dyDescent="0.25">
      <c r="A41" s="819" t="s">
        <v>50</v>
      </c>
      <c r="B41" s="849" t="s">
        <v>237</v>
      </c>
      <c r="C41" s="811">
        <v>18739</v>
      </c>
      <c r="D41" s="857">
        <v>694</v>
      </c>
      <c r="E41" s="811">
        <v>10116</v>
      </c>
      <c r="F41" s="811">
        <v>54267</v>
      </c>
      <c r="G41" s="811">
        <v>585</v>
      </c>
      <c r="H41" s="811">
        <v>31746</v>
      </c>
      <c r="I41" s="811">
        <v>1275</v>
      </c>
      <c r="J41" s="811">
        <v>420</v>
      </c>
      <c r="K41" s="811">
        <v>536</v>
      </c>
      <c r="L41" s="811">
        <v>17409</v>
      </c>
      <c r="M41" s="811">
        <v>1200</v>
      </c>
      <c r="N41" s="811">
        <v>20891</v>
      </c>
      <c r="O41" s="818" t="s">
        <v>18</v>
      </c>
      <c r="P41" s="818" t="s">
        <v>18</v>
      </c>
      <c r="Q41" s="818" t="s">
        <v>18</v>
      </c>
      <c r="R41" s="818" t="s">
        <v>18</v>
      </c>
      <c r="S41" s="818" t="s">
        <v>18</v>
      </c>
      <c r="T41" s="818" t="s">
        <v>18</v>
      </c>
      <c r="U41" s="811">
        <v>52</v>
      </c>
      <c r="V41" s="811">
        <v>560</v>
      </c>
      <c r="W41" s="811">
        <v>29</v>
      </c>
      <c r="X41" s="811">
        <v>199208</v>
      </c>
      <c r="Y41" s="811">
        <v>172572</v>
      </c>
    </row>
    <row r="42" spans="1:25" hidden="1" x14ac:dyDescent="0.25">
      <c r="A42" s="888" t="s">
        <v>163</v>
      </c>
      <c r="B42" s="849" t="s">
        <v>237</v>
      </c>
      <c r="C42" s="811">
        <v>27393</v>
      </c>
      <c r="D42" s="857">
        <v>407</v>
      </c>
      <c r="E42" s="811">
        <v>18983</v>
      </c>
      <c r="F42" s="811">
        <v>85530</v>
      </c>
      <c r="G42" s="811">
        <v>746</v>
      </c>
      <c r="H42" s="811">
        <v>63805</v>
      </c>
      <c r="I42" s="811">
        <v>5579</v>
      </c>
      <c r="J42" s="811">
        <v>665</v>
      </c>
      <c r="K42" s="811">
        <v>3710</v>
      </c>
      <c r="L42" s="811">
        <v>300</v>
      </c>
      <c r="M42" s="811">
        <v>1125</v>
      </c>
      <c r="N42" s="811">
        <v>3405</v>
      </c>
      <c r="O42" s="818" t="s">
        <v>18</v>
      </c>
      <c r="P42" s="818" t="s">
        <v>18</v>
      </c>
      <c r="Q42" s="818" t="s">
        <v>18</v>
      </c>
      <c r="R42" s="818" t="s">
        <v>18</v>
      </c>
      <c r="S42" s="818" t="s">
        <v>18</v>
      </c>
      <c r="T42" s="818" t="s">
        <v>18</v>
      </c>
      <c r="U42" s="811">
        <v>167</v>
      </c>
      <c r="V42" s="811">
        <v>560</v>
      </c>
      <c r="W42" s="811">
        <v>94</v>
      </c>
      <c r="X42" s="811">
        <v>142702</v>
      </c>
      <c r="Y42" s="811">
        <v>106071</v>
      </c>
    </row>
    <row r="43" spans="1:25" hidden="1" x14ac:dyDescent="0.25">
      <c r="A43" s="864" t="s">
        <v>52</v>
      </c>
      <c r="B43" s="849" t="s">
        <v>237</v>
      </c>
      <c r="C43" s="811">
        <v>46641</v>
      </c>
      <c r="D43" s="857">
        <v>635</v>
      </c>
      <c r="E43" s="811">
        <v>20881</v>
      </c>
      <c r="F43" s="811">
        <v>141785</v>
      </c>
      <c r="G43" s="811">
        <v>560</v>
      </c>
      <c r="H43" s="811">
        <v>79400</v>
      </c>
      <c r="I43" s="811">
        <v>5610</v>
      </c>
      <c r="J43" s="811">
        <v>557</v>
      </c>
      <c r="K43" s="811">
        <v>2010</v>
      </c>
      <c r="L43" s="811">
        <v>204</v>
      </c>
      <c r="M43" s="811">
        <v>1285</v>
      </c>
      <c r="N43" s="811">
        <v>262</v>
      </c>
      <c r="O43" s="811">
        <v>6993</v>
      </c>
      <c r="P43" s="811">
        <v>761</v>
      </c>
      <c r="Q43" s="811">
        <v>5322</v>
      </c>
      <c r="R43" s="818" t="s">
        <v>18</v>
      </c>
      <c r="S43" s="818" t="s">
        <v>18</v>
      </c>
      <c r="T43" s="818" t="s">
        <v>18</v>
      </c>
      <c r="U43" s="818" t="s">
        <v>18</v>
      </c>
      <c r="V43" s="818" t="s">
        <v>18</v>
      </c>
      <c r="W43" s="818" t="s">
        <v>18</v>
      </c>
      <c r="X43" s="811">
        <v>756500</v>
      </c>
      <c r="Y43" s="811">
        <v>96748</v>
      </c>
    </row>
    <row r="44" spans="1:25" hidden="1" x14ac:dyDescent="0.25">
      <c r="A44" s="819" t="s">
        <v>15</v>
      </c>
      <c r="B44" s="849" t="s">
        <v>280</v>
      </c>
      <c r="C44" s="811">
        <v>120000</v>
      </c>
      <c r="D44" s="857">
        <v>300</v>
      </c>
      <c r="E44" s="811">
        <v>36000</v>
      </c>
      <c r="F44" s="811">
        <v>46000</v>
      </c>
      <c r="G44" s="811">
        <v>638</v>
      </c>
      <c r="H44" s="811">
        <v>29348</v>
      </c>
      <c r="I44" s="818" t="s">
        <v>18</v>
      </c>
      <c r="J44" s="818" t="s">
        <v>18</v>
      </c>
      <c r="K44" s="818" t="s">
        <v>18</v>
      </c>
      <c r="L44" s="818" t="s">
        <v>18</v>
      </c>
      <c r="M44" s="818" t="s">
        <v>18</v>
      </c>
      <c r="N44" s="818" t="s">
        <v>18</v>
      </c>
      <c r="O44" s="811">
        <v>30290</v>
      </c>
      <c r="P44" s="811">
        <v>800</v>
      </c>
      <c r="Q44" s="811">
        <v>24232</v>
      </c>
      <c r="R44" s="818" t="s">
        <v>18</v>
      </c>
      <c r="S44" s="818" t="s">
        <v>18</v>
      </c>
      <c r="T44" s="818" t="s">
        <v>18</v>
      </c>
      <c r="U44" s="818" t="s">
        <v>18</v>
      </c>
      <c r="V44" s="818" t="s">
        <v>18</v>
      </c>
      <c r="W44" s="818" t="s">
        <v>18</v>
      </c>
      <c r="X44" s="811">
        <v>134700</v>
      </c>
      <c r="Y44" s="811">
        <v>37917</v>
      </c>
    </row>
    <row r="45" spans="1:25" hidden="1" x14ac:dyDescent="0.25">
      <c r="A45" s="864" t="s">
        <v>16</v>
      </c>
      <c r="B45" s="849" t="s">
        <v>267</v>
      </c>
      <c r="C45" s="818"/>
      <c r="D45" s="857"/>
      <c r="E45" s="818"/>
      <c r="F45" s="818"/>
      <c r="G45" s="818"/>
      <c r="H45" s="818"/>
      <c r="I45" s="818"/>
      <c r="J45" s="818"/>
      <c r="K45" s="818"/>
      <c r="L45" s="818"/>
      <c r="M45" s="818"/>
      <c r="N45" s="818"/>
      <c r="O45" s="818"/>
      <c r="P45" s="818"/>
      <c r="Q45" s="818"/>
      <c r="R45" s="818"/>
      <c r="S45" s="818" t="s">
        <v>18</v>
      </c>
      <c r="T45" s="818" t="s">
        <v>18</v>
      </c>
      <c r="U45" s="818" t="s">
        <v>18</v>
      </c>
      <c r="V45" s="818" t="s">
        <v>18</v>
      </c>
      <c r="W45" s="818" t="s">
        <v>18</v>
      </c>
      <c r="X45" s="818" t="s">
        <v>18</v>
      </c>
      <c r="Y45" s="818" t="s">
        <v>18</v>
      </c>
    </row>
    <row r="46" spans="1:25" hidden="1" x14ac:dyDescent="0.25">
      <c r="A46" s="819" t="s">
        <v>17</v>
      </c>
      <c r="B46" s="849" t="s">
        <v>268</v>
      </c>
      <c r="C46" s="811">
        <v>80300</v>
      </c>
      <c r="D46" s="857">
        <v>350</v>
      </c>
      <c r="E46" s="811">
        <v>28105</v>
      </c>
      <c r="F46" s="811">
        <v>13370</v>
      </c>
      <c r="G46" s="811">
        <v>402</v>
      </c>
      <c r="H46" s="811">
        <v>5375</v>
      </c>
      <c r="I46" s="811"/>
      <c r="J46" s="811"/>
      <c r="K46" s="811"/>
      <c r="L46" s="818" t="s">
        <v>18</v>
      </c>
      <c r="M46" s="818" t="s">
        <v>18</v>
      </c>
      <c r="N46" s="818" t="s">
        <v>18</v>
      </c>
      <c r="O46" s="818" t="s">
        <v>18</v>
      </c>
      <c r="P46" s="818" t="s">
        <v>18</v>
      </c>
      <c r="Q46" s="818" t="s">
        <v>18</v>
      </c>
      <c r="R46" s="818" t="s">
        <v>18</v>
      </c>
      <c r="S46" s="818" t="s">
        <v>18</v>
      </c>
      <c r="T46" s="818" t="s">
        <v>18</v>
      </c>
      <c r="U46" s="818" t="s">
        <v>18</v>
      </c>
      <c r="V46" s="818" t="s">
        <v>18</v>
      </c>
      <c r="W46" s="818" t="s">
        <v>18</v>
      </c>
      <c r="X46" s="811">
        <v>84652</v>
      </c>
      <c r="Y46" s="811">
        <v>22006</v>
      </c>
    </row>
    <row r="47" spans="1:25" hidden="1" x14ac:dyDescent="0.25">
      <c r="A47" s="819" t="s">
        <v>103</v>
      </c>
      <c r="B47" s="849" t="s">
        <v>269</v>
      </c>
      <c r="C47" s="811">
        <v>138313</v>
      </c>
      <c r="D47" s="857">
        <v>465</v>
      </c>
      <c r="E47" s="811">
        <v>64316</v>
      </c>
      <c r="F47" s="811">
        <v>95265</v>
      </c>
      <c r="G47" s="811">
        <v>782</v>
      </c>
      <c r="H47" s="811">
        <v>74497</v>
      </c>
      <c r="I47" s="811">
        <v>30476</v>
      </c>
      <c r="J47" s="811">
        <v>2242</v>
      </c>
      <c r="K47" s="811">
        <v>68327</v>
      </c>
      <c r="L47" s="811">
        <v>508</v>
      </c>
      <c r="M47" s="811">
        <v>4906</v>
      </c>
      <c r="N47" s="811">
        <v>2492</v>
      </c>
      <c r="O47" s="811">
        <v>26642</v>
      </c>
      <c r="P47" s="811">
        <v>900</v>
      </c>
      <c r="Q47" s="811">
        <v>23978</v>
      </c>
      <c r="R47" s="818" t="s">
        <v>18</v>
      </c>
      <c r="S47" s="818" t="s">
        <v>18</v>
      </c>
      <c r="T47" s="818" t="s">
        <v>18</v>
      </c>
      <c r="U47" s="818" t="s">
        <v>18</v>
      </c>
      <c r="V47" s="818" t="s">
        <v>18</v>
      </c>
      <c r="W47" s="818" t="s">
        <v>18</v>
      </c>
      <c r="X47" s="811">
        <v>193355</v>
      </c>
      <c r="Y47" s="811">
        <v>123405</v>
      </c>
    </row>
    <row r="48" spans="1:25" hidden="1" x14ac:dyDescent="0.25">
      <c r="A48" s="819" t="s">
        <v>20</v>
      </c>
      <c r="B48" s="849" t="s">
        <v>270</v>
      </c>
      <c r="C48" s="811">
        <v>32125</v>
      </c>
      <c r="D48" s="857">
        <v>400</v>
      </c>
      <c r="E48" s="811">
        <v>12850</v>
      </c>
      <c r="F48" s="811">
        <v>63800</v>
      </c>
      <c r="G48" s="811">
        <v>680</v>
      </c>
      <c r="H48" s="811">
        <v>43384</v>
      </c>
      <c r="I48" s="811">
        <v>300</v>
      </c>
      <c r="J48" s="811">
        <v>267</v>
      </c>
      <c r="K48" s="811">
        <v>80</v>
      </c>
      <c r="L48" s="811">
        <v>105</v>
      </c>
      <c r="M48" s="811">
        <v>600</v>
      </c>
      <c r="N48" s="811">
        <v>63</v>
      </c>
      <c r="O48" s="811">
        <v>13920</v>
      </c>
      <c r="P48" s="811">
        <v>500</v>
      </c>
      <c r="Q48" s="811">
        <v>6960</v>
      </c>
      <c r="R48" s="818" t="s">
        <v>18</v>
      </c>
      <c r="S48" s="818" t="s">
        <v>18</v>
      </c>
      <c r="T48" s="818" t="s">
        <v>18</v>
      </c>
      <c r="U48" s="818" t="s">
        <v>18</v>
      </c>
      <c r="V48" s="818" t="s">
        <v>18</v>
      </c>
      <c r="W48" s="818" t="s">
        <v>18</v>
      </c>
      <c r="X48" s="811">
        <v>76660</v>
      </c>
      <c r="Y48" s="811">
        <v>44826</v>
      </c>
    </row>
    <row r="49" spans="1:25" hidden="1" x14ac:dyDescent="0.25">
      <c r="A49" s="819" t="s">
        <v>21</v>
      </c>
      <c r="B49" s="849" t="s">
        <v>271</v>
      </c>
      <c r="C49" s="811">
        <v>62000</v>
      </c>
      <c r="D49" s="857">
        <v>200</v>
      </c>
      <c r="E49" s="811">
        <v>12400</v>
      </c>
      <c r="F49" s="818" t="s">
        <v>18</v>
      </c>
      <c r="G49" s="818" t="s">
        <v>18</v>
      </c>
      <c r="H49" s="818" t="s">
        <v>18</v>
      </c>
      <c r="I49" s="818" t="s">
        <v>18</v>
      </c>
      <c r="J49" s="818" t="s">
        <v>18</v>
      </c>
      <c r="K49" s="818" t="s">
        <v>18</v>
      </c>
      <c r="L49" s="818" t="s">
        <v>18</v>
      </c>
      <c r="M49" s="818" t="s">
        <v>18</v>
      </c>
      <c r="N49" s="818" t="s">
        <v>18</v>
      </c>
      <c r="O49" s="818" t="s">
        <v>18</v>
      </c>
      <c r="P49" s="818" t="s">
        <v>18</v>
      </c>
      <c r="Q49" s="818" t="s">
        <v>18</v>
      </c>
      <c r="R49" s="818" t="s">
        <v>18</v>
      </c>
      <c r="S49" s="818" t="s">
        <v>18</v>
      </c>
      <c r="T49" s="818" t="s">
        <v>18</v>
      </c>
      <c r="U49" s="818" t="s">
        <v>18</v>
      </c>
      <c r="V49" s="818" t="s">
        <v>18</v>
      </c>
      <c r="W49" s="818" t="s">
        <v>18</v>
      </c>
      <c r="X49" s="811">
        <v>55700</v>
      </c>
      <c r="Y49" s="811">
        <v>9954</v>
      </c>
    </row>
    <row r="50" spans="1:25" hidden="1" x14ac:dyDescent="0.25">
      <c r="A50" s="819" t="s">
        <v>22</v>
      </c>
      <c r="B50" s="849" t="s">
        <v>272</v>
      </c>
      <c r="C50" s="811">
        <v>54017</v>
      </c>
      <c r="D50" s="857">
        <v>633</v>
      </c>
      <c r="E50" s="811">
        <v>34192</v>
      </c>
      <c r="F50" s="818" t="s">
        <v>18</v>
      </c>
      <c r="G50" s="818" t="s">
        <v>18</v>
      </c>
      <c r="H50" s="818" t="s">
        <v>18</v>
      </c>
      <c r="I50" s="811">
        <v>40626</v>
      </c>
      <c r="J50" s="811">
        <v>1526</v>
      </c>
      <c r="K50" s="811">
        <v>62011</v>
      </c>
      <c r="L50" s="818" t="s">
        <v>18</v>
      </c>
      <c r="M50" s="818" t="s">
        <v>18</v>
      </c>
      <c r="N50" s="818" t="s">
        <v>18</v>
      </c>
      <c r="O50" s="818" t="s">
        <v>18</v>
      </c>
      <c r="P50" s="818" t="s">
        <v>18</v>
      </c>
      <c r="Q50" s="818" t="s">
        <v>18</v>
      </c>
      <c r="R50" s="811">
        <v>2348</v>
      </c>
      <c r="S50" s="811">
        <v>3000</v>
      </c>
      <c r="T50" s="811">
        <v>3600</v>
      </c>
      <c r="U50" s="818" t="s">
        <v>18</v>
      </c>
      <c r="V50" s="818" t="s">
        <v>18</v>
      </c>
      <c r="W50" s="818" t="s">
        <v>18</v>
      </c>
      <c r="X50" s="811">
        <v>94390</v>
      </c>
      <c r="Y50" s="811">
        <v>71790</v>
      </c>
    </row>
    <row r="51" spans="1:25" hidden="1" x14ac:dyDescent="0.25">
      <c r="A51" s="819" t="s">
        <v>23</v>
      </c>
      <c r="B51" s="849" t="s">
        <v>273</v>
      </c>
      <c r="C51" s="811">
        <v>185000</v>
      </c>
      <c r="D51" s="857">
        <v>500</v>
      </c>
      <c r="E51" s="811">
        <v>92500</v>
      </c>
      <c r="F51" s="811">
        <v>96000</v>
      </c>
      <c r="G51" s="811">
        <v>952</v>
      </c>
      <c r="H51" s="811">
        <v>91392</v>
      </c>
      <c r="I51" s="811">
        <v>17210</v>
      </c>
      <c r="J51" s="811">
        <v>884</v>
      </c>
      <c r="K51" s="811">
        <v>15214</v>
      </c>
      <c r="L51" s="818" t="s">
        <v>18</v>
      </c>
      <c r="M51" s="818" t="s">
        <v>18</v>
      </c>
      <c r="N51" s="818" t="s">
        <v>18</v>
      </c>
      <c r="O51" s="811">
        <v>14000</v>
      </c>
      <c r="P51" s="811">
        <v>1178</v>
      </c>
      <c r="Q51" s="811">
        <v>16492</v>
      </c>
      <c r="R51" s="818" t="s">
        <v>18</v>
      </c>
      <c r="S51" s="818" t="s">
        <v>18</v>
      </c>
      <c r="T51" s="818" t="s">
        <v>18</v>
      </c>
      <c r="U51" s="818" t="s">
        <v>18</v>
      </c>
      <c r="V51" s="818" t="s">
        <v>18</v>
      </c>
      <c r="W51" s="818" t="s">
        <v>18</v>
      </c>
      <c r="X51" s="811">
        <v>227500</v>
      </c>
      <c r="Y51" s="811">
        <v>864688</v>
      </c>
    </row>
    <row r="52" spans="1:25" hidden="1" x14ac:dyDescent="0.25">
      <c r="A52" s="819" t="s">
        <v>24</v>
      </c>
      <c r="B52" s="849" t="s">
        <v>274</v>
      </c>
      <c r="C52" s="811">
        <v>2200</v>
      </c>
      <c r="D52" s="857">
        <v>609</v>
      </c>
      <c r="E52" s="811">
        <v>1340</v>
      </c>
      <c r="F52" s="811">
        <v>19000</v>
      </c>
      <c r="G52" s="811">
        <v>895</v>
      </c>
      <c r="H52" s="811">
        <v>17005</v>
      </c>
      <c r="I52" s="811">
        <v>4000</v>
      </c>
      <c r="J52" s="811">
        <v>100</v>
      </c>
      <c r="K52" s="811">
        <v>400</v>
      </c>
      <c r="L52" s="811">
        <v>100</v>
      </c>
      <c r="M52" s="811">
        <v>1000</v>
      </c>
      <c r="N52" s="811">
        <v>100</v>
      </c>
      <c r="O52" s="811">
        <v>72120</v>
      </c>
      <c r="P52" s="811">
        <v>1000</v>
      </c>
      <c r="Q52" s="811">
        <v>72120</v>
      </c>
      <c r="R52" s="818" t="s">
        <v>18</v>
      </c>
      <c r="S52" s="818" t="s">
        <v>18</v>
      </c>
      <c r="T52" s="818" t="s">
        <v>18</v>
      </c>
      <c r="U52" s="818" t="s">
        <v>18</v>
      </c>
      <c r="V52" s="818" t="s">
        <v>18</v>
      </c>
      <c r="W52" s="818" t="s">
        <v>18</v>
      </c>
      <c r="X52" s="811">
        <v>70500</v>
      </c>
      <c r="Y52" s="811">
        <v>60291</v>
      </c>
    </row>
    <row r="53" spans="1:25" hidden="1" x14ac:dyDescent="0.25">
      <c r="A53" s="819" t="s">
        <v>26</v>
      </c>
      <c r="B53" s="849" t="s">
        <v>275</v>
      </c>
      <c r="C53" s="811">
        <v>20400</v>
      </c>
      <c r="D53" s="857">
        <v>500</v>
      </c>
      <c r="E53" s="811">
        <v>10200</v>
      </c>
      <c r="F53" s="811">
        <v>115000</v>
      </c>
      <c r="G53" s="811">
        <v>800</v>
      </c>
      <c r="H53" s="811">
        <v>92000</v>
      </c>
      <c r="I53" s="811">
        <v>13200</v>
      </c>
      <c r="J53" s="811">
        <v>850</v>
      </c>
      <c r="K53" s="811">
        <v>11220</v>
      </c>
      <c r="L53" s="811">
        <v>25300</v>
      </c>
      <c r="M53" s="811">
        <v>1500</v>
      </c>
      <c r="N53" s="811">
        <v>37950</v>
      </c>
      <c r="O53" s="811">
        <v>31469</v>
      </c>
      <c r="P53" s="811">
        <v>900</v>
      </c>
      <c r="Q53" s="811">
        <v>28322</v>
      </c>
      <c r="R53" s="818" t="s">
        <v>18</v>
      </c>
      <c r="S53" s="818" t="s">
        <v>18</v>
      </c>
      <c r="T53" s="818" t="s">
        <v>18</v>
      </c>
      <c r="U53" s="811">
        <v>2000</v>
      </c>
      <c r="V53" s="811">
        <v>560</v>
      </c>
      <c r="W53" s="811">
        <v>1120</v>
      </c>
      <c r="X53" s="811">
        <v>93690</v>
      </c>
      <c r="Y53" s="811">
        <v>60102</v>
      </c>
    </row>
    <row r="54" spans="1:25" hidden="1" x14ac:dyDescent="0.25">
      <c r="A54" s="819" t="s">
        <v>27</v>
      </c>
      <c r="B54" s="849" t="s">
        <v>276</v>
      </c>
      <c r="C54" s="811">
        <v>35500</v>
      </c>
      <c r="D54" s="857">
        <v>520</v>
      </c>
      <c r="E54" s="811">
        <v>18460</v>
      </c>
      <c r="F54" s="811">
        <v>49500</v>
      </c>
      <c r="G54" s="811">
        <v>660</v>
      </c>
      <c r="H54" s="811">
        <v>32670</v>
      </c>
      <c r="I54" s="811">
        <v>5100</v>
      </c>
      <c r="J54" s="811">
        <v>900</v>
      </c>
      <c r="K54" s="811">
        <v>4590</v>
      </c>
      <c r="L54" s="811">
        <v>36000</v>
      </c>
      <c r="M54" s="811">
        <v>1200</v>
      </c>
      <c r="N54" s="811">
        <v>43200</v>
      </c>
      <c r="O54" s="811">
        <v>2918</v>
      </c>
      <c r="P54" s="811">
        <v>800</v>
      </c>
      <c r="Q54" s="811">
        <v>2334</v>
      </c>
      <c r="R54" s="818" t="s">
        <v>18</v>
      </c>
      <c r="S54" s="818" t="s">
        <v>18</v>
      </c>
      <c r="T54" s="818" t="s">
        <v>18</v>
      </c>
      <c r="U54" s="811"/>
      <c r="V54" s="811"/>
      <c r="W54" s="811"/>
      <c r="X54" s="811">
        <v>121502</v>
      </c>
      <c r="Y54" s="811">
        <v>93684</v>
      </c>
    </row>
    <row r="55" spans="1:25" hidden="1" x14ac:dyDescent="0.25">
      <c r="A55" s="819" t="s">
        <v>50</v>
      </c>
      <c r="B55" s="849" t="s">
        <v>277</v>
      </c>
      <c r="C55" s="811">
        <v>24000</v>
      </c>
      <c r="D55" s="857">
        <v>540</v>
      </c>
      <c r="E55" s="811">
        <v>12960</v>
      </c>
      <c r="F55" s="811">
        <v>40300</v>
      </c>
      <c r="G55" s="811">
        <v>580</v>
      </c>
      <c r="H55" s="811">
        <v>23347</v>
      </c>
      <c r="I55" s="811">
        <v>2870</v>
      </c>
      <c r="J55" s="811">
        <v>850</v>
      </c>
      <c r="K55" s="811">
        <v>2440</v>
      </c>
      <c r="L55" s="811">
        <v>11700</v>
      </c>
      <c r="M55" s="811">
        <v>1200</v>
      </c>
      <c r="N55" s="811">
        <v>14040</v>
      </c>
      <c r="O55" s="818" t="s">
        <v>18</v>
      </c>
      <c r="P55" s="818" t="s">
        <v>18</v>
      </c>
      <c r="Q55" s="818" t="s">
        <v>18</v>
      </c>
      <c r="R55" s="818" t="s">
        <v>18</v>
      </c>
      <c r="S55" s="818" t="s">
        <v>18</v>
      </c>
      <c r="T55" s="818" t="s">
        <v>18</v>
      </c>
      <c r="U55" s="811">
        <v>52</v>
      </c>
      <c r="V55" s="811">
        <v>560</v>
      </c>
      <c r="W55" s="811">
        <v>29</v>
      </c>
      <c r="X55" s="811">
        <v>199208</v>
      </c>
      <c r="Y55" s="811">
        <v>172572</v>
      </c>
    </row>
    <row r="56" spans="1:25" hidden="1" x14ac:dyDescent="0.25">
      <c r="A56" s="888" t="s">
        <v>163</v>
      </c>
      <c r="B56" s="849" t="s">
        <v>278</v>
      </c>
      <c r="C56" s="811">
        <v>27600</v>
      </c>
      <c r="D56" s="857">
        <v>600</v>
      </c>
      <c r="E56" s="811">
        <v>16560</v>
      </c>
      <c r="F56" s="811">
        <v>78500</v>
      </c>
      <c r="G56" s="811">
        <v>610</v>
      </c>
      <c r="H56" s="811">
        <v>47885</v>
      </c>
      <c r="I56" s="811">
        <v>10300</v>
      </c>
      <c r="J56" s="811">
        <v>800</v>
      </c>
      <c r="K56" s="811">
        <v>8240</v>
      </c>
      <c r="L56" s="811">
        <v>1500</v>
      </c>
      <c r="M56" s="811">
        <v>900</v>
      </c>
      <c r="N56" s="811">
        <v>1350</v>
      </c>
      <c r="O56" s="818" t="s">
        <v>18</v>
      </c>
      <c r="P56" s="818" t="s">
        <v>18</v>
      </c>
      <c r="Q56" s="818" t="s">
        <v>18</v>
      </c>
      <c r="R56" s="818" t="s">
        <v>18</v>
      </c>
      <c r="S56" s="818" t="s">
        <v>18</v>
      </c>
      <c r="T56" s="818" t="s">
        <v>18</v>
      </c>
      <c r="U56" s="811">
        <v>167</v>
      </c>
      <c r="V56" s="811">
        <v>560</v>
      </c>
      <c r="W56" s="811">
        <v>94</v>
      </c>
      <c r="X56" s="811">
        <v>142702</v>
      </c>
      <c r="Y56" s="811">
        <v>106071</v>
      </c>
    </row>
    <row r="57" spans="1:25" hidden="1" x14ac:dyDescent="0.25">
      <c r="A57" s="864" t="s">
        <v>52</v>
      </c>
      <c r="B57" s="849" t="s">
        <v>279</v>
      </c>
      <c r="C57" s="811">
        <v>47200</v>
      </c>
      <c r="D57" s="857">
        <v>580</v>
      </c>
      <c r="E57" s="811">
        <v>27376</v>
      </c>
      <c r="F57" s="811">
        <v>95000</v>
      </c>
      <c r="G57" s="811">
        <v>600</v>
      </c>
      <c r="H57" s="811">
        <v>57000</v>
      </c>
      <c r="I57" s="811">
        <v>6500</v>
      </c>
      <c r="J57" s="811">
        <v>850</v>
      </c>
      <c r="K57" s="811">
        <v>5525</v>
      </c>
      <c r="L57" s="811">
        <v>1150</v>
      </c>
      <c r="M57" s="811">
        <v>900</v>
      </c>
      <c r="N57" s="811">
        <v>1035</v>
      </c>
      <c r="O57" s="811">
        <v>844</v>
      </c>
      <c r="P57" s="811">
        <v>701</v>
      </c>
      <c r="Q57" s="811">
        <v>620</v>
      </c>
      <c r="R57" s="818" t="s">
        <v>18</v>
      </c>
      <c r="S57" s="818" t="s">
        <v>18</v>
      </c>
      <c r="T57" s="818" t="s">
        <v>18</v>
      </c>
      <c r="U57" s="818" t="s">
        <v>18</v>
      </c>
      <c r="V57" s="818" t="s">
        <v>18</v>
      </c>
      <c r="W57" s="818" t="s">
        <v>18</v>
      </c>
      <c r="X57" s="811">
        <v>756500</v>
      </c>
      <c r="Y57" s="811">
        <v>96748</v>
      </c>
    </row>
    <row r="58" spans="1:25" hidden="1" x14ac:dyDescent="0.25">
      <c r="A58" s="819" t="s">
        <v>15</v>
      </c>
      <c r="B58" s="849" t="s">
        <v>238</v>
      </c>
      <c r="C58" s="811">
        <v>128840</v>
      </c>
      <c r="D58" s="857">
        <v>346</v>
      </c>
      <c r="E58" s="811">
        <v>44578</v>
      </c>
      <c r="F58" s="811">
        <v>45722</v>
      </c>
      <c r="G58" s="811">
        <v>370</v>
      </c>
      <c r="H58" s="811">
        <v>16917</v>
      </c>
      <c r="I58" s="818" t="s">
        <v>18</v>
      </c>
      <c r="J58" s="818" t="s">
        <v>18</v>
      </c>
      <c r="K58" s="818" t="s">
        <v>18</v>
      </c>
      <c r="L58" s="818" t="s">
        <v>18</v>
      </c>
      <c r="M58" s="818" t="s">
        <v>18</v>
      </c>
      <c r="N58" s="818" t="s">
        <v>18</v>
      </c>
      <c r="O58" s="811">
        <v>20000</v>
      </c>
      <c r="P58" s="811">
        <v>572</v>
      </c>
      <c r="Q58" s="811">
        <v>11440</v>
      </c>
      <c r="R58" s="818" t="s">
        <v>18</v>
      </c>
      <c r="S58" s="818" t="s">
        <v>18</v>
      </c>
      <c r="T58" s="818" t="s">
        <v>18</v>
      </c>
      <c r="U58" s="818" t="s">
        <v>18</v>
      </c>
      <c r="V58" s="818" t="s">
        <v>18</v>
      </c>
      <c r="W58" s="818" t="s">
        <v>18</v>
      </c>
      <c r="X58" s="811">
        <v>194562</v>
      </c>
      <c r="Y58" s="811">
        <v>72935</v>
      </c>
    </row>
    <row r="59" spans="1:25" hidden="1" x14ac:dyDescent="0.25">
      <c r="A59" s="864" t="s">
        <v>16</v>
      </c>
      <c r="B59" s="849" t="s">
        <v>238</v>
      </c>
      <c r="C59" s="818"/>
      <c r="D59" s="857"/>
      <c r="E59" s="818"/>
      <c r="F59" s="818"/>
      <c r="G59" s="818"/>
      <c r="H59" s="818"/>
      <c r="I59" s="818"/>
      <c r="J59" s="818"/>
      <c r="K59" s="818"/>
      <c r="L59" s="818"/>
      <c r="M59" s="818"/>
      <c r="N59" s="818"/>
      <c r="O59" s="818"/>
      <c r="P59" s="818"/>
      <c r="Q59" s="818"/>
      <c r="R59" s="818"/>
      <c r="S59" s="818"/>
      <c r="T59" s="818"/>
      <c r="U59" s="818"/>
      <c r="V59" s="818"/>
      <c r="W59" s="818"/>
      <c r="X59" s="818"/>
      <c r="Y59" s="818"/>
    </row>
    <row r="60" spans="1:25" hidden="1" x14ac:dyDescent="0.25">
      <c r="A60" s="819" t="s">
        <v>17</v>
      </c>
      <c r="B60" s="849" t="s">
        <v>238</v>
      </c>
      <c r="C60" s="811">
        <v>82000</v>
      </c>
      <c r="D60" s="857">
        <v>257</v>
      </c>
      <c r="E60" s="811">
        <v>21040</v>
      </c>
      <c r="F60" s="811">
        <v>20900</v>
      </c>
      <c r="G60" s="811">
        <v>318</v>
      </c>
      <c r="H60" s="811">
        <v>6646</v>
      </c>
      <c r="I60" s="818" t="s">
        <v>18</v>
      </c>
      <c r="J60" s="818" t="s">
        <v>18</v>
      </c>
      <c r="K60" s="818" t="s">
        <v>18</v>
      </c>
      <c r="L60" s="818" t="s">
        <v>18</v>
      </c>
      <c r="M60" s="818" t="s">
        <v>18</v>
      </c>
      <c r="N60" s="818" t="s">
        <v>18</v>
      </c>
      <c r="O60" s="818" t="s">
        <v>18</v>
      </c>
      <c r="P60" s="818" t="s">
        <v>18</v>
      </c>
      <c r="Q60" s="818" t="s">
        <v>18</v>
      </c>
      <c r="R60" s="818" t="s">
        <v>18</v>
      </c>
      <c r="S60" s="818" t="s">
        <v>18</v>
      </c>
      <c r="T60" s="818" t="s">
        <v>18</v>
      </c>
      <c r="U60" s="818" t="s">
        <v>18</v>
      </c>
      <c r="V60" s="818" t="s">
        <v>18</v>
      </c>
      <c r="W60" s="818" t="s">
        <v>18</v>
      </c>
      <c r="X60" s="818" t="s">
        <v>18</v>
      </c>
      <c r="Y60" s="818" t="s">
        <v>18</v>
      </c>
    </row>
    <row r="61" spans="1:25" hidden="1" x14ac:dyDescent="0.25">
      <c r="A61" s="819" t="s">
        <v>103</v>
      </c>
      <c r="B61" s="849" t="s">
        <v>238</v>
      </c>
      <c r="C61" s="811">
        <v>138659</v>
      </c>
      <c r="D61" s="857">
        <v>679</v>
      </c>
      <c r="E61" s="811">
        <v>94149</v>
      </c>
      <c r="F61" s="811">
        <v>95255</v>
      </c>
      <c r="G61" s="811">
        <v>775</v>
      </c>
      <c r="H61" s="811">
        <v>73822</v>
      </c>
      <c r="I61" s="811">
        <v>18000</v>
      </c>
      <c r="J61" s="811">
        <v>524</v>
      </c>
      <c r="K61" s="811">
        <v>9432</v>
      </c>
      <c r="L61" s="811">
        <v>1018</v>
      </c>
      <c r="M61" s="811">
        <v>3450</v>
      </c>
      <c r="N61" s="811">
        <v>3512</v>
      </c>
      <c r="O61" s="811">
        <v>30000</v>
      </c>
      <c r="P61" s="811">
        <v>799</v>
      </c>
      <c r="Q61" s="811">
        <v>23970</v>
      </c>
      <c r="R61" s="818" t="s">
        <v>18</v>
      </c>
      <c r="S61" s="818" t="s">
        <v>18</v>
      </c>
      <c r="T61" s="818" t="s">
        <v>18</v>
      </c>
      <c r="U61" s="818" t="s">
        <v>18</v>
      </c>
      <c r="V61" s="818" t="s">
        <v>18</v>
      </c>
      <c r="W61" s="818" t="s">
        <v>18</v>
      </c>
      <c r="X61" s="811">
        <v>282932</v>
      </c>
      <c r="Y61" s="811">
        <v>204885</v>
      </c>
    </row>
    <row r="62" spans="1:25" hidden="1" x14ac:dyDescent="0.25">
      <c r="A62" s="819" t="s">
        <v>20</v>
      </c>
      <c r="B62" s="849" t="s">
        <v>238</v>
      </c>
      <c r="C62" s="811">
        <v>32856</v>
      </c>
      <c r="D62" s="857">
        <v>784</v>
      </c>
      <c r="E62" s="811">
        <v>25759</v>
      </c>
      <c r="F62" s="811">
        <v>41578</v>
      </c>
      <c r="G62" s="811">
        <v>1000</v>
      </c>
      <c r="H62" s="811">
        <v>41578</v>
      </c>
      <c r="I62" s="811">
        <v>1239</v>
      </c>
      <c r="J62" s="811">
        <v>1258</v>
      </c>
      <c r="K62" s="811">
        <v>1558</v>
      </c>
      <c r="L62" s="811">
        <v>25</v>
      </c>
      <c r="M62" s="811">
        <v>1500</v>
      </c>
      <c r="N62" s="811">
        <v>27</v>
      </c>
      <c r="O62" s="811">
        <v>20389</v>
      </c>
      <c r="P62" s="811">
        <v>1188</v>
      </c>
      <c r="Q62" s="811">
        <v>24222</v>
      </c>
      <c r="R62" s="818" t="s">
        <v>18</v>
      </c>
      <c r="S62" s="818" t="s">
        <v>18</v>
      </c>
      <c r="T62" s="818" t="s">
        <v>18</v>
      </c>
      <c r="U62" s="818" t="s">
        <v>18</v>
      </c>
      <c r="V62" s="818" t="s">
        <v>18</v>
      </c>
      <c r="W62" s="818" t="s">
        <v>18</v>
      </c>
      <c r="X62" s="811">
        <v>96087</v>
      </c>
      <c r="Y62" s="811">
        <v>93144</v>
      </c>
    </row>
    <row r="63" spans="1:25" hidden="1" x14ac:dyDescent="0.25">
      <c r="A63" s="819" t="s">
        <v>21</v>
      </c>
      <c r="B63" s="849" t="s">
        <v>238</v>
      </c>
      <c r="C63" s="811">
        <v>50500</v>
      </c>
      <c r="D63" s="857">
        <v>180</v>
      </c>
      <c r="E63" s="811">
        <v>9090</v>
      </c>
      <c r="F63" s="818" t="s">
        <v>18</v>
      </c>
      <c r="G63" s="818" t="s">
        <v>18</v>
      </c>
      <c r="H63" s="818" t="s">
        <v>18</v>
      </c>
      <c r="I63" s="811">
        <v>506</v>
      </c>
      <c r="J63" s="811">
        <v>2000</v>
      </c>
      <c r="K63" s="811">
        <v>1012</v>
      </c>
      <c r="L63" s="818" t="s">
        <v>18</v>
      </c>
      <c r="M63" s="818" t="s">
        <v>18</v>
      </c>
      <c r="N63" s="818" t="s">
        <v>18</v>
      </c>
      <c r="O63" s="818" t="s">
        <v>18</v>
      </c>
      <c r="P63" s="818" t="s">
        <v>18</v>
      </c>
      <c r="Q63" s="818" t="s">
        <v>18</v>
      </c>
      <c r="R63" s="818" t="s">
        <v>18</v>
      </c>
      <c r="S63" s="818" t="s">
        <v>18</v>
      </c>
      <c r="T63" s="818" t="s">
        <v>18</v>
      </c>
      <c r="U63" s="818" t="s">
        <v>18</v>
      </c>
      <c r="V63" s="818" t="s">
        <v>18</v>
      </c>
      <c r="W63" s="818" t="s">
        <v>18</v>
      </c>
      <c r="X63" s="811">
        <v>51006</v>
      </c>
      <c r="Y63" s="811">
        <v>10102</v>
      </c>
    </row>
    <row r="64" spans="1:25" hidden="1" x14ac:dyDescent="0.25">
      <c r="A64" s="819" t="s">
        <v>22</v>
      </c>
      <c r="B64" s="849" t="s">
        <v>238</v>
      </c>
      <c r="C64" s="811">
        <v>52560</v>
      </c>
      <c r="D64" s="857">
        <v>358</v>
      </c>
      <c r="E64" s="811">
        <v>18816</v>
      </c>
      <c r="F64" s="811">
        <v>25</v>
      </c>
      <c r="G64" s="811">
        <v>714</v>
      </c>
      <c r="H64" s="811">
        <v>18</v>
      </c>
      <c r="I64" s="811">
        <v>40210</v>
      </c>
      <c r="J64" s="811">
        <v>752</v>
      </c>
      <c r="K64" s="811">
        <v>30237</v>
      </c>
      <c r="L64" s="818" t="s">
        <v>18</v>
      </c>
      <c r="M64" s="818" t="s">
        <v>18</v>
      </c>
      <c r="N64" s="818" t="s">
        <v>18</v>
      </c>
      <c r="O64" s="818" t="s">
        <v>18</v>
      </c>
      <c r="P64" s="818" t="s">
        <v>18</v>
      </c>
      <c r="Q64" s="818" t="s">
        <v>18</v>
      </c>
      <c r="R64" s="811">
        <v>2500</v>
      </c>
      <c r="S64" s="811">
        <v>1434</v>
      </c>
      <c r="T64" s="811">
        <v>3585</v>
      </c>
      <c r="U64" s="818" t="s">
        <v>18</v>
      </c>
      <c r="V64" s="818" t="s">
        <v>18</v>
      </c>
      <c r="W64" s="818" t="s">
        <v>18</v>
      </c>
      <c r="X64" s="811">
        <v>95295</v>
      </c>
      <c r="Y64" s="811">
        <v>52656</v>
      </c>
    </row>
    <row r="65" spans="1:25" hidden="1" x14ac:dyDescent="0.25">
      <c r="A65" s="819" t="s">
        <v>23</v>
      </c>
      <c r="B65" s="849" t="s">
        <v>238</v>
      </c>
      <c r="C65" s="811">
        <v>145000</v>
      </c>
      <c r="D65" s="857">
        <v>355</v>
      </c>
      <c r="E65" s="811">
        <v>51475</v>
      </c>
      <c r="F65" s="811">
        <v>62600</v>
      </c>
      <c r="G65" s="811">
        <v>625</v>
      </c>
      <c r="H65" s="811">
        <v>39125</v>
      </c>
      <c r="I65" s="811">
        <v>13500</v>
      </c>
      <c r="J65" s="811">
        <v>320</v>
      </c>
      <c r="K65" s="811">
        <v>4320</v>
      </c>
      <c r="L65" s="818" t="s">
        <v>18</v>
      </c>
      <c r="M65" s="818" t="s">
        <v>18</v>
      </c>
      <c r="N65" s="818" t="s">
        <v>18</v>
      </c>
      <c r="O65" s="818" t="s">
        <v>18</v>
      </c>
      <c r="P65" s="818" t="s">
        <v>18</v>
      </c>
      <c r="Q65" s="818" t="s">
        <v>18</v>
      </c>
      <c r="R65" s="818" t="s">
        <v>18</v>
      </c>
      <c r="S65" s="818" t="s">
        <v>18</v>
      </c>
      <c r="T65" s="818" t="s">
        <v>18</v>
      </c>
      <c r="U65" s="818" t="s">
        <v>18</v>
      </c>
      <c r="V65" s="818" t="s">
        <v>18</v>
      </c>
      <c r="W65" s="818" t="s">
        <v>18</v>
      </c>
      <c r="X65" s="811">
        <v>221100</v>
      </c>
      <c r="Y65" s="811">
        <v>94920</v>
      </c>
    </row>
    <row r="66" spans="1:25" hidden="1" x14ac:dyDescent="0.25">
      <c r="A66" s="819" t="s">
        <v>24</v>
      </c>
      <c r="B66" s="849" t="s">
        <v>238</v>
      </c>
      <c r="C66" s="811">
        <v>4073</v>
      </c>
      <c r="D66" s="857">
        <v>700</v>
      </c>
      <c r="E66" s="811">
        <v>2851</v>
      </c>
      <c r="F66" s="811">
        <v>10264</v>
      </c>
      <c r="G66" s="811">
        <v>1400</v>
      </c>
      <c r="H66" s="811">
        <v>14369</v>
      </c>
      <c r="I66" s="811">
        <v>2220</v>
      </c>
      <c r="J66" s="811">
        <v>2000</v>
      </c>
      <c r="K66" s="811">
        <v>4440</v>
      </c>
      <c r="L66" s="811">
        <v>938</v>
      </c>
      <c r="M66" s="811">
        <v>4500</v>
      </c>
      <c r="N66" s="811">
        <v>4221</v>
      </c>
      <c r="O66" s="811">
        <v>89287</v>
      </c>
      <c r="P66" s="811">
        <v>1000</v>
      </c>
      <c r="Q66" s="811">
        <v>89287</v>
      </c>
      <c r="R66" s="818" t="s">
        <v>18</v>
      </c>
      <c r="S66" s="818" t="s">
        <v>18</v>
      </c>
      <c r="T66" s="818" t="s">
        <v>18</v>
      </c>
      <c r="U66" s="818" t="s">
        <v>18</v>
      </c>
      <c r="V66" s="818" t="s">
        <v>18</v>
      </c>
      <c r="W66" s="818" t="s">
        <v>18</v>
      </c>
      <c r="X66" s="811">
        <v>106782</v>
      </c>
      <c r="Y66" s="811">
        <v>115168</v>
      </c>
    </row>
    <row r="67" spans="1:25" hidden="1" x14ac:dyDescent="0.25">
      <c r="A67" s="819" t="s">
        <v>26</v>
      </c>
      <c r="B67" s="849" t="s">
        <v>238</v>
      </c>
      <c r="C67" s="811">
        <v>21522</v>
      </c>
      <c r="D67" s="857">
        <v>766</v>
      </c>
      <c r="E67" s="811">
        <v>16485</v>
      </c>
      <c r="F67" s="811">
        <v>135590</v>
      </c>
      <c r="G67" s="811">
        <v>848</v>
      </c>
      <c r="H67" s="811">
        <v>114980</v>
      </c>
      <c r="I67" s="811">
        <v>25150</v>
      </c>
      <c r="J67" s="811">
        <v>840</v>
      </c>
      <c r="K67" s="811">
        <v>21126</v>
      </c>
      <c r="L67" s="811">
        <v>31588</v>
      </c>
      <c r="M67" s="811">
        <v>1608</v>
      </c>
      <c r="N67" s="811">
        <v>50794</v>
      </c>
      <c r="O67" s="811">
        <v>15000</v>
      </c>
      <c r="P67" s="811">
        <v>1061</v>
      </c>
      <c r="Q67" s="811">
        <v>15915</v>
      </c>
      <c r="R67" s="818" t="s">
        <v>18</v>
      </c>
      <c r="S67" s="818" t="s">
        <v>18</v>
      </c>
      <c r="T67" s="818" t="s">
        <v>18</v>
      </c>
      <c r="U67" s="811">
        <v>415</v>
      </c>
      <c r="V67" s="811">
        <v>415</v>
      </c>
      <c r="W67" s="811">
        <v>385</v>
      </c>
      <c r="X67" s="811">
        <v>229779</v>
      </c>
      <c r="Y67" s="811">
        <v>219685</v>
      </c>
    </row>
    <row r="68" spans="1:25" hidden="1" x14ac:dyDescent="0.25">
      <c r="A68" s="819" t="s">
        <v>27</v>
      </c>
      <c r="B68" s="849" t="s">
        <v>238</v>
      </c>
      <c r="C68" s="811">
        <v>28208</v>
      </c>
      <c r="D68" s="857">
        <v>528</v>
      </c>
      <c r="E68" s="811">
        <v>14894</v>
      </c>
      <c r="F68" s="811">
        <v>56250</v>
      </c>
      <c r="G68" s="811">
        <v>593</v>
      </c>
      <c r="H68" s="811">
        <v>33356</v>
      </c>
      <c r="I68" s="811">
        <v>7356</v>
      </c>
      <c r="J68" s="811">
        <v>684</v>
      </c>
      <c r="K68" s="811">
        <v>5032</v>
      </c>
      <c r="L68" s="811">
        <v>41465</v>
      </c>
      <c r="M68" s="811">
        <v>1457</v>
      </c>
      <c r="N68" s="811">
        <v>80415</v>
      </c>
      <c r="O68" s="811">
        <v>16000</v>
      </c>
      <c r="P68" s="811">
        <v>562</v>
      </c>
      <c r="Q68" s="811">
        <v>8992</v>
      </c>
      <c r="R68" s="818" t="s">
        <v>18</v>
      </c>
      <c r="S68" s="818" t="s">
        <v>18</v>
      </c>
      <c r="T68" s="818" t="s">
        <v>18</v>
      </c>
      <c r="U68" s="811">
        <v>430</v>
      </c>
      <c r="V68" s="811">
        <v>430</v>
      </c>
      <c r="W68" s="811">
        <v>1088</v>
      </c>
      <c r="X68" s="811">
        <v>151810</v>
      </c>
      <c r="Y68" s="811">
        <v>123776</v>
      </c>
    </row>
    <row r="69" spans="1:25" hidden="1" x14ac:dyDescent="0.25">
      <c r="A69" s="819" t="s">
        <v>50</v>
      </c>
      <c r="B69" s="849" t="s">
        <v>238</v>
      </c>
      <c r="C69" s="811">
        <v>26820</v>
      </c>
      <c r="D69" s="857">
        <v>613</v>
      </c>
      <c r="E69" s="811">
        <v>16440</v>
      </c>
      <c r="F69" s="811">
        <v>46965</v>
      </c>
      <c r="G69" s="811">
        <v>516</v>
      </c>
      <c r="H69" s="811">
        <v>24234</v>
      </c>
      <c r="I69" s="811">
        <v>9057</v>
      </c>
      <c r="J69" s="811">
        <v>800</v>
      </c>
      <c r="K69" s="811">
        <v>7253</v>
      </c>
      <c r="L69" s="811">
        <v>8408</v>
      </c>
      <c r="M69" s="811">
        <v>1237</v>
      </c>
      <c r="N69" s="811">
        <v>10401</v>
      </c>
      <c r="O69" s="818" t="s">
        <v>18</v>
      </c>
      <c r="P69" s="818" t="s">
        <v>18</v>
      </c>
      <c r="Q69" s="818" t="s">
        <v>18</v>
      </c>
      <c r="R69" s="818" t="s">
        <v>18</v>
      </c>
      <c r="S69" s="818" t="s">
        <v>18</v>
      </c>
      <c r="T69" s="818" t="s">
        <v>18</v>
      </c>
      <c r="U69" s="811">
        <v>307</v>
      </c>
      <c r="V69" s="811">
        <v>307</v>
      </c>
      <c r="W69" s="811">
        <v>431</v>
      </c>
      <c r="X69" s="811">
        <v>92665</v>
      </c>
      <c r="Y69" s="811">
        <v>58759</v>
      </c>
    </row>
    <row r="70" spans="1:25" hidden="1" x14ac:dyDescent="0.25">
      <c r="A70" s="888" t="s">
        <v>163</v>
      </c>
      <c r="B70" s="849" t="s">
        <v>238</v>
      </c>
      <c r="C70" s="811">
        <v>19320</v>
      </c>
      <c r="D70" s="857">
        <v>637</v>
      </c>
      <c r="E70" s="811">
        <v>12307</v>
      </c>
      <c r="F70" s="811">
        <v>27805</v>
      </c>
      <c r="G70" s="811">
        <v>652</v>
      </c>
      <c r="H70" s="811">
        <v>18129</v>
      </c>
      <c r="I70" s="811">
        <v>3088</v>
      </c>
      <c r="J70" s="811">
        <v>766</v>
      </c>
      <c r="K70" s="811">
        <v>2365</v>
      </c>
      <c r="L70" s="811">
        <v>4027</v>
      </c>
      <c r="M70" s="811">
        <v>1153</v>
      </c>
      <c r="N70" s="811">
        <v>4804</v>
      </c>
      <c r="O70" s="811">
        <v>150</v>
      </c>
      <c r="P70" s="811">
        <v>800</v>
      </c>
      <c r="Q70" s="811">
        <v>120</v>
      </c>
      <c r="R70" s="818" t="s">
        <v>18</v>
      </c>
      <c r="S70" s="818" t="s">
        <v>18</v>
      </c>
      <c r="T70" s="818" t="s">
        <v>18</v>
      </c>
      <c r="U70" s="811">
        <v>350</v>
      </c>
      <c r="V70" s="811">
        <v>350</v>
      </c>
      <c r="W70" s="811">
        <v>301</v>
      </c>
      <c r="X70" s="811">
        <v>55250</v>
      </c>
      <c r="Y70" s="811">
        <v>38026</v>
      </c>
    </row>
    <row r="71" spans="1:25" hidden="1" x14ac:dyDescent="0.25">
      <c r="A71" s="864" t="s">
        <v>52</v>
      </c>
      <c r="B71" s="849" t="s">
        <v>238</v>
      </c>
      <c r="C71" s="811">
        <v>55351</v>
      </c>
      <c r="D71" s="857">
        <v>600</v>
      </c>
      <c r="E71" s="811">
        <v>33211</v>
      </c>
      <c r="F71" s="811">
        <v>101769</v>
      </c>
      <c r="G71" s="811">
        <v>712</v>
      </c>
      <c r="H71" s="811">
        <v>72460</v>
      </c>
      <c r="I71" s="811">
        <v>14342</v>
      </c>
      <c r="J71" s="811">
        <v>514</v>
      </c>
      <c r="K71" s="811">
        <v>7376</v>
      </c>
      <c r="L71" s="811">
        <v>3387</v>
      </c>
      <c r="M71" s="811">
        <v>1213</v>
      </c>
      <c r="N71" s="811">
        <v>4108</v>
      </c>
      <c r="O71" s="811">
        <v>1000</v>
      </c>
      <c r="P71" s="811">
        <v>835</v>
      </c>
      <c r="Q71" s="811">
        <v>835</v>
      </c>
      <c r="R71" s="818" t="s">
        <v>18</v>
      </c>
      <c r="S71" s="818" t="s">
        <v>18</v>
      </c>
      <c r="T71" s="818" t="s">
        <v>18</v>
      </c>
      <c r="U71" s="811">
        <v>380</v>
      </c>
      <c r="V71" s="811">
        <v>380</v>
      </c>
      <c r="W71" s="811">
        <v>65</v>
      </c>
      <c r="X71" s="811">
        <v>177549</v>
      </c>
      <c r="Y71" s="811">
        <v>118055</v>
      </c>
    </row>
    <row r="72" spans="1:25" hidden="1" x14ac:dyDescent="0.25">
      <c r="A72" s="819" t="s">
        <v>15</v>
      </c>
      <c r="B72" s="849" t="s">
        <v>239</v>
      </c>
      <c r="C72" s="811">
        <v>103337</v>
      </c>
      <c r="D72" s="857">
        <v>300</v>
      </c>
      <c r="E72" s="811">
        <v>31000</v>
      </c>
      <c r="F72" s="811">
        <v>61382</v>
      </c>
      <c r="G72" s="811">
        <v>288</v>
      </c>
      <c r="H72" s="811">
        <v>17678</v>
      </c>
      <c r="I72" s="818" t="s">
        <v>18</v>
      </c>
      <c r="J72" s="818" t="s">
        <v>18</v>
      </c>
      <c r="K72" s="818" t="s">
        <v>18</v>
      </c>
      <c r="L72" s="818" t="s">
        <v>18</v>
      </c>
      <c r="M72" s="818" t="s">
        <v>18</v>
      </c>
      <c r="N72" s="818" t="s">
        <v>18</v>
      </c>
      <c r="O72" s="818" t="s">
        <v>18</v>
      </c>
      <c r="P72" s="818" t="s">
        <v>18</v>
      </c>
      <c r="Q72" s="818" t="s">
        <v>18</v>
      </c>
      <c r="R72" s="818" t="s">
        <v>18</v>
      </c>
      <c r="S72" s="818" t="s">
        <v>18</v>
      </c>
      <c r="T72" s="818" t="s">
        <v>18</v>
      </c>
      <c r="U72" s="818" t="s">
        <v>18</v>
      </c>
      <c r="V72" s="818" t="s">
        <v>18</v>
      </c>
      <c r="W72" s="818" t="s">
        <v>18</v>
      </c>
      <c r="X72" s="811">
        <v>164719</v>
      </c>
      <c r="Y72" s="811">
        <v>48678</v>
      </c>
    </row>
    <row r="73" spans="1:25" hidden="1" x14ac:dyDescent="0.25">
      <c r="A73" s="864" t="s">
        <v>16</v>
      </c>
      <c r="B73" s="849" t="s">
        <v>239</v>
      </c>
      <c r="C73" s="818"/>
      <c r="D73" s="857"/>
      <c r="E73" s="818"/>
      <c r="F73" s="818"/>
      <c r="G73" s="818"/>
      <c r="H73" s="818"/>
      <c r="I73" s="818"/>
      <c r="J73" s="818"/>
      <c r="K73" s="818"/>
      <c r="L73" s="818"/>
      <c r="M73" s="818"/>
      <c r="N73" s="818"/>
      <c r="O73" s="818"/>
      <c r="P73" s="818"/>
      <c r="Q73" s="818"/>
      <c r="R73" s="818"/>
      <c r="S73" s="818"/>
      <c r="T73" s="818"/>
      <c r="U73" s="818"/>
      <c r="V73" s="818"/>
      <c r="W73" s="818"/>
      <c r="X73" s="818"/>
      <c r="Y73" s="818"/>
    </row>
    <row r="74" spans="1:25" hidden="1" x14ac:dyDescent="0.25">
      <c r="A74" s="819" t="s">
        <v>17</v>
      </c>
      <c r="B74" s="849" t="s">
        <v>239</v>
      </c>
      <c r="C74" s="811">
        <v>196213</v>
      </c>
      <c r="D74" s="857">
        <v>94</v>
      </c>
      <c r="E74" s="811">
        <v>18444</v>
      </c>
      <c r="F74" s="811">
        <v>14998</v>
      </c>
      <c r="G74" s="811">
        <v>200</v>
      </c>
      <c r="H74" s="811">
        <v>3000</v>
      </c>
      <c r="I74" s="818" t="s">
        <v>18</v>
      </c>
      <c r="J74" s="818" t="s">
        <v>18</v>
      </c>
      <c r="K74" s="818" t="s">
        <v>18</v>
      </c>
      <c r="L74" s="818" t="s">
        <v>18</v>
      </c>
      <c r="M74" s="818" t="s">
        <v>18</v>
      </c>
      <c r="N74" s="818" t="s">
        <v>18</v>
      </c>
      <c r="O74" s="818" t="s">
        <v>18</v>
      </c>
      <c r="P74" s="818" t="s">
        <v>18</v>
      </c>
      <c r="Q74" s="818" t="s">
        <v>18</v>
      </c>
      <c r="R74" s="818" t="s">
        <v>18</v>
      </c>
      <c r="S74" s="818" t="s">
        <v>18</v>
      </c>
      <c r="T74" s="818" t="s">
        <v>18</v>
      </c>
      <c r="U74" s="818" t="s">
        <v>18</v>
      </c>
      <c r="V74" s="818" t="s">
        <v>18</v>
      </c>
      <c r="W74" s="818" t="s">
        <v>18</v>
      </c>
      <c r="X74" s="811">
        <v>211211</v>
      </c>
      <c r="Y74" s="811">
        <v>21444</v>
      </c>
    </row>
    <row r="75" spans="1:25" hidden="1" x14ac:dyDescent="0.25">
      <c r="A75" s="819" t="s">
        <v>103</v>
      </c>
      <c r="B75" s="849" t="s">
        <v>239</v>
      </c>
      <c r="C75" s="811">
        <v>113465</v>
      </c>
      <c r="D75" s="857">
        <v>602</v>
      </c>
      <c r="E75" s="811">
        <v>68305</v>
      </c>
      <c r="F75" s="811">
        <v>83936</v>
      </c>
      <c r="G75" s="811">
        <v>903</v>
      </c>
      <c r="H75" s="811">
        <v>75794</v>
      </c>
      <c r="I75" s="811">
        <v>20638</v>
      </c>
      <c r="J75" s="811">
        <v>438</v>
      </c>
      <c r="K75" s="811">
        <v>9039</v>
      </c>
      <c r="L75" s="811">
        <v>3224</v>
      </c>
      <c r="M75" s="811">
        <v>1920</v>
      </c>
      <c r="N75" s="811">
        <v>6686</v>
      </c>
      <c r="O75" s="811">
        <v>19641</v>
      </c>
      <c r="P75" s="811">
        <v>600</v>
      </c>
      <c r="Q75" s="811">
        <v>11784</v>
      </c>
      <c r="R75" s="818" t="s">
        <v>18</v>
      </c>
      <c r="S75" s="818" t="s">
        <v>18</v>
      </c>
      <c r="T75" s="818" t="s">
        <v>18</v>
      </c>
      <c r="U75" s="818" t="s">
        <v>18</v>
      </c>
      <c r="V75" s="818" t="s">
        <v>18</v>
      </c>
      <c r="W75" s="818" t="s">
        <v>18</v>
      </c>
      <c r="X75" s="811">
        <v>240904</v>
      </c>
      <c r="Y75" s="811">
        <v>171608</v>
      </c>
    </row>
    <row r="76" spans="1:25" hidden="1" x14ac:dyDescent="0.25">
      <c r="A76" s="819" t="s">
        <v>20</v>
      </c>
      <c r="B76" s="849" t="s">
        <v>239</v>
      </c>
      <c r="C76" s="811">
        <v>24806</v>
      </c>
      <c r="D76" s="857">
        <v>400</v>
      </c>
      <c r="E76" s="811">
        <v>9922</v>
      </c>
      <c r="F76" s="811">
        <v>53832</v>
      </c>
      <c r="G76" s="811">
        <v>407</v>
      </c>
      <c r="H76" s="811">
        <v>21909</v>
      </c>
      <c r="I76" s="818" t="s">
        <v>18</v>
      </c>
      <c r="J76" s="818" t="s">
        <v>18</v>
      </c>
      <c r="K76" s="818" t="s">
        <v>18</v>
      </c>
      <c r="L76" s="811">
        <v>225</v>
      </c>
      <c r="M76" s="811">
        <v>1200</v>
      </c>
      <c r="N76" s="811">
        <v>270</v>
      </c>
      <c r="O76" s="811">
        <v>10000</v>
      </c>
      <c r="P76" s="811">
        <v>670</v>
      </c>
      <c r="Q76" s="811">
        <v>6700</v>
      </c>
      <c r="R76" s="818" t="s">
        <v>18</v>
      </c>
      <c r="S76" s="818" t="s">
        <v>18</v>
      </c>
      <c r="T76" s="818" t="s">
        <v>18</v>
      </c>
      <c r="U76" s="818" t="s">
        <v>18</v>
      </c>
      <c r="V76" s="818" t="s">
        <v>18</v>
      </c>
      <c r="W76" s="818" t="s">
        <v>18</v>
      </c>
      <c r="X76" s="811">
        <v>88863</v>
      </c>
      <c r="Y76" s="811">
        <v>38801</v>
      </c>
    </row>
    <row r="77" spans="1:25" hidden="1" x14ac:dyDescent="0.25">
      <c r="A77" s="819" t="s">
        <v>21</v>
      </c>
      <c r="B77" s="849" t="s">
        <v>239</v>
      </c>
      <c r="C77" s="811">
        <v>39600</v>
      </c>
      <c r="D77" s="857">
        <v>150</v>
      </c>
      <c r="E77" s="811">
        <v>5940</v>
      </c>
      <c r="F77" s="811">
        <v>1354</v>
      </c>
      <c r="G77" s="811">
        <v>125</v>
      </c>
      <c r="H77" s="811">
        <v>170</v>
      </c>
      <c r="I77" s="818" t="s">
        <v>18</v>
      </c>
      <c r="J77" s="818" t="s">
        <v>18</v>
      </c>
      <c r="K77" s="818" t="s">
        <v>18</v>
      </c>
      <c r="L77" s="818" t="s">
        <v>18</v>
      </c>
      <c r="M77" s="818" t="s">
        <v>18</v>
      </c>
      <c r="N77" s="818" t="s">
        <v>18</v>
      </c>
      <c r="O77" s="818" t="s">
        <v>18</v>
      </c>
      <c r="P77" s="818" t="s">
        <v>18</v>
      </c>
      <c r="Q77" s="818" t="s">
        <v>18</v>
      </c>
      <c r="R77" s="818" t="s">
        <v>18</v>
      </c>
      <c r="S77" s="818" t="s">
        <v>18</v>
      </c>
      <c r="T77" s="818" t="s">
        <v>18</v>
      </c>
      <c r="U77" s="818" t="s">
        <v>18</v>
      </c>
      <c r="V77" s="818" t="s">
        <v>18</v>
      </c>
      <c r="W77" s="818" t="s">
        <v>18</v>
      </c>
      <c r="X77" s="811">
        <v>40954</v>
      </c>
      <c r="Y77" s="811">
        <v>6110</v>
      </c>
    </row>
    <row r="78" spans="1:25" hidden="1" x14ac:dyDescent="0.25">
      <c r="A78" s="819" t="s">
        <v>22</v>
      </c>
      <c r="B78" s="849" t="s">
        <v>239</v>
      </c>
      <c r="C78" s="811">
        <v>14630</v>
      </c>
      <c r="D78" s="857">
        <v>220</v>
      </c>
      <c r="E78" s="811">
        <v>3290</v>
      </c>
      <c r="F78" s="811">
        <v>271</v>
      </c>
      <c r="G78" s="811">
        <v>300</v>
      </c>
      <c r="H78" s="811">
        <v>81</v>
      </c>
      <c r="I78" s="811">
        <v>28404</v>
      </c>
      <c r="J78" s="811">
        <v>1202</v>
      </c>
      <c r="K78" s="811">
        <v>34141</v>
      </c>
      <c r="L78" s="818" t="s">
        <v>18</v>
      </c>
      <c r="M78" s="818" t="s">
        <v>18</v>
      </c>
      <c r="N78" s="818" t="s">
        <v>18</v>
      </c>
      <c r="O78" s="818" t="s">
        <v>18</v>
      </c>
      <c r="P78" s="818" t="s">
        <v>18</v>
      </c>
      <c r="Q78" s="818" t="s">
        <v>18</v>
      </c>
      <c r="R78" s="811">
        <v>1875</v>
      </c>
      <c r="S78" s="811">
        <v>1434</v>
      </c>
      <c r="T78" s="811">
        <v>2688</v>
      </c>
      <c r="U78" s="818" t="s">
        <v>18</v>
      </c>
      <c r="V78" s="818" t="s">
        <v>18</v>
      </c>
      <c r="W78" s="818" t="s">
        <v>18</v>
      </c>
      <c r="X78" s="811">
        <v>45180</v>
      </c>
      <c r="Y78" s="811">
        <v>40200</v>
      </c>
    </row>
    <row r="79" spans="1:25" hidden="1" x14ac:dyDescent="0.25">
      <c r="A79" s="819" t="s">
        <v>23</v>
      </c>
      <c r="B79" s="849" t="s">
        <v>239</v>
      </c>
      <c r="C79" s="811">
        <v>129600</v>
      </c>
      <c r="D79" s="857">
        <v>302</v>
      </c>
      <c r="E79" s="811">
        <v>39140</v>
      </c>
      <c r="F79" s="811">
        <v>56119</v>
      </c>
      <c r="G79" s="811">
        <v>235</v>
      </c>
      <c r="H79" s="811">
        <v>13188</v>
      </c>
      <c r="I79" s="818" t="s">
        <v>18</v>
      </c>
      <c r="J79" s="818" t="s">
        <v>18</v>
      </c>
      <c r="K79" s="818" t="s">
        <v>18</v>
      </c>
      <c r="L79" s="818" t="s">
        <v>18</v>
      </c>
      <c r="M79" s="818" t="s">
        <v>18</v>
      </c>
      <c r="N79" s="818" t="s">
        <v>18</v>
      </c>
      <c r="O79" s="818" t="s">
        <v>18</v>
      </c>
      <c r="P79" s="818" t="s">
        <v>18</v>
      </c>
      <c r="Q79" s="818" t="s">
        <v>18</v>
      </c>
      <c r="R79" s="818" t="s">
        <v>18</v>
      </c>
      <c r="S79" s="818" t="s">
        <v>18</v>
      </c>
      <c r="T79" s="818" t="s">
        <v>18</v>
      </c>
      <c r="U79" s="818" t="s">
        <v>18</v>
      </c>
      <c r="V79" s="818" t="s">
        <v>18</v>
      </c>
      <c r="W79" s="818" t="s">
        <v>18</v>
      </c>
      <c r="X79" s="811">
        <v>185719</v>
      </c>
      <c r="Y79" s="811">
        <v>52328</v>
      </c>
    </row>
    <row r="80" spans="1:25" hidden="1" x14ac:dyDescent="0.25">
      <c r="A80" s="819" t="s">
        <v>24</v>
      </c>
      <c r="B80" s="849" t="s">
        <v>239</v>
      </c>
      <c r="C80" s="811">
        <v>5390</v>
      </c>
      <c r="D80" s="857">
        <v>416</v>
      </c>
      <c r="E80" s="811">
        <v>2155</v>
      </c>
      <c r="F80" s="811">
        <v>13245</v>
      </c>
      <c r="G80" s="811">
        <v>400</v>
      </c>
      <c r="H80" s="811">
        <v>5297</v>
      </c>
      <c r="I80" s="811">
        <v>6700</v>
      </c>
      <c r="J80" s="811">
        <v>400</v>
      </c>
      <c r="K80" s="811">
        <v>2680</v>
      </c>
      <c r="L80" s="811">
        <v>1810</v>
      </c>
      <c r="M80" s="811">
        <v>1500</v>
      </c>
      <c r="N80" s="811">
        <v>2715</v>
      </c>
      <c r="O80" s="811">
        <v>80000</v>
      </c>
      <c r="P80" s="811">
        <v>1000</v>
      </c>
      <c r="Q80" s="811">
        <v>80000</v>
      </c>
      <c r="R80" s="818" t="s">
        <v>18</v>
      </c>
      <c r="S80" s="818" t="s">
        <v>18</v>
      </c>
      <c r="T80" s="818" t="s">
        <v>18</v>
      </c>
      <c r="U80" s="818" t="s">
        <v>18</v>
      </c>
      <c r="V80" s="818" t="s">
        <v>18</v>
      </c>
      <c r="W80" s="818" t="s">
        <v>18</v>
      </c>
      <c r="X80" s="811">
        <v>107145</v>
      </c>
      <c r="Y80" s="811">
        <v>92847</v>
      </c>
    </row>
    <row r="81" spans="1:25" hidden="1" x14ac:dyDescent="0.25">
      <c r="A81" s="819" t="s">
        <v>26</v>
      </c>
      <c r="B81" s="849" t="s">
        <v>239</v>
      </c>
      <c r="C81" s="811">
        <v>28228</v>
      </c>
      <c r="D81" s="857">
        <v>512</v>
      </c>
      <c r="E81" s="811">
        <v>14452</v>
      </c>
      <c r="F81" s="811">
        <v>109132</v>
      </c>
      <c r="G81" s="811">
        <v>853</v>
      </c>
      <c r="H81" s="811">
        <v>93089</v>
      </c>
      <c r="I81" s="811">
        <v>11100</v>
      </c>
      <c r="J81" s="811">
        <v>450</v>
      </c>
      <c r="K81" s="811">
        <v>5000</v>
      </c>
      <c r="L81" s="811">
        <v>35321</v>
      </c>
      <c r="M81" s="811">
        <v>1257</v>
      </c>
      <c r="N81" s="811">
        <v>44398</v>
      </c>
      <c r="O81" s="811">
        <v>22285</v>
      </c>
      <c r="P81" s="811">
        <v>816</v>
      </c>
      <c r="Q81" s="811">
        <v>18184</v>
      </c>
      <c r="R81" s="818" t="s">
        <v>18</v>
      </c>
      <c r="S81" s="818" t="s">
        <v>18</v>
      </c>
      <c r="T81" s="818" t="s">
        <v>18</v>
      </c>
      <c r="U81" s="818" t="s">
        <v>18</v>
      </c>
      <c r="V81" s="818" t="s">
        <v>18</v>
      </c>
      <c r="W81" s="818" t="s">
        <v>18</v>
      </c>
      <c r="X81" s="811">
        <v>206066</v>
      </c>
      <c r="Y81" s="811">
        <v>175123</v>
      </c>
    </row>
    <row r="82" spans="1:25" hidden="1" x14ac:dyDescent="0.25">
      <c r="A82" s="819" t="s">
        <v>27</v>
      </c>
      <c r="B82" s="849" t="s">
        <v>239</v>
      </c>
      <c r="C82" s="811">
        <v>38533</v>
      </c>
      <c r="D82" s="857">
        <v>500</v>
      </c>
      <c r="E82" s="811">
        <v>19266</v>
      </c>
      <c r="F82" s="811">
        <v>37377</v>
      </c>
      <c r="G82" s="811">
        <v>400</v>
      </c>
      <c r="H82" s="811">
        <v>19100</v>
      </c>
      <c r="I82" s="811">
        <v>2114</v>
      </c>
      <c r="J82" s="811">
        <v>515</v>
      </c>
      <c r="K82" s="811">
        <v>1088</v>
      </c>
      <c r="L82" s="811">
        <v>33200</v>
      </c>
      <c r="M82" s="811">
        <v>700</v>
      </c>
      <c r="N82" s="811">
        <v>23240</v>
      </c>
      <c r="O82" s="811">
        <v>5113</v>
      </c>
      <c r="P82" s="811">
        <v>325</v>
      </c>
      <c r="Q82" s="811">
        <v>1661</v>
      </c>
      <c r="R82" s="818" t="s">
        <v>18</v>
      </c>
      <c r="S82" s="818" t="s">
        <v>18</v>
      </c>
      <c r="T82" s="818" t="s">
        <v>18</v>
      </c>
      <c r="U82" s="811">
        <v>747</v>
      </c>
      <c r="V82" s="811">
        <v>430</v>
      </c>
      <c r="W82" s="811">
        <v>321</v>
      </c>
      <c r="X82" s="811">
        <v>117084</v>
      </c>
      <c r="Y82" s="811">
        <v>64355</v>
      </c>
    </row>
    <row r="83" spans="1:25" hidden="1" x14ac:dyDescent="0.25">
      <c r="A83" s="819" t="s">
        <v>50</v>
      </c>
      <c r="B83" s="849" t="s">
        <v>239</v>
      </c>
      <c r="C83" s="811">
        <v>34234</v>
      </c>
      <c r="D83" s="857">
        <v>312</v>
      </c>
      <c r="E83" s="811">
        <v>10681</v>
      </c>
      <c r="F83" s="811">
        <v>41050</v>
      </c>
      <c r="G83" s="811">
        <v>591</v>
      </c>
      <c r="H83" s="811">
        <v>24260</v>
      </c>
      <c r="I83" s="811">
        <v>6060</v>
      </c>
      <c r="J83" s="811">
        <v>825</v>
      </c>
      <c r="K83" s="811">
        <v>5000</v>
      </c>
      <c r="L83" s="811">
        <v>9163</v>
      </c>
      <c r="M83" s="811">
        <v>1321</v>
      </c>
      <c r="N83" s="811">
        <v>12104</v>
      </c>
      <c r="O83" s="818" t="s">
        <v>18</v>
      </c>
      <c r="P83" s="818" t="s">
        <v>18</v>
      </c>
      <c r="Q83" s="818" t="s">
        <v>18</v>
      </c>
      <c r="R83" s="818" t="s">
        <v>18</v>
      </c>
      <c r="S83" s="818" t="s">
        <v>18</v>
      </c>
      <c r="T83" s="818" t="s">
        <v>18</v>
      </c>
      <c r="U83" s="811">
        <v>139</v>
      </c>
      <c r="V83" s="811">
        <v>307</v>
      </c>
      <c r="W83" s="811">
        <v>42</v>
      </c>
      <c r="X83" s="811">
        <v>90646</v>
      </c>
      <c r="Y83" s="811">
        <v>52087</v>
      </c>
    </row>
    <row r="84" spans="1:25" hidden="1" x14ac:dyDescent="0.25">
      <c r="A84" s="888" t="s">
        <v>163</v>
      </c>
      <c r="B84" s="849" t="s">
        <v>239</v>
      </c>
      <c r="C84" s="811">
        <v>20089</v>
      </c>
      <c r="D84" s="857">
        <v>505</v>
      </c>
      <c r="E84" s="811">
        <v>10144</v>
      </c>
      <c r="F84" s="811">
        <v>75283</v>
      </c>
      <c r="G84" s="811">
        <v>764</v>
      </c>
      <c r="H84" s="811">
        <v>57516</v>
      </c>
      <c r="I84" s="811">
        <v>3130</v>
      </c>
      <c r="J84" s="811">
        <v>660</v>
      </c>
      <c r="K84" s="811">
        <v>2066</v>
      </c>
      <c r="L84" s="811">
        <v>2446</v>
      </c>
      <c r="M84" s="811">
        <v>600</v>
      </c>
      <c r="N84" s="811">
        <v>1200</v>
      </c>
      <c r="O84" s="811">
        <v>150</v>
      </c>
      <c r="P84" s="811">
        <v>800</v>
      </c>
      <c r="Q84" s="811">
        <v>120</v>
      </c>
      <c r="R84" s="818" t="s">
        <v>18</v>
      </c>
      <c r="S84" s="818" t="s">
        <v>18</v>
      </c>
      <c r="T84" s="818" t="s">
        <v>18</v>
      </c>
      <c r="U84" s="818" t="s">
        <v>18</v>
      </c>
      <c r="V84" s="818" t="s">
        <v>18</v>
      </c>
      <c r="W84" s="818" t="s">
        <v>18</v>
      </c>
      <c r="X84" s="811">
        <v>101098</v>
      </c>
      <c r="Y84" s="811">
        <v>71046</v>
      </c>
    </row>
    <row r="85" spans="1:25" hidden="1" x14ac:dyDescent="0.25">
      <c r="A85" s="864" t="s">
        <v>52</v>
      </c>
      <c r="B85" s="849" t="s">
        <v>239</v>
      </c>
      <c r="C85" s="811">
        <v>43628</v>
      </c>
      <c r="D85" s="857">
        <v>598</v>
      </c>
      <c r="E85" s="811">
        <v>26089</v>
      </c>
      <c r="F85" s="811">
        <v>93730</v>
      </c>
      <c r="G85" s="811">
        <v>644</v>
      </c>
      <c r="H85" s="811">
        <v>60632</v>
      </c>
      <c r="I85" s="811">
        <v>6868</v>
      </c>
      <c r="J85" s="811">
        <v>728</v>
      </c>
      <c r="K85" s="811">
        <v>5000</v>
      </c>
      <c r="L85" s="811">
        <v>4179</v>
      </c>
      <c r="M85" s="811">
        <v>600</v>
      </c>
      <c r="N85" s="811">
        <v>2507</v>
      </c>
      <c r="O85" s="811">
        <v>835</v>
      </c>
      <c r="P85" s="811">
        <v>835</v>
      </c>
      <c r="Q85" s="811">
        <v>835</v>
      </c>
      <c r="R85" s="818" t="s">
        <v>18</v>
      </c>
      <c r="S85" s="818" t="s">
        <v>18</v>
      </c>
      <c r="T85" s="818" t="s">
        <v>18</v>
      </c>
      <c r="U85" s="818" t="s">
        <v>18</v>
      </c>
      <c r="V85" s="818" t="s">
        <v>18</v>
      </c>
      <c r="W85" s="818" t="s">
        <v>18</v>
      </c>
      <c r="X85" s="811">
        <v>149240</v>
      </c>
      <c r="Y85" s="811">
        <v>95063</v>
      </c>
    </row>
    <row r="86" spans="1:25" hidden="1" x14ac:dyDescent="0.25">
      <c r="A86" s="819" t="s">
        <v>15</v>
      </c>
      <c r="B86" s="849" t="s">
        <v>240</v>
      </c>
      <c r="C86" s="811">
        <v>139000</v>
      </c>
      <c r="D86" s="857">
        <v>304</v>
      </c>
      <c r="E86" s="811">
        <v>42256</v>
      </c>
      <c r="F86" s="811">
        <v>77250</v>
      </c>
      <c r="G86" s="811">
        <v>365</v>
      </c>
      <c r="H86" s="811">
        <v>28196</v>
      </c>
      <c r="I86" s="818" t="s">
        <v>18</v>
      </c>
      <c r="J86" s="818" t="s">
        <v>18</v>
      </c>
      <c r="K86" s="818" t="s">
        <v>18</v>
      </c>
      <c r="L86" s="818" t="s">
        <v>18</v>
      </c>
      <c r="M86" s="818" t="s">
        <v>18</v>
      </c>
      <c r="N86" s="818" t="s">
        <v>18</v>
      </c>
      <c r="O86" s="811">
        <v>24203</v>
      </c>
      <c r="P86" s="811">
        <v>451</v>
      </c>
      <c r="Q86" s="811">
        <v>10922</v>
      </c>
      <c r="R86" s="818" t="s">
        <v>18</v>
      </c>
      <c r="S86" s="818" t="s">
        <v>18</v>
      </c>
      <c r="T86" s="818" t="s">
        <v>18</v>
      </c>
      <c r="U86" s="818" t="s">
        <v>18</v>
      </c>
      <c r="V86" s="818" t="s">
        <v>18</v>
      </c>
      <c r="W86" s="818" t="s">
        <v>18</v>
      </c>
      <c r="X86" s="811">
        <v>240453</v>
      </c>
      <c r="Y86" s="811">
        <v>81374</v>
      </c>
    </row>
    <row r="87" spans="1:25" hidden="1" x14ac:dyDescent="0.25">
      <c r="A87" s="864" t="s">
        <v>16</v>
      </c>
      <c r="B87" s="849" t="s">
        <v>240</v>
      </c>
      <c r="C87" s="818"/>
      <c r="D87" s="857"/>
      <c r="E87" s="818"/>
      <c r="F87" s="818"/>
      <c r="G87" s="818"/>
      <c r="H87" s="818"/>
      <c r="I87" s="818"/>
      <c r="J87" s="818"/>
      <c r="K87" s="818"/>
      <c r="L87" s="818"/>
      <c r="M87" s="818"/>
      <c r="N87" s="818"/>
      <c r="O87" s="818"/>
      <c r="P87" s="818"/>
      <c r="Q87" s="818"/>
      <c r="R87" s="818"/>
      <c r="S87" s="818"/>
      <c r="T87" s="818"/>
      <c r="U87" s="818"/>
      <c r="V87" s="818"/>
      <c r="W87" s="818"/>
      <c r="X87" s="818"/>
      <c r="Y87" s="818"/>
    </row>
    <row r="88" spans="1:25" hidden="1" x14ac:dyDescent="0.25">
      <c r="A88" s="819" t="s">
        <v>17</v>
      </c>
      <c r="B88" s="849" t="s">
        <v>240</v>
      </c>
      <c r="C88" s="811">
        <v>68000</v>
      </c>
      <c r="D88" s="857">
        <v>300</v>
      </c>
      <c r="E88" s="811">
        <v>20400</v>
      </c>
      <c r="F88" s="811">
        <v>24800</v>
      </c>
      <c r="G88" s="811">
        <v>325</v>
      </c>
      <c r="H88" s="811">
        <v>8060</v>
      </c>
      <c r="I88" s="818" t="s">
        <v>18</v>
      </c>
      <c r="J88" s="818" t="s">
        <v>18</v>
      </c>
      <c r="K88" s="818" t="s">
        <v>18</v>
      </c>
      <c r="L88" s="818" t="s">
        <v>18</v>
      </c>
      <c r="M88" s="818" t="s">
        <v>18</v>
      </c>
      <c r="N88" s="818" t="s">
        <v>18</v>
      </c>
      <c r="O88" s="818" t="s">
        <v>18</v>
      </c>
      <c r="P88" s="818" t="s">
        <v>18</v>
      </c>
      <c r="Q88" s="818" t="s">
        <v>18</v>
      </c>
      <c r="R88" s="818" t="s">
        <v>18</v>
      </c>
      <c r="S88" s="818" t="s">
        <v>18</v>
      </c>
      <c r="T88" s="818" t="s">
        <v>18</v>
      </c>
      <c r="U88" s="818" t="s">
        <v>18</v>
      </c>
      <c r="V88" s="818" t="s">
        <v>18</v>
      </c>
      <c r="W88" s="818" t="s">
        <v>18</v>
      </c>
      <c r="X88" s="811">
        <v>92800</v>
      </c>
      <c r="Y88" s="811">
        <v>28460</v>
      </c>
    </row>
    <row r="89" spans="1:25" hidden="1" x14ac:dyDescent="0.25">
      <c r="A89" s="819" t="s">
        <v>103</v>
      </c>
      <c r="B89" s="849" t="s">
        <v>240</v>
      </c>
      <c r="C89" s="811">
        <v>171138</v>
      </c>
      <c r="D89" s="857">
        <v>528</v>
      </c>
      <c r="E89" s="811">
        <v>90360</v>
      </c>
      <c r="F89" s="811">
        <v>104900</v>
      </c>
      <c r="G89" s="811">
        <v>699</v>
      </c>
      <c r="H89" s="811">
        <v>73325</v>
      </c>
      <c r="I89" s="811">
        <v>21798</v>
      </c>
      <c r="J89" s="811">
        <v>1230</v>
      </c>
      <c r="K89" s="811">
        <v>26811</v>
      </c>
      <c r="L89" s="811">
        <v>564</v>
      </c>
      <c r="M89" s="811">
        <v>3200</v>
      </c>
      <c r="N89" s="811">
        <v>1804</v>
      </c>
      <c r="O89" s="811">
        <v>20623</v>
      </c>
      <c r="P89" s="811">
        <v>718</v>
      </c>
      <c r="Q89" s="811">
        <v>14807</v>
      </c>
      <c r="R89" s="818" t="s">
        <v>18</v>
      </c>
      <c r="S89" s="818" t="s">
        <v>18</v>
      </c>
      <c r="T89" s="818" t="s">
        <v>18</v>
      </c>
      <c r="U89" s="818" t="s">
        <v>18</v>
      </c>
      <c r="V89" s="818" t="s">
        <v>18</v>
      </c>
      <c r="W89" s="818" t="s">
        <v>18</v>
      </c>
      <c r="X89" s="811">
        <v>319023</v>
      </c>
      <c r="Y89" s="811">
        <v>207107</v>
      </c>
    </row>
    <row r="90" spans="1:25" hidden="1" x14ac:dyDescent="0.25">
      <c r="A90" s="819" t="s">
        <v>20</v>
      </c>
      <c r="B90" s="849" t="s">
        <v>240</v>
      </c>
      <c r="C90" s="811">
        <v>39029</v>
      </c>
      <c r="D90" s="857">
        <v>744</v>
      </c>
      <c r="E90" s="811">
        <v>29035</v>
      </c>
      <c r="F90" s="811">
        <v>73380</v>
      </c>
      <c r="G90" s="811">
        <v>664</v>
      </c>
      <c r="H90" s="811">
        <v>48747</v>
      </c>
      <c r="I90" s="811">
        <v>2680</v>
      </c>
      <c r="J90" s="811">
        <v>245</v>
      </c>
      <c r="K90" s="811">
        <v>657</v>
      </c>
      <c r="L90" s="811">
        <v>600</v>
      </c>
      <c r="M90" s="811">
        <v>1085</v>
      </c>
      <c r="N90" s="811">
        <v>651</v>
      </c>
      <c r="O90" s="811">
        <v>38572</v>
      </c>
      <c r="P90" s="811">
        <v>945</v>
      </c>
      <c r="Q90" s="811">
        <v>36472</v>
      </c>
      <c r="R90" s="818" t="s">
        <v>18</v>
      </c>
      <c r="S90" s="818" t="s">
        <v>18</v>
      </c>
      <c r="T90" s="818" t="s">
        <v>18</v>
      </c>
      <c r="U90" s="818" t="s">
        <v>18</v>
      </c>
      <c r="V90" s="818" t="s">
        <v>18</v>
      </c>
      <c r="W90" s="818" t="s">
        <v>18</v>
      </c>
      <c r="X90" s="811">
        <v>155394</v>
      </c>
      <c r="Y90" s="811">
        <v>115562</v>
      </c>
    </row>
    <row r="91" spans="1:25" hidden="1" x14ac:dyDescent="0.25">
      <c r="A91" s="819" t="s">
        <v>21</v>
      </c>
      <c r="B91" s="849" t="s">
        <v>240</v>
      </c>
      <c r="C91" s="811">
        <v>22630</v>
      </c>
      <c r="D91" s="857">
        <v>410</v>
      </c>
      <c r="E91" s="811">
        <v>9280</v>
      </c>
      <c r="F91" s="818" t="s">
        <v>18</v>
      </c>
      <c r="G91" s="818" t="s">
        <v>18</v>
      </c>
      <c r="H91" s="818" t="s">
        <v>18</v>
      </c>
      <c r="I91" s="811">
        <v>220</v>
      </c>
      <c r="J91" s="811">
        <v>2000</v>
      </c>
      <c r="K91" s="811">
        <v>440</v>
      </c>
      <c r="L91" s="818" t="s">
        <v>18</v>
      </c>
      <c r="M91" s="818" t="s">
        <v>18</v>
      </c>
      <c r="N91" s="818" t="s">
        <v>18</v>
      </c>
      <c r="O91" s="818" t="s">
        <v>18</v>
      </c>
      <c r="P91" s="818" t="s">
        <v>18</v>
      </c>
      <c r="Q91" s="818" t="s">
        <v>18</v>
      </c>
      <c r="R91" s="818" t="s">
        <v>18</v>
      </c>
      <c r="S91" s="818" t="s">
        <v>18</v>
      </c>
      <c r="T91" s="818" t="s">
        <v>18</v>
      </c>
      <c r="U91" s="818" t="s">
        <v>18</v>
      </c>
      <c r="V91" s="818" t="s">
        <v>18</v>
      </c>
      <c r="W91" s="818" t="s">
        <v>18</v>
      </c>
      <c r="X91" s="811">
        <v>23070</v>
      </c>
      <c r="Y91" s="811">
        <v>9720</v>
      </c>
    </row>
    <row r="92" spans="1:25" hidden="1" x14ac:dyDescent="0.25">
      <c r="A92" s="819" t="s">
        <v>22</v>
      </c>
      <c r="B92" s="849" t="s">
        <v>240</v>
      </c>
      <c r="C92" s="811">
        <v>54150</v>
      </c>
      <c r="D92" s="857">
        <v>539</v>
      </c>
      <c r="E92" s="811">
        <v>29186</v>
      </c>
      <c r="F92" s="818" t="s">
        <v>18</v>
      </c>
      <c r="G92" s="818" t="s">
        <v>18</v>
      </c>
      <c r="H92" s="818" t="s">
        <v>18</v>
      </c>
      <c r="I92" s="811">
        <v>29380</v>
      </c>
      <c r="J92" s="811">
        <v>1085</v>
      </c>
      <c r="K92" s="811">
        <v>31844</v>
      </c>
      <c r="L92" s="818" t="s">
        <v>18</v>
      </c>
      <c r="M92" s="818" t="s">
        <v>18</v>
      </c>
      <c r="N92" s="818" t="s">
        <v>18</v>
      </c>
      <c r="O92" s="818" t="s">
        <v>18</v>
      </c>
      <c r="P92" s="818" t="s">
        <v>18</v>
      </c>
      <c r="Q92" s="818" t="s">
        <v>18</v>
      </c>
      <c r="R92" s="811">
        <v>1875</v>
      </c>
      <c r="S92" s="811">
        <v>1900</v>
      </c>
      <c r="T92" s="811">
        <v>3562</v>
      </c>
      <c r="U92" s="818" t="s">
        <v>18</v>
      </c>
      <c r="V92" s="818" t="s">
        <v>18</v>
      </c>
      <c r="W92" s="818" t="s">
        <v>18</v>
      </c>
      <c r="X92" s="811">
        <v>85505</v>
      </c>
      <c r="Y92" s="811">
        <v>64592</v>
      </c>
    </row>
    <row r="93" spans="1:25" hidden="1" x14ac:dyDescent="0.25">
      <c r="A93" s="819" t="s">
        <v>23</v>
      </c>
      <c r="B93" s="849" t="s">
        <v>240</v>
      </c>
      <c r="C93" s="811">
        <v>162600</v>
      </c>
      <c r="D93" s="857">
        <v>389</v>
      </c>
      <c r="E93" s="811">
        <v>63251</v>
      </c>
      <c r="F93" s="811">
        <v>65700</v>
      </c>
      <c r="G93" s="811">
        <v>392</v>
      </c>
      <c r="H93" s="811">
        <v>25754</v>
      </c>
      <c r="I93" s="811">
        <v>7550</v>
      </c>
      <c r="J93" s="811">
        <v>429</v>
      </c>
      <c r="K93" s="811">
        <v>3238</v>
      </c>
      <c r="L93" s="818" t="s">
        <v>18</v>
      </c>
      <c r="M93" s="818" t="s">
        <v>18</v>
      </c>
      <c r="N93" s="818" t="s">
        <v>18</v>
      </c>
      <c r="O93" s="818" t="s">
        <v>18</v>
      </c>
      <c r="P93" s="818" t="s">
        <v>18</v>
      </c>
      <c r="Q93" s="818" t="s">
        <v>18</v>
      </c>
      <c r="R93" s="818" t="s">
        <v>18</v>
      </c>
      <c r="S93" s="818" t="s">
        <v>18</v>
      </c>
      <c r="T93" s="818" t="s">
        <v>18</v>
      </c>
      <c r="U93" s="818" t="s">
        <v>18</v>
      </c>
      <c r="V93" s="818" t="s">
        <v>18</v>
      </c>
      <c r="W93" s="818" t="s">
        <v>18</v>
      </c>
      <c r="X93" s="811">
        <v>235850</v>
      </c>
      <c r="Y93" s="811">
        <v>92243</v>
      </c>
    </row>
    <row r="94" spans="1:25" hidden="1" x14ac:dyDescent="0.25">
      <c r="A94" s="819" t="s">
        <v>24</v>
      </c>
      <c r="B94" s="849" t="s">
        <v>240</v>
      </c>
      <c r="C94" s="811">
        <v>5100</v>
      </c>
      <c r="D94" s="857">
        <v>800</v>
      </c>
      <c r="E94" s="811">
        <v>4080</v>
      </c>
      <c r="F94" s="811">
        <v>27200</v>
      </c>
      <c r="G94" s="811">
        <v>1200</v>
      </c>
      <c r="H94" s="811">
        <v>32640</v>
      </c>
      <c r="I94" s="811">
        <v>4300</v>
      </c>
      <c r="J94" s="811">
        <v>1300</v>
      </c>
      <c r="K94" s="811">
        <v>5390</v>
      </c>
      <c r="L94" s="811">
        <v>2300</v>
      </c>
      <c r="M94" s="811">
        <v>4053</v>
      </c>
      <c r="N94" s="811">
        <v>9323</v>
      </c>
      <c r="O94" s="811">
        <v>125000</v>
      </c>
      <c r="P94" s="811">
        <v>1000</v>
      </c>
      <c r="Q94" s="811">
        <v>125000</v>
      </c>
      <c r="R94" s="818" t="s">
        <v>18</v>
      </c>
      <c r="S94" s="818" t="s">
        <v>18</v>
      </c>
      <c r="T94" s="818" t="s">
        <v>18</v>
      </c>
      <c r="U94" s="818" t="s">
        <v>18</v>
      </c>
      <c r="V94" s="818" t="s">
        <v>18</v>
      </c>
      <c r="W94" s="818" t="s">
        <v>18</v>
      </c>
      <c r="X94" s="811">
        <v>163900</v>
      </c>
      <c r="Y94" s="811">
        <v>176433</v>
      </c>
    </row>
    <row r="95" spans="1:25" hidden="1" x14ac:dyDescent="0.25">
      <c r="A95" s="819" t="s">
        <v>26</v>
      </c>
      <c r="B95" s="849" t="s">
        <v>240</v>
      </c>
      <c r="C95" s="811">
        <v>62919</v>
      </c>
      <c r="D95" s="857">
        <v>678</v>
      </c>
      <c r="E95" s="811">
        <v>42683</v>
      </c>
      <c r="F95" s="811">
        <v>136415</v>
      </c>
      <c r="G95" s="811">
        <v>805</v>
      </c>
      <c r="H95" s="811">
        <v>109873</v>
      </c>
      <c r="I95" s="811">
        <v>19400</v>
      </c>
      <c r="J95" s="811">
        <v>747</v>
      </c>
      <c r="K95" s="811">
        <v>14509</v>
      </c>
      <c r="L95" s="811">
        <v>40080</v>
      </c>
      <c r="M95" s="811">
        <v>1518</v>
      </c>
      <c r="N95" s="811">
        <v>55771</v>
      </c>
      <c r="O95" s="811">
        <v>16000</v>
      </c>
      <c r="P95" s="811">
        <v>948</v>
      </c>
      <c r="Q95" s="811">
        <v>15168</v>
      </c>
      <c r="R95" s="818" t="s">
        <v>18</v>
      </c>
      <c r="S95" s="818" t="s">
        <v>18</v>
      </c>
      <c r="T95" s="818" t="s">
        <v>18</v>
      </c>
      <c r="U95" s="818" t="s">
        <v>18</v>
      </c>
      <c r="V95" s="818" t="s">
        <v>18</v>
      </c>
      <c r="W95" s="818" t="s">
        <v>18</v>
      </c>
      <c r="X95" s="811">
        <v>274814</v>
      </c>
      <c r="Y95" s="811">
        <v>238004</v>
      </c>
    </row>
    <row r="96" spans="1:25" hidden="1" x14ac:dyDescent="0.25">
      <c r="A96" s="819" t="s">
        <v>27</v>
      </c>
      <c r="B96" s="849" t="s">
        <v>240</v>
      </c>
      <c r="C96" s="811">
        <v>28028</v>
      </c>
      <c r="D96" s="857">
        <v>530</v>
      </c>
      <c r="E96" s="811">
        <v>14879</v>
      </c>
      <c r="F96" s="811">
        <v>49715</v>
      </c>
      <c r="G96" s="811">
        <v>519</v>
      </c>
      <c r="H96" s="811">
        <v>25802</v>
      </c>
      <c r="I96" s="811">
        <v>9433</v>
      </c>
      <c r="J96" s="811">
        <v>651</v>
      </c>
      <c r="K96" s="811">
        <v>6140</v>
      </c>
      <c r="L96" s="811">
        <v>23179</v>
      </c>
      <c r="M96" s="811">
        <v>1176</v>
      </c>
      <c r="N96" s="811">
        <v>27264</v>
      </c>
      <c r="O96" s="811">
        <v>3000</v>
      </c>
      <c r="P96" s="811">
        <v>579</v>
      </c>
      <c r="Q96" s="811">
        <v>1737</v>
      </c>
      <c r="R96" s="818" t="s">
        <v>18</v>
      </c>
      <c r="S96" s="818" t="s">
        <v>18</v>
      </c>
      <c r="T96" s="818" t="s">
        <v>18</v>
      </c>
      <c r="U96" s="811">
        <v>1725</v>
      </c>
      <c r="V96" s="811">
        <v>437</v>
      </c>
      <c r="W96" s="811">
        <v>754</v>
      </c>
      <c r="X96" s="811">
        <v>115080</v>
      </c>
      <c r="Y96" s="811">
        <v>76576</v>
      </c>
    </row>
    <row r="97" spans="1:25" hidden="1" x14ac:dyDescent="0.25">
      <c r="A97" s="819" t="s">
        <v>50</v>
      </c>
      <c r="B97" s="849" t="s">
        <v>240</v>
      </c>
      <c r="C97" s="811">
        <v>34656</v>
      </c>
      <c r="D97" s="857">
        <v>481</v>
      </c>
      <c r="E97" s="811">
        <v>16669</v>
      </c>
      <c r="F97" s="811">
        <v>58351</v>
      </c>
      <c r="G97" s="811">
        <v>549</v>
      </c>
      <c r="H97" s="811">
        <v>32034</v>
      </c>
      <c r="I97" s="811">
        <v>9141</v>
      </c>
      <c r="J97" s="811">
        <v>719</v>
      </c>
      <c r="K97" s="811">
        <v>6573</v>
      </c>
      <c r="L97" s="811">
        <v>7836</v>
      </c>
      <c r="M97" s="811">
        <v>929</v>
      </c>
      <c r="N97" s="811">
        <v>7280</v>
      </c>
      <c r="O97" s="818" t="s">
        <v>18</v>
      </c>
      <c r="P97" s="818" t="s">
        <v>18</v>
      </c>
      <c r="Q97" s="818" t="s">
        <v>18</v>
      </c>
      <c r="R97" s="818" t="s">
        <v>18</v>
      </c>
      <c r="S97" s="818" t="s">
        <v>18</v>
      </c>
      <c r="T97" s="818" t="s">
        <v>18</v>
      </c>
      <c r="U97" s="811">
        <v>1075</v>
      </c>
      <c r="V97" s="811">
        <v>388</v>
      </c>
      <c r="W97" s="811">
        <v>418</v>
      </c>
      <c r="X97" s="811">
        <v>111059</v>
      </c>
      <c r="Y97" s="811">
        <v>62974</v>
      </c>
    </row>
    <row r="98" spans="1:25" hidden="1" x14ac:dyDescent="0.25">
      <c r="A98" s="888" t="s">
        <v>163</v>
      </c>
      <c r="B98" s="849" t="s">
        <v>240</v>
      </c>
      <c r="C98" s="811">
        <v>23846</v>
      </c>
      <c r="D98" s="857">
        <v>647</v>
      </c>
      <c r="E98" s="811">
        <v>15447</v>
      </c>
      <c r="F98" s="811">
        <v>91532</v>
      </c>
      <c r="G98" s="811">
        <v>670</v>
      </c>
      <c r="H98" s="811">
        <v>61339</v>
      </c>
      <c r="I98" s="811">
        <v>5936</v>
      </c>
      <c r="J98" s="811">
        <v>530</v>
      </c>
      <c r="K98" s="811">
        <v>3147</v>
      </c>
      <c r="L98" s="811">
        <v>6353</v>
      </c>
      <c r="M98" s="811">
        <v>766</v>
      </c>
      <c r="N98" s="811">
        <v>4866</v>
      </c>
      <c r="O98" s="811">
        <v>165</v>
      </c>
      <c r="P98" s="811">
        <v>948</v>
      </c>
      <c r="Q98" s="811">
        <v>156</v>
      </c>
      <c r="R98" s="818" t="s">
        <v>18</v>
      </c>
      <c r="S98" s="818" t="s">
        <v>18</v>
      </c>
      <c r="T98" s="818" t="s">
        <v>18</v>
      </c>
      <c r="U98" s="818" t="s">
        <v>18</v>
      </c>
      <c r="V98" s="818" t="s">
        <v>18</v>
      </c>
      <c r="W98" s="818" t="s">
        <v>18</v>
      </c>
      <c r="X98" s="811">
        <v>127832</v>
      </c>
      <c r="Y98" s="811">
        <v>84955</v>
      </c>
    </row>
    <row r="99" spans="1:25" hidden="1" x14ac:dyDescent="0.25">
      <c r="A99" s="864" t="s">
        <v>52</v>
      </c>
      <c r="B99" s="849" t="s">
        <v>240</v>
      </c>
      <c r="C99" s="811">
        <v>37763</v>
      </c>
      <c r="D99" s="857">
        <v>531</v>
      </c>
      <c r="E99" s="811">
        <v>20082</v>
      </c>
      <c r="F99" s="811">
        <v>80204</v>
      </c>
      <c r="G99" s="811">
        <v>641</v>
      </c>
      <c r="H99" s="811">
        <v>51457</v>
      </c>
      <c r="I99" s="811">
        <v>11098</v>
      </c>
      <c r="J99" s="811">
        <v>589</v>
      </c>
      <c r="K99" s="811">
        <v>6546</v>
      </c>
      <c r="L99" s="811">
        <v>6256</v>
      </c>
      <c r="M99" s="811">
        <v>832</v>
      </c>
      <c r="N99" s="811">
        <v>5208</v>
      </c>
      <c r="O99" s="811">
        <v>900</v>
      </c>
      <c r="P99" s="811">
        <v>848</v>
      </c>
      <c r="Q99" s="811">
        <v>763</v>
      </c>
      <c r="R99" s="818" t="s">
        <v>18</v>
      </c>
      <c r="S99" s="818" t="s">
        <v>18</v>
      </c>
      <c r="T99" s="818" t="s">
        <v>18</v>
      </c>
      <c r="U99" s="818" t="s">
        <v>18</v>
      </c>
      <c r="V99" s="818" t="s">
        <v>18</v>
      </c>
      <c r="W99" s="818" t="s">
        <v>18</v>
      </c>
      <c r="X99" s="811">
        <v>136221</v>
      </c>
      <c r="Y99" s="811">
        <v>84056</v>
      </c>
    </row>
    <row r="100" spans="1:25" hidden="1" x14ac:dyDescent="0.25">
      <c r="A100" s="819" t="s">
        <v>15</v>
      </c>
      <c r="B100" s="849" t="s">
        <v>254</v>
      </c>
      <c r="C100" s="811">
        <v>12500</v>
      </c>
      <c r="D100" s="857">
        <v>410</v>
      </c>
      <c r="E100" s="811">
        <v>51250</v>
      </c>
      <c r="F100" s="811">
        <v>52800</v>
      </c>
      <c r="G100" s="811">
        <v>580</v>
      </c>
      <c r="H100" s="811">
        <v>30624</v>
      </c>
      <c r="I100" s="811"/>
      <c r="J100" s="811"/>
      <c r="K100" s="811"/>
      <c r="L100" s="819" t="s">
        <v>18</v>
      </c>
      <c r="M100" s="819" t="s">
        <v>18</v>
      </c>
      <c r="N100" s="819" t="s">
        <v>18</v>
      </c>
      <c r="O100" s="811">
        <v>10000</v>
      </c>
      <c r="P100" s="811">
        <v>500</v>
      </c>
      <c r="Q100" s="811">
        <v>5000</v>
      </c>
      <c r="R100" s="818" t="s">
        <v>18</v>
      </c>
      <c r="S100" s="818" t="s">
        <v>18</v>
      </c>
      <c r="T100" s="818" t="s">
        <v>18</v>
      </c>
      <c r="U100" s="818" t="s">
        <v>18</v>
      </c>
      <c r="V100" s="818" t="s">
        <v>18</v>
      </c>
      <c r="W100" s="818" t="s">
        <v>18</v>
      </c>
      <c r="X100" s="811">
        <v>187800</v>
      </c>
      <c r="Y100" s="811">
        <v>86874</v>
      </c>
    </row>
    <row r="101" spans="1:25" hidden="1" x14ac:dyDescent="0.25">
      <c r="A101" s="864" t="s">
        <v>16</v>
      </c>
      <c r="B101" s="849" t="s">
        <v>254</v>
      </c>
      <c r="C101" s="818"/>
      <c r="D101" s="857"/>
      <c r="E101" s="818"/>
      <c r="F101" s="818"/>
      <c r="G101" s="818"/>
      <c r="H101" s="818"/>
      <c r="I101" s="818"/>
      <c r="J101" s="818"/>
      <c r="K101" s="818"/>
      <c r="L101" s="818"/>
      <c r="M101" s="818"/>
      <c r="N101" s="818"/>
      <c r="O101" s="818"/>
      <c r="P101" s="818"/>
      <c r="Q101" s="818"/>
      <c r="R101" s="818"/>
      <c r="S101" s="818"/>
      <c r="T101" s="818"/>
      <c r="U101" s="818"/>
      <c r="V101" s="818"/>
      <c r="W101" s="818"/>
      <c r="X101" s="818"/>
      <c r="Y101" s="818"/>
    </row>
    <row r="102" spans="1:25" hidden="1" x14ac:dyDescent="0.25">
      <c r="A102" s="819" t="s">
        <v>17</v>
      </c>
      <c r="B102" s="849" t="s">
        <v>254</v>
      </c>
      <c r="C102" s="811">
        <v>68075</v>
      </c>
      <c r="D102" s="857">
        <v>466</v>
      </c>
      <c r="E102" s="811">
        <v>31723</v>
      </c>
      <c r="F102" s="811">
        <v>1200</v>
      </c>
      <c r="G102" s="811">
        <v>452</v>
      </c>
      <c r="H102" s="811">
        <v>5424</v>
      </c>
      <c r="I102" s="818" t="s">
        <v>18</v>
      </c>
      <c r="J102" s="818" t="s">
        <v>18</v>
      </c>
      <c r="K102" s="818" t="s">
        <v>18</v>
      </c>
      <c r="L102" s="818" t="s">
        <v>18</v>
      </c>
      <c r="M102" s="818" t="s">
        <v>18</v>
      </c>
      <c r="N102" s="818" t="s">
        <v>18</v>
      </c>
      <c r="O102" s="818" t="s">
        <v>18</v>
      </c>
      <c r="P102" s="818" t="s">
        <v>18</v>
      </c>
      <c r="Q102" s="818" t="s">
        <v>18</v>
      </c>
      <c r="R102" s="818" t="s">
        <v>18</v>
      </c>
      <c r="S102" s="818" t="s">
        <v>18</v>
      </c>
      <c r="T102" s="818" t="s">
        <v>18</v>
      </c>
      <c r="U102" s="818" t="s">
        <v>18</v>
      </c>
      <c r="V102" s="818" t="s">
        <v>18</v>
      </c>
      <c r="W102" s="818" t="s">
        <v>18</v>
      </c>
      <c r="X102" s="811">
        <v>80075</v>
      </c>
      <c r="Y102" s="811">
        <v>37147</v>
      </c>
    </row>
    <row r="103" spans="1:25" hidden="1" x14ac:dyDescent="0.25">
      <c r="A103" s="819" t="s">
        <v>103</v>
      </c>
      <c r="B103" s="849" t="s">
        <v>254</v>
      </c>
      <c r="C103" s="811">
        <v>132400</v>
      </c>
      <c r="D103" s="857">
        <v>511</v>
      </c>
      <c r="E103" s="811">
        <v>67656</v>
      </c>
      <c r="F103" s="811">
        <v>148255</v>
      </c>
      <c r="G103" s="811">
        <v>600</v>
      </c>
      <c r="H103" s="811">
        <v>99054</v>
      </c>
      <c r="I103" s="811">
        <v>21000</v>
      </c>
      <c r="J103" s="811">
        <v>400</v>
      </c>
      <c r="K103" s="811">
        <v>8400</v>
      </c>
      <c r="L103" s="811">
        <v>423</v>
      </c>
      <c r="M103" s="811">
        <v>2000</v>
      </c>
      <c r="N103" s="811">
        <v>846</v>
      </c>
      <c r="O103" s="811">
        <v>20000</v>
      </c>
      <c r="P103" s="811">
        <v>600</v>
      </c>
      <c r="Q103" s="811">
        <v>16750</v>
      </c>
      <c r="R103" s="818" t="s">
        <v>18</v>
      </c>
      <c r="S103" s="818" t="s">
        <v>18</v>
      </c>
      <c r="T103" s="818" t="s">
        <v>18</v>
      </c>
      <c r="U103" s="818" t="s">
        <v>18</v>
      </c>
      <c r="V103" s="818" t="s">
        <v>18</v>
      </c>
      <c r="W103" s="818" t="s">
        <v>18</v>
      </c>
      <c r="X103" s="811">
        <v>322078</v>
      </c>
      <c r="Y103" s="811">
        <v>192706</v>
      </c>
    </row>
    <row r="104" spans="1:25" hidden="1" x14ac:dyDescent="0.25">
      <c r="A104" s="819" t="s">
        <v>20</v>
      </c>
      <c r="B104" s="849" t="s">
        <v>254</v>
      </c>
      <c r="C104" s="811">
        <v>26500</v>
      </c>
      <c r="D104" s="857">
        <v>538</v>
      </c>
      <c r="E104" s="811">
        <v>14257</v>
      </c>
      <c r="F104" s="811">
        <v>6200</v>
      </c>
      <c r="G104" s="811">
        <v>550</v>
      </c>
      <c r="H104" s="811">
        <v>34100</v>
      </c>
      <c r="I104" s="811">
        <v>2328</v>
      </c>
      <c r="J104" s="811">
        <v>600</v>
      </c>
      <c r="K104" s="811">
        <v>1397</v>
      </c>
      <c r="L104" s="811">
        <v>450</v>
      </c>
      <c r="M104" s="811">
        <v>1200</v>
      </c>
      <c r="N104" s="811">
        <v>540</v>
      </c>
      <c r="O104" s="811">
        <v>25000</v>
      </c>
      <c r="P104" s="811">
        <v>670</v>
      </c>
      <c r="Q104" s="818" t="s">
        <v>18</v>
      </c>
      <c r="R104" s="818" t="s">
        <v>18</v>
      </c>
      <c r="S104" s="818" t="s">
        <v>18</v>
      </c>
      <c r="T104" s="818" t="s">
        <v>18</v>
      </c>
      <c r="U104" s="818" t="s">
        <v>18</v>
      </c>
      <c r="V104" s="818" t="s">
        <v>18</v>
      </c>
      <c r="W104" s="818" t="s">
        <v>18</v>
      </c>
      <c r="X104" s="811">
        <v>116278</v>
      </c>
      <c r="Y104" s="811">
        <v>79630</v>
      </c>
    </row>
    <row r="105" spans="1:25" hidden="1" x14ac:dyDescent="0.25">
      <c r="A105" s="819" t="s">
        <v>21</v>
      </c>
      <c r="B105" s="849" t="s">
        <v>254</v>
      </c>
      <c r="C105" s="811">
        <v>24900</v>
      </c>
      <c r="D105" s="857">
        <v>100</v>
      </c>
      <c r="E105" s="811">
        <v>2490</v>
      </c>
      <c r="F105" s="818" t="s">
        <v>18</v>
      </c>
      <c r="G105" s="818" t="s">
        <v>18</v>
      </c>
      <c r="H105" s="818" t="s">
        <v>18</v>
      </c>
      <c r="I105" s="818" t="s">
        <v>18</v>
      </c>
      <c r="J105" s="818" t="s">
        <v>18</v>
      </c>
      <c r="K105" s="818" t="s">
        <v>18</v>
      </c>
      <c r="L105" s="818" t="s">
        <v>18</v>
      </c>
      <c r="M105" s="818" t="s">
        <v>18</v>
      </c>
      <c r="N105" s="818" t="s">
        <v>18</v>
      </c>
      <c r="O105" s="818" t="s">
        <v>18</v>
      </c>
      <c r="P105" s="818" t="s">
        <v>18</v>
      </c>
      <c r="Q105" s="818" t="s">
        <v>18</v>
      </c>
      <c r="R105" s="818" t="s">
        <v>18</v>
      </c>
      <c r="S105" s="818" t="s">
        <v>18</v>
      </c>
      <c r="T105" s="818" t="s">
        <v>18</v>
      </c>
      <c r="U105" s="818" t="s">
        <v>18</v>
      </c>
      <c r="V105" s="818" t="s">
        <v>18</v>
      </c>
      <c r="W105" s="818" t="s">
        <v>18</v>
      </c>
      <c r="X105" s="811">
        <v>24900</v>
      </c>
      <c r="Y105" s="811">
        <v>2490</v>
      </c>
    </row>
    <row r="106" spans="1:25" hidden="1" x14ac:dyDescent="0.25">
      <c r="A106" s="819" t="s">
        <v>22</v>
      </c>
      <c r="B106" s="849" t="s">
        <v>254</v>
      </c>
      <c r="C106" s="811">
        <v>16900</v>
      </c>
      <c r="D106" s="857">
        <v>333</v>
      </c>
      <c r="E106" s="811">
        <v>5627</v>
      </c>
      <c r="F106" s="818" t="s">
        <v>18</v>
      </c>
      <c r="G106" s="818" t="s">
        <v>18</v>
      </c>
      <c r="H106" s="818" t="s">
        <v>18</v>
      </c>
      <c r="I106" s="811">
        <v>29150</v>
      </c>
      <c r="J106" s="811">
        <v>691</v>
      </c>
      <c r="K106" s="811">
        <v>25972</v>
      </c>
      <c r="L106" s="818" t="s">
        <v>18</v>
      </c>
      <c r="M106" s="818" t="s">
        <v>18</v>
      </c>
      <c r="N106" s="818" t="s">
        <v>18</v>
      </c>
      <c r="O106" s="818" t="s">
        <v>18</v>
      </c>
      <c r="P106" s="811"/>
      <c r="Q106" s="818" t="s">
        <v>18</v>
      </c>
      <c r="R106" s="811">
        <v>2000</v>
      </c>
      <c r="S106" s="811">
        <v>2000</v>
      </c>
      <c r="T106" s="811">
        <v>4000</v>
      </c>
      <c r="U106" s="818" t="s">
        <v>18</v>
      </c>
      <c r="V106" s="818" t="s">
        <v>18</v>
      </c>
      <c r="W106" s="818" t="s">
        <v>18</v>
      </c>
      <c r="X106" s="811">
        <v>48050</v>
      </c>
      <c r="Y106" s="811">
        <v>35599</v>
      </c>
    </row>
    <row r="107" spans="1:25" hidden="1" x14ac:dyDescent="0.25">
      <c r="A107" s="819" t="s">
        <v>23</v>
      </c>
      <c r="B107" s="849" t="s">
        <v>254</v>
      </c>
      <c r="C107" s="811">
        <v>124700</v>
      </c>
      <c r="D107" s="857">
        <v>564</v>
      </c>
      <c r="E107" s="811">
        <v>70330</v>
      </c>
      <c r="F107" s="811">
        <v>75700</v>
      </c>
      <c r="G107" s="811">
        <v>765</v>
      </c>
      <c r="H107" s="811">
        <v>49659</v>
      </c>
      <c r="I107" s="818" t="s">
        <v>18</v>
      </c>
      <c r="J107" s="818" t="s">
        <v>18</v>
      </c>
      <c r="K107" s="818" t="s">
        <v>18</v>
      </c>
      <c r="L107" s="811">
        <v>7700</v>
      </c>
      <c r="M107" s="811">
        <v>470</v>
      </c>
      <c r="N107" s="811">
        <v>3618</v>
      </c>
      <c r="O107" s="818" t="s">
        <v>18</v>
      </c>
      <c r="P107" s="818" t="s">
        <v>18</v>
      </c>
      <c r="Q107" s="818" t="s">
        <v>18</v>
      </c>
      <c r="R107" s="818" t="s">
        <v>18</v>
      </c>
      <c r="S107" s="818" t="s">
        <v>18</v>
      </c>
      <c r="T107" s="818" t="s">
        <v>18</v>
      </c>
      <c r="U107" s="818" t="s">
        <v>18</v>
      </c>
      <c r="V107" s="818" t="s">
        <v>18</v>
      </c>
      <c r="W107" s="818" t="s">
        <v>18</v>
      </c>
      <c r="X107" s="811">
        <v>208100</v>
      </c>
      <c r="Y107" s="811">
        <v>123608</v>
      </c>
    </row>
    <row r="108" spans="1:25" hidden="1" x14ac:dyDescent="0.25">
      <c r="A108" s="819" t="s">
        <v>24</v>
      </c>
      <c r="B108" s="849" t="s">
        <v>254</v>
      </c>
      <c r="C108" s="811">
        <v>7800</v>
      </c>
      <c r="D108" s="857">
        <v>700</v>
      </c>
      <c r="E108" s="811">
        <v>5460</v>
      </c>
      <c r="F108" s="811">
        <v>30000</v>
      </c>
      <c r="G108" s="811">
        <v>900</v>
      </c>
      <c r="H108" s="811">
        <v>27000</v>
      </c>
      <c r="I108" s="811">
        <v>8800</v>
      </c>
      <c r="J108" s="811">
        <v>1000</v>
      </c>
      <c r="K108" s="811">
        <v>8800</v>
      </c>
      <c r="L108" s="811">
        <v>1800</v>
      </c>
      <c r="M108" s="811">
        <v>2000</v>
      </c>
      <c r="N108" s="811">
        <v>3000</v>
      </c>
      <c r="O108" s="811">
        <v>10000</v>
      </c>
      <c r="P108" s="811">
        <v>1000</v>
      </c>
      <c r="Q108" s="811">
        <v>10000</v>
      </c>
      <c r="R108" s="818" t="s">
        <v>18</v>
      </c>
      <c r="S108" s="818" t="s">
        <v>18</v>
      </c>
      <c r="T108" s="818" t="s">
        <v>18</v>
      </c>
      <c r="U108" s="818" t="s">
        <v>18</v>
      </c>
      <c r="V108" s="818" t="s">
        <v>18</v>
      </c>
      <c r="W108" s="818" t="s">
        <v>18</v>
      </c>
      <c r="X108" s="811">
        <v>148400</v>
      </c>
      <c r="Y108" s="811">
        <v>144860</v>
      </c>
    </row>
    <row r="109" spans="1:25" hidden="1" x14ac:dyDescent="0.25">
      <c r="A109" s="819" t="s">
        <v>26</v>
      </c>
      <c r="B109" s="849" t="s">
        <v>254</v>
      </c>
      <c r="C109" s="811">
        <v>17300</v>
      </c>
      <c r="D109" s="857">
        <v>405</v>
      </c>
      <c r="E109" s="811">
        <v>7006</v>
      </c>
      <c r="F109" s="811">
        <v>115600</v>
      </c>
      <c r="G109" s="811">
        <v>850</v>
      </c>
      <c r="H109" s="811">
        <v>98260</v>
      </c>
      <c r="I109" s="811">
        <v>20000</v>
      </c>
      <c r="J109" s="811">
        <v>600</v>
      </c>
      <c r="K109" s="811">
        <v>12000</v>
      </c>
      <c r="L109" s="811">
        <v>28000</v>
      </c>
      <c r="M109" s="811">
        <v>1503</v>
      </c>
      <c r="N109" s="811">
        <v>42084</v>
      </c>
      <c r="O109" s="811">
        <v>10000</v>
      </c>
      <c r="P109" s="811">
        <v>800</v>
      </c>
      <c r="Q109" s="811">
        <v>8000</v>
      </c>
      <c r="R109" s="818" t="s">
        <v>18</v>
      </c>
      <c r="S109" s="818" t="s">
        <v>18</v>
      </c>
      <c r="T109" s="818" t="s">
        <v>18</v>
      </c>
      <c r="U109" s="818" t="s">
        <v>18</v>
      </c>
      <c r="V109" s="818" t="s">
        <v>18</v>
      </c>
      <c r="W109" s="818" t="s">
        <v>18</v>
      </c>
      <c r="X109" s="811">
        <v>190900</v>
      </c>
      <c r="Y109" s="811">
        <v>167350</v>
      </c>
    </row>
    <row r="110" spans="1:25" hidden="1" x14ac:dyDescent="0.25">
      <c r="A110" s="819" t="s">
        <v>27</v>
      </c>
      <c r="B110" s="849" t="s">
        <v>254</v>
      </c>
      <c r="C110" s="811">
        <v>41500</v>
      </c>
      <c r="D110" s="857">
        <v>660</v>
      </c>
      <c r="E110" s="811">
        <v>27390</v>
      </c>
      <c r="F110" s="811">
        <v>70000</v>
      </c>
      <c r="G110" s="811">
        <v>500</v>
      </c>
      <c r="H110" s="811">
        <v>31500</v>
      </c>
      <c r="I110" s="811">
        <v>13800</v>
      </c>
      <c r="J110" s="811">
        <v>550</v>
      </c>
      <c r="K110" s="811">
        <v>7590</v>
      </c>
      <c r="L110" s="811">
        <v>30400</v>
      </c>
      <c r="M110" s="811">
        <v>1302</v>
      </c>
      <c r="N110" s="811">
        <v>39580</v>
      </c>
      <c r="O110" s="811">
        <v>1500</v>
      </c>
      <c r="P110" s="811">
        <v>600</v>
      </c>
      <c r="Q110" s="811">
        <v>900</v>
      </c>
      <c r="R110" s="818" t="s">
        <v>18</v>
      </c>
      <c r="S110" s="818" t="s">
        <v>18</v>
      </c>
      <c r="T110" s="818" t="s">
        <v>18</v>
      </c>
      <c r="U110" s="818" t="s">
        <v>18</v>
      </c>
      <c r="V110" s="818" t="s">
        <v>18</v>
      </c>
      <c r="W110" s="818" t="s">
        <v>18</v>
      </c>
      <c r="X110" s="811">
        <v>157200</v>
      </c>
      <c r="Y110" s="811">
        <v>106960</v>
      </c>
    </row>
    <row r="111" spans="1:25" hidden="1" x14ac:dyDescent="0.25">
      <c r="A111" s="819" t="s">
        <v>50</v>
      </c>
      <c r="B111" s="849" t="s">
        <v>254</v>
      </c>
      <c r="C111" s="811">
        <v>15600</v>
      </c>
      <c r="D111" s="857">
        <v>381</v>
      </c>
      <c r="E111" s="811">
        <v>5943</v>
      </c>
      <c r="F111" s="811">
        <v>27200</v>
      </c>
      <c r="G111" s="811">
        <v>600</v>
      </c>
      <c r="H111" s="811">
        <v>18876</v>
      </c>
      <c r="I111" s="811">
        <v>2800</v>
      </c>
      <c r="J111" s="811">
        <v>997</v>
      </c>
      <c r="K111" s="811">
        <v>2791</v>
      </c>
      <c r="L111" s="811">
        <v>4060</v>
      </c>
      <c r="M111" s="811">
        <v>1300</v>
      </c>
      <c r="N111" s="811">
        <v>5278</v>
      </c>
      <c r="O111" s="819" t="s">
        <v>18</v>
      </c>
      <c r="P111" s="818" t="s">
        <v>18</v>
      </c>
      <c r="Q111" s="818" t="s">
        <v>18</v>
      </c>
      <c r="R111" s="818" t="s">
        <v>18</v>
      </c>
      <c r="S111" s="818" t="s">
        <v>18</v>
      </c>
      <c r="T111" s="818" t="s">
        <v>18</v>
      </c>
      <c r="U111" s="811">
        <v>1000</v>
      </c>
      <c r="V111" s="811">
        <v>350</v>
      </c>
      <c r="W111" s="811">
        <v>350</v>
      </c>
      <c r="X111" s="811">
        <v>50660</v>
      </c>
      <c r="Y111" s="811">
        <v>33238</v>
      </c>
    </row>
    <row r="112" spans="1:25" hidden="1" x14ac:dyDescent="0.25">
      <c r="A112" s="888" t="s">
        <v>163</v>
      </c>
      <c r="B112" s="849" t="s">
        <v>254</v>
      </c>
      <c r="C112" s="811">
        <v>30500</v>
      </c>
      <c r="D112" s="857">
        <v>637</v>
      </c>
      <c r="E112" s="811">
        <v>19428</v>
      </c>
      <c r="F112" s="811">
        <v>33300</v>
      </c>
      <c r="G112" s="811">
        <v>750</v>
      </c>
      <c r="H112" s="811">
        <v>21445</v>
      </c>
      <c r="I112" s="811">
        <v>8360</v>
      </c>
      <c r="J112" s="811">
        <v>673</v>
      </c>
      <c r="K112" s="811">
        <v>5626</v>
      </c>
      <c r="L112" s="811">
        <v>24630</v>
      </c>
      <c r="M112" s="811">
        <v>1250</v>
      </c>
      <c r="N112" s="811">
        <v>30787</v>
      </c>
      <c r="O112" s="819" t="s">
        <v>18</v>
      </c>
      <c r="P112" s="818" t="s">
        <v>18</v>
      </c>
      <c r="Q112" s="818" t="s">
        <v>18</v>
      </c>
      <c r="R112" s="818" t="s">
        <v>18</v>
      </c>
      <c r="S112" s="818" t="s">
        <v>18</v>
      </c>
      <c r="T112" s="818" t="s">
        <v>18</v>
      </c>
      <c r="U112" s="818" t="s">
        <v>18</v>
      </c>
      <c r="V112" s="818" t="s">
        <v>18</v>
      </c>
      <c r="W112" s="818" t="s">
        <v>18</v>
      </c>
      <c r="X112" s="811">
        <v>96790</v>
      </c>
      <c r="Y112" s="811">
        <v>77286</v>
      </c>
    </row>
    <row r="113" spans="1:25" hidden="1" x14ac:dyDescent="0.25">
      <c r="A113" s="864" t="s">
        <v>52</v>
      </c>
      <c r="B113" s="849" t="s">
        <v>254</v>
      </c>
      <c r="C113" s="811">
        <v>75760</v>
      </c>
      <c r="D113" s="857">
        <v>645</v>
      </c>
      <c r="E113" s="811">
        <v>48865</v>
      </c>
      <c r="F113" s="811">
        <v>70200</v>
      </c>
      <c r="G113" s="811">
        <v>640</v>
      </c>
      <c r="H113" s="811">
        <v>52158</v>
      </c>
      <c r="I113" s="811">
        <v>12100</v>
      </c>
      <c r="J113" s="811">
        <v>973</v>
      </c>
      <c r="K113" s="811">
        <v>11773</v>
      </c>
      <c r="L113" s="811">
        <v>6340</v>
      </c>
      <c r="M113" s="811">
        <v>1348</v>
      </c>
      <c r="N113" s="811">
        <v>8546</v>
      </c>
      <c r="O113" s="811">
        <v>11500</v>
      </c>
      <c r="P113" s="811">
        <v>700</v>
      </c>
      <c r="Q113" s="811">
        <v>8050</v>
      </c>
      <c r="R113" s="818" t="s">
        <v>18</v>
      </c>
      <c r="S113" s="818" t="s">
        <v>18</v>
      </c>
      <c r="T113" s="818" t="s">
        <v>18</v>
      </c>
      <c r="U113" s="818" t="s">
        <v>18</v>
      </c>
      <c r="V113" s="818" t="s">
        <v>18</v>
      </c>
      <c r="W113" s="818" t="s">
        <v>18</v>
      </c>
      <c r="X113" s="811">
        <v>175900</v>
      </c>
      <c r="Y113" s="811">
        <v>129392</v>
      </c>
    </row>
    <row r="114" spans="1:25" s="729" customFormat="1" hidden="1" x14ac:dyDescent="0.25">
      <c r="A114" s="819" t="s">
        <v>15</v>
      </c>
      <c r="B114" s="849" t="s">
        <v>255</v>
      </c>
      <c r="C114" s="811">
        <v>144200</v>
      </c>
      <c r="D114" s="857">
        <v>484</v>
      </c>
      <c r="E114" s="811">
        <v>69740</v>
      </c>
      <c r="F114" s="811">
        <v>62000</v>
      </c>
      <c r="G114" s="811">
        <v>460</v>
      </c>
      <c r="H114" s="811">
        <v>28545</v>
      </c>
      <c r="I114" s="818" t="s">
        <v>18</v>
      </c>
      <c r="J114" s="818" t="s">
        <v>18</v>
      </c>
      <c r="K114" s="818" t="s">
        <v>18</v>
      </c>
      <c r="L114" s="818" t="s">
        <v>18</v>
      </c>
      <c r="M114" s="818" t="s">
        <v>18</v>
      </c>
      <c r="N114" s="818" t="s">
        <v>18</v>
      </c>
      <c r="O114" s="811">
        <v>26700</v>
      </c>
      <c r="P114" s="811">
        <v>600</v>
      </c>
      <c r="Q114" s="811">
        <v>16020</v>
      </c>
      <c r="R114" s="818" t="s">
        <v>18</v>
      </c>
      <c r="S114" s="818" t="s">
        <v>18</v>
      </c>
      <c r="T114" s="818" t="s">
        <v>18</v>
      </c>
      <c r="U114" s="818" t="s">
        <v>18</v>
      </c>
      <c r="V114" s="818" t="s">
        <v>18</v>
      </c>
      <c r="W114" s="818" t="s">
        <v>18</v>
      </c>
      <c r="X114" s="811">
        <v>232900</v>
      </c>
      <c r="Y114" s="811">
        <v>114305</v>
      </c>
    </row>
    <row r="115" spans="1:25" s="729" customFormat="1" hidden="1" x14ac:dyDescent="0.25">
      <c r="A115" s="864" t="s">
        <v>16</v>
      </c>
      <c r="B115" s="849" t="s">
        <v>255</v>
      </c>
      <c r="C115" s="818"/>
      <c r="D115" s="857"/>
      <c r="E115" s="818"/>
      <c r="F115" s="818"/>
      <c r="G115" s="818"/>
      <c r="H115" s="818"/>
      <c r="I115" s="818"/>
      <c r="J115" s="818"/>
      <c r="K115" s="818"/>
      <c r="L115" s="818"/>
      <c r="M115" s="818"/>
      <c r="N115" s="818"/>
      <c r="O115" s="818"/>
      <c r="P115" s="818"/>
      <c r="Q115" s="818"/>
      <c r="R115" s="818"/>
      <c r="S115" s="818"/>
      <c r="T115" s="818"/>
      <c r="U115" s="818"/>
      <c r="V115" s="818"/>
      <c r="W115" s="818"/>
      <c r="X115" s="818"/>
      <c r="Y115" s="818"/>
    </row>
    <row r="116" spans="1:25" s="729" customFormat="1" hidden="1" x14ac:dyDescent="0.25">
      <c r="A116" s="819" t="s">
        <v>17</v>
      </c>
      <c r="B116" s="849" t="s">
        <v>255</v>
      </c>
      <c r="C116" s="811">
        <v>86250</v>
      </c>
      <c r="D116" s="857">
        <v>452</v>
      </c>
      <c r="E116" s="811">
        <v>39060</v>
      </c>
      <c r="F116" s="811">
        <v>13000</v>
      </c>
      <c r="G116" s="811">
        <v>461</v>
      </c>
      <c r="H116" s="811">
        <v>6000</v>
      </c>
      <c r="I116" s="818" t="s">
        <v>18</v>
      </c>
      <c r="J116" s="818" t="s">
        <v>18</v>
      </c>
      <c r="K116" s="818" t="s">
        <v>18</v>
      </c>
      <c r="L116" s="818" t="s">
        <v>18</v>
      </c>
      <c r="M116" s="818" t="s">
        <v>18</v>
      </c>
      <c r="N116" s="818" t="s">
        <v>18</v>
      </c>
      <c r="O116" s="818" t="s">
        <v>18</v>
      </c>
      <c r="P116" s="818" t="s">
        <v>18</v>
      </c>
      <c r="Q116" s="818" t="s">
        <v>18</v>
      </c>
      <c r="R116" s="818" t="s">
        <v>18</v>
      </c>
      <c r="S116" s="818" t="s">
        <v>18</v>
      </c>
      <c r="T116" s="818" t="s">
        <v>18</v>
      </c>
      <c r="U116" s="818" t="s">
        <v>18</v>
      </c>
      <c r="V116" s="818" t="s">
        <v>18</v>
      </c>
      <c r="W116" s="818" t="s">
        <v>18</v>
      </c>
      <c r="X116" s="811">
        <v>99250</v>
      </c>
      <c r="Y116" s="811">
        <v>45060</v>
      </c>
    </row>
    <row r="117" spans="1:25" s="729" customFormat="1" hidden="1" x14ac:dyDescent="0.25">
      <c r="A117" s="819" t="s">
        <v>103</v>
      </c>
      <c r="B117" s="849" t="s">
        <v>255</v>
      </c>
      <c r="C117" s="811">
        <v>145000</v>
      </c>
      <c r="D117" s="857">
        <v>550</v>
      </c>
      <c r="E117" s="811">
        <v>79750</v>
      </c>
      <c r="F117" s="811">
        <v>129500</v>
      </c>
      <c r="G117" s="811">
        <v>995</v>
      </c>
      <c r="H117" s="811">
        <v>128954</v>
      </c>
      <c r="I117" s="811">
        <v>10000</v>
      </c>
      <c r="J117" s="811">
        <v>2700</v>
      </c>
      <c r="K117" s="811">
        <v>27000</v>
      </c>
      <c r="L117" s="811">
        <v>4300</v>
      </c>
      <c r="M117" s="811">
        <v>3400</v>
      </c>
      <c r="N117" s="811">
        <v>14520</v>
      </c>
      <c r="O117" s="811">
        <v>23000</v>
      </c>
      <c r="P117" s="811">
        <v>800</v>
      </c>
      <c r="Q117" s="811">
        <v>18400</v>
      </c>
      <c r="R117" s="818" t="s">
        <v>18</v>
      </c>
      <c r="S117" s="818" t="s">
        <v>18</v>
      </c>
      <c r="T117" s="818" t="s">
        <v>18</v>
      </c>
      <c r="U117" s="818" t="s">
        <v>18</v>
      </c>
      <c r="V117" s="818" t="s">
        <v>18</v>
      </c>
      <c r="W117" s="818" t="s">
        <v>18</v>
      </c>
      <c r="X117" s="811">
        <v>311800</v>
      </c>
      <c r="Y117" s="811">
        <v>268624</v>
      </c>
    </row>
    <row r="118" spans="1:25" s="729" customFormat="1" hidden="1" x14ac:dyDescent="0.25">
      <c r="A118" s="819" t="s">
        <v>20</v>
      </c>
      <c r="B118" s="849" t="s">
        <v>255</v>
      </c>
      <c r="C118" s="811">
        <v>43356</v>
      </c>
      <c r="D118" s="857">
        <v>700</v>
      </c>
      <c r="E118" s="811">
        <v>30349</v>
      </c>
      <c r="F118" s="811">
        <v>71520</v>
      </c>
      <c r="G118" s="811">
        <v>909</v>
      </c>
      <c r="H118" s="811">
        <v>65016</v>
      </c>
      <c r="I118" s="811">
        <v>3012</v>
      </c>
      <c r="J118" s="811">
        <v>500</v>
      </c>
      <c r="K118" s="811">
        <v>1506</v>
      </c>
      <c r="L118" s="811">
        <v>189</v>
      </c>
      <c r="M118" s="811">
        <v>1200</v>
      </c>
      <c r="N118" s="811">
        <v>227</v>
      </c>
      <c r="O118" s="811">
        <v>37116</v>
      </c>
      <c r="P118" s="811">
        <v>900</v>
      </c>
      <c r="Q118" s="811">
        <v>33404</v>
      </c>
      <c r="R118" s="818" t="s">
        <v>18</v>
      </c>
      <c r="S118" s="818" t="s">
        <v>18</v>
      </c>
      <c r="T118" s="818" t="s">
        <v>18</v>
      </c>
      <c r="U118" s="818" t="s">
        <v>18</v>
      </c>
      <c r="V118" s="818" t="s">
        <v>18</v>
      </c>
      <c r="W118" s="818" t="s">
        <v>18</v>
      </c>
      <c r="X118" s="811">
        <v>155193</v>
      </c>
      <c r="Y118" s="811">
        <v>130502</v>
      </c>
    </row>
    <row r="119" spans="1:25" s="729" customFormat="1" hidden="1" x14ac:dyDescent="0.25">
      <c r="A119" s="819" t="s">
        <v>21</v>
      </c>
      <c r="B119" s="849" t="s">
        <v>255</v>
      </c>
      <c r="C119" s="811">
        <v>40000</v>
      </c>
      <c r="D119" s="857">
        <v>400</v>
      </c>
      <c r="E119" s="811">
        <v>16000</v>
      </c>
      <c r="F119" s="856"/>
      <c r="G119" s="856"/>
      <c r="H119" s="856"/>
      <c r="I119" s="856"/>
      <c r="J119" s="856"/>
      <c r="K119" s="856"/>
      <c r="L119" s="818" t="s">
        <v>18</v>
      </c>
      <c r="M119" s="818" t="s">
        <v>18</v>
      </c>
      <c r="N119" s="818" t="s">
        <v>18</v>
      </c>
      <c r="O119" s="818" t="s">
        <v>18</v>
      </c>
      <c r="P119" s="818" t="s">
        <v>18</v>
      </c>
      <c r="Q119" s="818" t="s">
        <v>18</v>
      </c>
      <c r="R119" s="818" t="s">
        <v>18</v>
      </c>
      <c r="S119" s="818" t="s">
        <v>18</v>
      </c>
      <c r="T119" s="818" t="s">
        <v>18</v>
      </c>
      <c r="U119" s="818" t="s">
        <v>18</v>
      </c>
      <c r="V119" s="818" t="s">
        <v>18</v>
      </c>
      <c r="W119" s="818" t="s">
        <v>18</v>
      </c>
      <c r="X119" s="811">
        <v>40000</v>
      </c>
      <c r="Y119" s="811">
        <v>16000</v>
      </c>
    </row>
    <row r="120" spans="1:25" s="729" customFormat="1" hidden="1" x14ac:dyDescent="0.25">
      <c r="A120" s="819" t="s">
        <v>22</v>
      </c>
      <c r="B120" s="849" t="s">
        <v>255</v>
      </c>
      <c r="C120" s="811">
        <v>67328</v>
      </c>
      <c r="D120" s="857">
        <v>734</v>
      </c>
      <c r="E120" s="811">
        <v>40025</v>
      </c>
      <c r="F120" s="811">
        <v>560</v>
      </c>
      <c r="G120" s="811">
        <v>903</v>
      </c>
      <c r="H120" s="811">
        <v>505</v>
      </c>
      <c r="I120" s="811">
        <v>30484</v>
      </c>
      <c r="J120" s="811">
        <v>1313</v>
      </c>
      <c r="K120" s="811">
        <v>34747</v>
      </c>
      <c r="L120" s="818" t="s">
        <v>18</v>
      </c>
      <c r="M120" s="818" t="s">
        <v>18</v>
      </c>
      <c r="N120" s="818" t="s">
        <v>18</v>
      </c>
      <c r="O120" s="818" t="s">
        <v>18</v>
      </c>
      <c r="P120" s="818" t="s">
        <v>18</v>
      </c>
      <c r="Q120" s="818" t="s">
        <v>18</v>
      </c>
      <c r="R120" s="811">
        <v>1700</v>
      </c>
      <c r="S120" s="811">
        <v>1700</v>
      </c>
      <c r="T120" s="811">
        <v>2890</v>
      </c>
      <c r="U120" s="818" t="s">
        <v>18</v>
      </c>
      <c r="V120" s="818" t="s">
        <v>18</v>
      </c>
      <c r="W120" s="818" t="s">
        <v>18</v>
      </c>
      <c r="X120" s="811">
        <v>100072</v>
      </c>
      <c r="Y120" s="811">
        <v>78167</v>
      </c>
    </row>
    <row r="121" spans="1:25" s="729" customFormat="1" hidden="1" x14ac:dyDescent="0.25">
      <c r="A121" s="819" t="s">
        <v>23</v>
      </c>
      <c r="B121" s="849" t="s">
        <v>255</v>
      </c>
      <c r="C121" s="811">
        <v>123000</v>
      </c>
      <c r="D121" s="857">
        <v>750</v>
      </c>
      <c r="E121" s="811">
        <v>92300</v>
      </c>
      <c r="F121" s="811">
        <v>50000</v>
      </c>
      <c r="G121" s="811">
        <v>864</v>
      </c>
      <c r="H121" s="811">
        <v>43200</v>
      </c>
      <c r="I121" s="856"/>
      <c r="J121" s="856"/>
      <c r="K121" s="856"/>
      <c r="L121" s="811">
        <v>700</v>
      </c>
      <c r="M121" s="811">
        <v>3500</v>
      </c>
      <c r="N121" s="811">
        <v>2450</v>
      </c>
      <c r="O121" s="818" t="s">
        <v>18</v>
      </c>
      <c r="P121" s="818" t="s">
        <v>18</v>
      </c>
      <c r="Q121" s="818" t="s">
        <v>18</v>
      </c>
      <c r="R121" s="818" t="s">
        <v>18</v>
      </c>
      <c r="S121" s="818" t="s">
        <v>18</v>
      </c>
      <c r="T121" s="818" t="s">
        <v>18</v>
      </c>
      <c r="U121" s="818" t="s">
        <v>18</v>
      </c>
      <c r="V121" s="818" t="s">
        <v>18</v>
      </c>
      <c r="W121" s="818" t="s">
        <v>18</v>
      </c>
      <c r="X121" s="811">
        <v>173700</v>
      </c>
      <c r="Y121" s="811">
        <v>137950</v>
      </c>
    </row>
    <row r="122" spans="1:25" s="729" customFormat="1" hidden="1" x14ac:dyDescent="0.25">
      <c r="A122" s="819" t="s">
        <v>24</v>
      </c>
      <c r="B122" s="849" t="s">
        <v>255</v>
      </c>
      <c r="C122" s="811">
        <v>5031</v>
      </c>
      <c r="D122" s="857">
        <v>680</v>
      </c>
      <c r="E122" s="811">
        <v>3425</v>
      </c>
      <c r="F122" s="811">
        <v>26845</v>
      </c>
      <c r="G122" s="811">
        <v>1168</v>
      </c>
      <c r="H122" s="811">
        <v>31380</v>
      </c>
      <c r="I122" s="811">
        <v>3365</v>
      </c>
      <c r="J122" s="811">
        <v>1960</v>
      </c>
      <c r="K122" s="811">
        <v>6596</v>
      </c>
      <c r="L122" s="811">
        <v>1242</v>
      </c>
      <c r="M122" s="811">
        <v>2378</v>
      </c>
      <c r="N122" s="811">
        <v>2954</v>
      </c>
      <c r="O122" s="811">
        <v>196570</v>
      </c>
      <c r="P122" s="811">
        <v>1042</v>
      </c>
      <c r="Q122" s="811">
        <v>204870</v>
      </c>
      <c r="R122" s="818" t="s">
        <v>18</v>
      </c>
      <c r="S122" s="818" t="s">
        <v>18</v>
      </c>
      <c r="T122" s="818" t="s">
        <v>18</v>
      </c>
      <c r="U122" s="818" t="s">
        <v>18</v>
      </c>
      <c r="V122" s="818" t="s">
        <v>18</v>
      </c>
      <c r="W122" s="818" t="s">
        <v>18</v>
      </c>
      <c r="X122" s="811">
        <v>233053</v>
      </c>
      <c r="Y122" s="811">
        <v>249225</v>
      </c>
    </row>
    <row r="123" spans="1:25" s="729" customFormat="1" hidden="1" x14ac:dyDescent="0.25">
      <c r="A123" s="819" t="s">
        <v>26</v>
      </c>
      <c r="B123" s="849" t="s">
        <v>255</v>
      </c>
      <c r="C123" s="811">
        <v>28835</v>
      </c>
      <c r="D123" s="857">
        <v>800</v>
      </c>
      <c r="E123" s="811">
        <v>23087</v>
      </c>
      <c r="F123" s="811">
        <v>102718</v>
      </c>
      <c r="G123" s="811">
        <v>855</v>
      </c>
      <c r="H123" s="811">
        <v>87839</v>
      </c>
      <c r="I123" s="811">
        <v>16914</v>
      </c>
      <c r="J123" s="811">
        <v>835</v>
      </c>
      <c r="K123" s="811">
        <v>14124</v>
      </c>
      <c r="L123" s="811">
        <v>34857</v>
      </c>
      <c r="M123" s="811">
        <v>1200</v>
      </c>
      <c r="N123" s="811">
        <v>40800</v>
      </c>
      <c r="O123" s="811">
        <v>10226</v>
      </c>
      <c r="P123" s="811">
        <v>800</v>
      </c>
      <c r="Q123" s="811">
        <v>8180</v>
      </c>
      <c r="R123" s="818" t="s">
        <v>18</v>
      </c>
      <c r="S123" s="818" t="s">
        <v>18</v>
      </c>
      <c r="T123" s="818" t="s">
        <v>18</v>
      </c>
      <c r="U123" s="811">
        <v>2200</v>
      </c>
      <c r="V123" s="811">
        <v>500</v>
      </c>
      <c r="W123" s="811">
        <v>1100</v>
      </c>
      <c r="X123" s="811">
        <v>195750</v>
      </c>
      <c r="Y123" s="811">
        <v>175130</v>
      </c>
    </row>
    <row r="124" spans="1:25" s="729" customFormat="1" hidden="1" x14ac:dyDescent="0.25">
      <c r="A124" s="819" t="s">
        <v>27</v>
      </c>
      <c r="B124" s="849" t="s">
        <v>255</v>
      </c>
      <c r="C124" s="811">
        <v>51361</v>
      </c>
      <c r="D124" s="857">
        <v>586</v>
      </c>
      <c r="E124" s="811">
        <v>30100</v>
      </c>
      <c r="F124" s="811">
        <v>55771</v>
      </c>
      <c r="G124" s="811">
        <v>719</v>
      </c>
      <c r="H124" s="811">
        <v>40132</v>
      </c>
      <c r="I124" s="811">
        <v>10700</v>
      </c>
      <c r="J124" s="811">
        <v>930</v>
      </c>
      <c r="K124" s="811">
        <v>9950</v>
      </c>
      <c r="L124" s="811">
        <v>33300</v>
      </c>
      <c r="M124" s="811">
        <v>782</v>
      </c>
      <c r="N124" s="811">
        <v>36630</v>
      </c>
      <c r="O124" s="811">
        <v>7000</v>
      </c>
      <c r="P124" s="811">
        <v>800</v>
      </c>
      <c r="Q124" s="811">
        <v>5600</v>
      </c>
      <c r="R124" s="818" t="s">
        <v>18</v>
      </c>
      <c r="S124" s="818" t="s">
        <v>18</v>
      </c>
      <c r="T124" s="818" t="s">
        <v>18</v>
      </c>
      <c r="U124" s="811">
        <v>2000</v>
      </c>
      <c r="V124" s="811">
        <v>500</v>
      </c>
      <c r="W124" s="811">
        <v>1000</v>
      </c>
      <c r="X124" s="811">
        <v>160132</v>
      </c>
      <c r="Y124" s="811">
        <v>123412</v>
      </c>
    </row>
    <row r="125" spans="1:25" s="729" customFormat="1" hidden="1" x14ac:dyDescent="0.25">
      <c r="A125" s="819" t="s">
        <v>50</v>
      </c>
      <c r="B125" s="849" t="s">
        <v>255</v>
      </c>
      <c r="C125" s="811">
        <v>28289</v>
      </c>
      <c r="D125" s="857">
        <v>500</v>
      </c>
      <c r="E125" s="811">
        <v>14144</v>
      </c>
      <c r="F125" s="811">
        <v>26000</v>
      </c>
      <c r="G125" s="811">
        <v>745</v>
      </c>
      <c r="H125" s="811">
        <v>19378</v>
      </c>
      <c r="I125" s="811">
        <v>7000</v>
      </c>
      <c r="J125" s="811">
        <v>890</v>
      </c>
      <c r="K125" s="811">
        <v>6230</v>
      </c>
      <c r="L125" s="811">
        <v>13280</v>
      </c>
      <c r="M125" s="811">
        <v>911</v>
      </c>
      <c r="N125" s="811">
        <v>12100</v>
      </c>
      <c r="O125" s="818" t="s">
        <v>18</v>
      </c>
      <c r="P125" s="818" t="s">
        <v>18</v>
      </c>
      <c r="Q125" s="818" t="s">
        <v>18</v>
      </c>
      <c r="R125" s="818" t="s">
        <v>18</v>
      </c>
      <c r="S125" s="818" t="s">
        <v>18</v>
      </c>
      <c r="T125" s="818" t="s">
        <v>18</v>
      </c>
      <c r="U125" s="811">
        <v>1200</v>
      </c>
      <c r="V125" s="811">
        <v>400</v>
      </c>
      <c r="W125" s="811">
        <v>480</v>
      </c>
      <c r="X125" s="811">
        <v>75769</v>
      </c>
      <c r="Y125" s="811">
        <v>52332</v>
      </c>
    </row>
    <row r="126" spans="1:25" s="729" customFormat="1" hidden="1" x14ac:dyDescent="0.25">
      <c r="A126" s="888" t="s">
        <v>163</v>
      </c>
      <c r="B126" s="849" t="s">
        <v>255</v>
      </c>
      <c r="C126" s="811">
        <v>39228</v>
      </c>
      <c r="D126" s="857">
        <v>821</v>
      </c>
      <c r="E126" s="811">
        <v>32241</v>
      </c>
      <c r="F126" s="811">
        <v>77698</v>
      </c>
      <c r="G126" s="811">
        <v>801</v>
      </c>
      <c r="H126" s="811">
        <v>62269</v>
      </c>
      <c r="I126" s="811">
        <v>9000</v>
      </c>
      <c r="J126" s="811">
        <v>800</v>
      </c>
      <c r="K126" s="811">
        <v>7200</v>
      </c>
      <c r="L126" s="811">
        <v>8700</v>
      </c>
      <c r="M126" s="811">
        <v>1000</v>
      </c>
      <c r="N126" s="811">
        <v>8700</v>
      </c>
      <c r="O126" s="811">
        <v>200</v>
      </c>
      <c r="P126" s="811">
        <v>400</v>
      </c>
      <c r="Q126" s="811">
        <v>180</v>
      </c>
      <c r="R126" s="818" t="s">
        <v>18</v>
      </c>
      <c r="S126" s="818" t="s">
        <v>18</v>
      </c>
      <c r="T126" s="818" t="s">
        <v>18</v>
      </c>
      <c r="U126" s="811">
        <v>200</v>
      </c>
      <c r="V126" s="811">
        <v>500</v>
      </c>
      <c r="W126" s="811">
        <v>100</v>
      </c>
      <c r="X126" s="811">
        <v>1350026</v>
      </c>
      <c r="Y126" s="811">
        <v>110690</v>
      </c>
    </row>
    <row r="127" spans="1:25" s="729" customFormat="1" hidden="1" x14ac:dyDescent="0.25">
      <c r="A127" s="864" t="s">
        <v>52</v>
      </c>
      <c r="B127" s="849" t="s">
        <v>255</v>
      </c>
      <c r="C127" s="811">
        <v>70178</v>
      </c>
      <c r="D127" s="857">
        <v>657</v>
      </c>
      <c r="E127" s="811">
        <v>46120</v>
      </c>
      <c r="F127" s="811">
        <v>82154</v>
      </c>
      <c r="G127" s="811">
        <v>626</v>
      </c>
      <c r="H127" s="811">
        <v>51499</v>
      </c>
      <c r="I127" s="811">
        <v>12500</v>
      </c>
      <c r="J127" s="811">
        <v>850</v>
      </c>
      <c r="K127" s="811">
        <v>10625</v>
      </c>
      <c r="L127" s="811">
        <v>9700</v>
      </c>
      <c r="M127" s="811">
        <v>896</v>
      </c>
      <c r="N127" s="811">
        <v>7643</v>
      </c>
      <c r="O127" s="811">
        <v>900</v>
      </c>
      <c r="P127" s="811">
        <v>850</v>
      </c>
      <c r="Q127" s="811">
        <v>765</v>
      </c>
      <c r="R127" s="818" t="s">
        <v>18</v>
      </c>
      <c r="S127" s="818" t="s">
        <v>18</v>
      </c>
      <c r="T127" s="818" t="s">
        <v>18</v>
      </c>
      <c r="U127" s="811">
        <v>200</v>
      </c>
      <c r="V127" s="811">
        <v>450</v>
      </c>
      <c r="W127" s="811">
        <v>90</v>
      </c>
      <c r="X127" s="811">
        <v>175632</v>
      </c>
      <c r="Y127" s="811">
        <v>116742</v>
      </c>
    </row>
    <row r="128" spans="1:25" hidden="1" x14ac:dyDescent="0.25">
      <c r="A128" s="819" t="s">
        <v>15</v>
      </c>
      <c r="B128" s="849" t="s">
        <v>256</v>
      </c>
      <c r="C128" s="811">
        <v>56153</v>
      </c>
      <c r="D128" s="857">
        <v>275</v>
      </c>
      <c r="E128" s="811">
        <v>15442</v>
      </c>
      <c r="F128" s="811">
        <v>53690</v>
      </c>
      <c r="G128" s="811">
        <v>438</v>
      </c>
      <c r="H128" s="811">
        <v>23516</v>
      </c>
      <c r="I128" s="818" t="s">
        <v>18</v>
      </c>
      <c r="J128" s="818" t="s">
        <v>18</v>
      </c>
      <c r="K128" s="818" t="s">
        <v>18</v>
      </c>
      <c r="L128" s="818" t="s">
        <v>18</v>
      </c>
      <c r="M128" s="818" t="s">
        <v>18</v>
      </c>
      <c r="N128" s="818" t="s">
        <v>18</v>
      </c>
      <c r="O128" s="811">
        <v>10400</v>
      </c>
      <c r="P128" s="811">
        <v>600</v>
      </c>
      <c r="Q128" s="811">
        <v>6240</v>
      </c>
      <c r="R128" s="856"/>
      <c r="S128" s="856"/>
      <c r="T128" s="856"/>
      <c r="U128" s="856"/>
      <c r="V128" s="856"/>
      <c r="W128" s="856"/>
      <c r="X128" s="811">
        <v>120243</v>
      </c>
      <c r="Y128" s="811">
        <v>45198</v>
      </c>
    </row>
    <row r="129" spans="1:25" hidden="1" x14ac:dyDescent="0.25">
      <c r="A129" s="864" t="s">
        <v>16</v>
      </c>
      <c r="B129" s="849" t="s">
        <v>256</v>
      </c>
      <c r="C129" s="818" t="s">
        <v>18</v>
      </c>
      <c r="D129" s="857" t="s">
        <v>18</v>
      </c>
      <c r="E129" s="818" t="s">
        <v>18</v>
      </c>
      <c r="F129" s="818" t="s">
        <v>18</v>
      </c>
      <c r="G129" s="818" t="s">
        <v>18</v>
      </c>
      <c r="H129" s="818" t="s">
        <v>18</v>
      </c>
      <c r="I129" s="818" t="s">
        <v>18</v>
      </c>
      <c r="J129" s="818" t="s">
        <v>18</v>
      </c>
      <c r="K129" s="818" t="s">
        <v>18</v>
      </c>
      <c r="L129" s="818" t="s">
        <v>18</v>
      </c>
      <c r="M129" s="818" t="s">
        <v>18</v>
      </c>
      <c r="N129" s="818" t="s">
        <v>18</v>
      </c>
      <c r="O129" s="818" t="s">
        <v>18</v>
      </c>
      <c r="P129" s="818" t="s">
        <v>18</v>
      </c>
      <c r="Q129" s="818" t="s">
        <v>18</v>
      </c>
      <c r="R129" s="856"/>
      <c r="S129" s="856"/>
      <c r="T129" s="856"/>
      <c r="U129" s="856"/>
      <c r="V129" s="856"/>
      <c r="W129" s="856"/>
      <c r="X129" s="811"/>
      <c r="Y129" s="811"/>
    </row>
    <row r="130" spans="1:25" hidden="1" x14ac:dyDescent="0.25">
      <c r="A130" s="819" t="s">
        <v>17</v>
      </c>
      <c r="B130" s="849" t="s">
        <v>256</v>
      </c>
      <c r="C130" s="811">
        <v>39000</v>
      </c>
      <c r="D130" s="857">
        <v>250</v>
      </c>
      <c r="E130" s="811">
        <v>9750</v>
      </c>
      <c r="F130" s="811">
        <v>1900</v>
      </c>
      <c r="G130" s="811">
        <v>300</v>
      </c>
      <c r="H130" s="811">
        <v>570</v>
      </c>
      <c r="I130" s="818" t="s">
        <v>18</v>
      </c>
      <c r="J130" s="818" t="s">
        <v>18</v>
      </c>
      <c r="K130" s="818" t="s">
        <v>18</v>
      </c>
      <c r="L130" s="818" t="s">
        <v>18</v>
      </c>
      <c r="M130" s="818" t="s">
        <v>18</v>
      </c>
      <c r="N130" s="818" t="s">
        <v>18</v>
      </c>
      <c r="O130" s="818" t="s">
        <v>18</v>
      </c>
      <c r="P130" s="818" t="s">
        <v>18</v>
      </c>
      <c r="Q130" s="818" t="s">
        <v>18</v>
      </c>
      <c r="R130" s="856"/>
      <c r="S130" s="856"/>
      <c r="T130" s="856"/>
      <c r="U130" s="856"/>
      <c r="V130" s="856"/>
      <c r="W130" s="856"/>
      <c r="X130" s="811">
        <v>40900</v>
      </c>
      <c r="Y130" s="811">
        <v>10320</v>
      </c>
    </row>
    <row r="131" spans="1:25" hidden="1" x14ac:dyDescent="0.25">
      <c r="A131" s="819" t="s">
        <v>103</v>
      </c>
      <c r="B131" s="849" t="s">
        <v>256</v>
      </c>
      <c r="C131" s="811">
        <v>88700</v>
      </c>
      <c r="D131" s="857">
        <v>556</v>
      </c>
      <c r="E131" s="811">
        <v>49317</v>
      </c>
      <c r="F131" s="811">
        <v>78750</v>
      </c>
      <c r="G131" s="811">
        <v>500</v>
      </c>
      <c r="H131" s="811">
        <v>39375</v>
      </c>
      <c r="I131" s="811">
        <v>16500</v>
      </c>
      <c r="J131" s="811">
        <v>900</v>
      </c>
      <c r="K131" s="811">
        <v>14850</v>
      </c>
      <c r="L131" s="811">
        <v>3800</v>
      </c>
      <c r="M131" s="811">
        <v>1500</v>
      </c>
      <c r="N131" s="811">
        <v>5700</v>
      </c>
      <c r="O131" s="811">
        <v>11325</v>
      </c>
      <c r="P131" s="811">
        <v>650</v>
      </c>
      <c r="Q131" s="811">
        <v>7361</v>
      </c>
      <c r="R131" s="856"/>
      <c r="S131" s="856"/>
      <c r="T131" s="856"/>
      <c r="U131" s="856"/>
      <c r="V131" s="856"/>
      <c r="W131" s="856"/>
      <c r="X131" s="811">
        <v>199075</v>
      </c>
      <c r="Y131" s="811">
        <v>116603</v>
      </c>
    </row>
    <row r="132" spans="1:25" hidden="1" x14ac:dyDescent="0.25">
      <c r="A132" s="819" t="s">
        <v>20</v>
      </c>
      <c r="B132" s="849" t="s">
        <v>256</v>
      </c>
      <c r="C132" s="811">
        <v>39410</v>
      </c>
      <c r="D132" s="857">
        <v>370</v>
      </c>
      <c r="E132" s="811">
        <v>14582</v>
      </c>
      <c r="F132" s="811">
        <v>59870</v>
      </c>
      <c r="G132" s="811">
        <v>650</v>
      </c>
      <c r="H132" s="811">
        <v>38916</v>
      </c>
      <c r="I132" s="811">
        <v>6985</v>
      </c>
      <c r="J132" s="811">
        <v>500</v>
      </c>
      <c r="K132" s="811">
        <v>3493</v>
      </c>
      <c r="L132" s="811">
        <v>2090</v>
      </c>
      <c r="M132" s="811">
        <v>670</v>
      </c>
      <c r="N132" s="811">
        <v>1400</v>
      </c>
      <c r="O132" s="811">
        <v>9500</v>
      </c>
      <c r="P132" s="811">
        <v>900</v>
      </c>
      <c r="Q132" s="811">
        <v>8550</v>
      </c>
      <c r="R132" s="856"/>
      <c r="S132" s="856"/>
      <c r="T132" s="856"/>
      <c r="U132" s="856"/>
      <c r="V132" s="856"/>
      <c r="W132" s="856"/>
      <c r="X132" s="811">
        <v>117855</v>
      </c>
      <c r="Y132" s="811">
        <v>66940</v>
      </c>
    </row>
    <row r="133" spans="1:25" hidden="1" x14ac:dyDescent="0.25">
      <c r="A133" s="819" t="s">
        <v>21</v>
      </c>
      <c r="B133" s="849" t="s">
        <v>256</v>
      </c>
      <c r="C133" s="811">
        <v>37000</v>
      </c>
      <c r="D133" s="857">
        <v>154</v>
      </c>
      <c r="E133" s="811">
        <v>5698</v>
      </c>
      <c r="F133" s="818" t="s">
        <v>18</v>
      </c>
      <c r="G133" s="818" t="s">
        <v>18</v>
      </c>
      <c r="H133" s="818" t="s">
        <v>18</v>
      </c>
      <c r="I133" s="818" t="s">
        <v>18</v>
      </c>
      <c r="J133" s="818" t="s">
        <v>18</v>
      </c>
      <c r="K133" s="818" t="s">
        <v>18</v>
      </c>
      <c r="L133" s="818" t="s">
        <v>18</v>
      </c>
      <c r="M133" s="818" t="s">
        <v>18</v>
      </c>
      <c r="N133" s="818" t="s">
        <v>18</v>
      </c>
      <c r="O133" s="818" t="s">
        <v>18</v>
      </c>
      <c r="P133" s="818" t="s">
        <v>18</v>
      </c>
      <c r="Q133" s="818" t="s">
        <v>18</v>
      </c>
      <c r="R133" s="856"/>
      <c r="S133" s="856"/>
      <c r="T133" s="856"/>
      <c r="U133" s="856"/>
      <c r="V133" s="856"/>
      <c r="W133" s="856"/>
      <c r="X133" s="811">
        <v>37000</v>
      </c>
      <c r="Y133" s="811">
        <v>5698</v>
      </c>
    </row>
    <row r="134" spans="1:25" hidden="1" x14ac:dyDescent="0.25">
      <c r="A134" s="819" t="s">
        <v>22</v>
      </c>
      <c r="B134" s="849" t="s">
        <v>256</v>
      </c>
      <c r="C134" s="811">
        <v>35800</v>
      </c>
      <c r="D134" s="857">
        <v>280</v>
      </c>
      <c r="E134" s="811">
        <v>10024</v>
      </c>
      <c r="F134" s="818" t="s">
        <v>18</v>
      </c>
      <c r="G134" s="818" t="s">
        <v>18</v>
      </c>
      <c r="H134" s="818" t="s">
        <v>18</v>
      </c>
      <c r="I134" s="811">
        <v>31240</v>
      </c>
      <c r="J134" s="811">
        <v>1200</v>
      </c>
      <c r="K134" s="811">
        <v>37488</v>
      </c>
      <c r="L134" s="818" t="s">
        <v>18</v>
      </c>
      <c r="M134" s="818" t="s">
        <v>18</v>
      </c>
      <c r="N134" s="818" t="s">
        <v>18</v>
      </c>
      <c r="O134" s="818" t="s">
        <v>18</v>
      </c>
      <c r="P134" s="818" t="s">
        <v>18</v>
      </c>
      <c r="Q134" s="818" t="s">
        <v>18</v>
      </c>
      <c r="R134" s="856"/>
      <c r="S134" s="856"/>
      <c r="T134" s="856"/>
      <c r="U134" s="856"/>
      <c r="V134" s="856"/>
      <c r="W134" s="856"/>
      <c r="X134" s="811">
        <v>67040</v>
      </c>
      <c r="Y134" s="811">
        <v>47512</v>
      </c>
    </row>
    <row r="135" spans="1:25" hidden="1" x14ac:dyDescent="0.25">
      <c r="A135" s="819" t="s">
        <v>23</v>
      </c>
      <c r="B135" s="849" t="s">
        <v>256</v>
      </c>
      <c r="C135" s="811">
        <v>113000</v>
      </c>
      <c r="D135" s="857">
        <v>340</v>
      </c>
      <c r="E135" s="811">
        <v>38420</v>
      </c>
      <c r="F135" s="811">
        <v>76059</v>
      </c>
      <c r="G135" s="811">
        <v>687</v>
      </c>
      <c r="H135" s="811">
        <v>52253</v>
      </c>
      <c r="I135" s="811">
        <v>14380</v>
      </c>
      <c r="J135" s="811">
        <v>350</v>
      </c>
      <c r="K135" s="811">
        <v>7434</v>
      </c>
      <c r="L135" s="818" t="s">
        <v>18</v>
      </c>
      <c r="M135" s="818" t="s">
        <v>18</v>
      </c>
      <c r="N135" s="818" t="s">
        <v>18</v>
      </c>
      <c r="O135" s="818" t="s">
        <v>18</v>
      </c>
      <c r="P135" s="818" t="s">
        <v>18</v>
      </c>
      <c r="Q135" s="818" t="s">
        <v>18</v>
      </c>
      <c r="R135" s="856"/>
      <c r="S135" s="856"/>
      <c r="T135" s="856"/>
      <c r="U135" s="856"/>
      <c r="V135" s="856"/>
      <c r="W135" s="856"/>
      <c r="X135" s="811">
        <v>203439</v>
      </c>
      <c r="Y135" s="811">
        <v>95706</v>
      </c>
    </row>
    <row r="136" spans="1:25" hidden="1" x14ac:dyDescent="0.25">
      <c r="A136" s="819" t="s">
        <v>24</v>
      </c>
      <c r="B136" s="849" t="s">
        <v>256</v>
      </c>
      <c r="C136" s="811">
        <v>8837</v>
      </c>
      <c r="D136" s="857">
        <v>600</v>
      </c>
      <c r="E136" s="811">
        <v>5302</v>
      </c>
      <c r="F136" s="811">
        <v>35092</v>
      </c>
      <c r="G136" s="811">
        <v>840</v>
      </c>
      <c r="H136" s="811">
        <v>29477</v>
      </c>
      <c r="I136" s="818" t="s">
        <v>18</v>
      </c>
      <c r="J136" s="818" t="s">
        <v>18</v>
      </c>
      <c r="K136" s="818" t="s">
        <v>18</v>
      </c>
      <c r="L136" s="811">
        <v>1077</v>
      </c>
      <c r="M136" s="811">
        <v>800</v>
      </c>
      <c r="N136" s="811">
        <v>862</v>
      </c>
      <c r="O136" s="811">
        <v>226262</v>
      </c>
      <c r="P136" s="811">
        <v>725</v>
      </c>
      <c r="Q136" s="811">
        <v>209292</v>
      </c>
      <c r="R136" s="856"/>
      <c r="S136" s="856"/>
      <c r="T136" s="856"/>
      <c r="U136" s="856"/>
      <c r="V136" s="856"/>
      <c r="W136" s="856"/>
      <c r="X136" s="811">
        <v>271268</v>
      </c>
      <c r="Y136" s="811">
        <v>244933</v>
      </c>
    </row>
    <row r="137" spans="1:25" hidden="1" x14ac:dyDescent="0.25">
      <c r="A137" s="819" t="s">
        <v>26</v>
      </c>
      <c r="B137" s="849" t="s">
        <v>256</v>
      </c>
      <c r="C137" s="811">
        <v>50476</v>
      </c>
      <c r="D137" s="857">
        <v>840</v>
      </c>
      <c r="E137" s="811">
        <v>42399.839999999997</v>
      </c>
      <c r="F137" s="811">
        <v>121303</v>
      </c>
      <c r="G137" s="811">
        <v>800</v>
      </c>
      <c r="H137" s="811">
        <v>97042</v>
      </c>
      <c r="I137" s="811">
        <v>11465</v>
      </c>
      <c r="J137" s="811">
        <v>834</v>
      </c>
      <c r="K137" s="811">
        <v>9562</v>
      </c>
      <c r="L137" s="811">
        <v>25773</v>
      </c>
      <c r="M137" s="811">
        <v>1200</v>
      </c>
      <c r="N137" s="811">
        <v>30928</v>
      </c>
      <c r="O137" s="811">
        <v>31400</v>
      </c>
      <c r="P137" s="811">
        <v>900</v>
      </c>
      <c r="Q137" s="811">
        <v>28260</v>
      </c>
      <c r="R137" s="856"/>
      <c r="S137" s="856"/>
      <c r="T137" s="811"/>
      <c r="U137" s="811">
        <v>1564</v>
      </c>
      <c r="V137" s="811">
        <v>457</v>
      </c>
      <c r="W137" s="811">
        <v>715</v>
      </c>
      <c r="X137" s="811">
        <v>241981</v>
      </c>
      <c r="Y137" s="811">
        <v>208906</v>
      </c>
    </row>
    <row r="138" spans="1:25" hidden="1" x14ac:dyDescent="0.25">
      <c r="A138" s="819" t="s">
        <v>27</v>
      </c>
      <c r="B138" s="849" t="s">
        <v>256</v>
      </c>
      <c r="C138" s="811">
        <v>40925</v>
      </c>
      <c r="D138" s="857">
        <v>520</v>
      </c>
      <c r="E138" s="811">
        <v>21281</v>
      </c>
      <c r="F138" s="811">
        <v>50575</v>
      </c>
      <c r="G138" s="811">
        <v>835</v>
      </c>
      <c r="H138" s="811">
        <v>42230</v>
      </c>
      <c r="I138" s="811">
        <v>12126</v>
      </c>
      <c r="J138" s="811">
        <v>821</v>
      </c>
      <c r="K138" s="811">
        <v>9955</v>
      </c>
      <c r="L138" s="811">
        <v>40102</v>
      </c>
      <c r="M138" s="811">
        <v>762</v>
      </c>
      <c r="N138" s="811">
        <v>31360</v>
      </c>
      <c r="O138" s="811">
        <v>6500</v>
      </c>
      <c r="P138" s="811">
        <v>800</v>
      </c>
      <c r="Q138" s="811">
        <v>5200</v>
      </c>
      <c r="R138" s="856"/>
      <c r="S138" s="856"/>
      <c r="T138" s="811"/>
      <c r="U138" s="811">
        <v>1956</v>
      </c>
      <c r="V138" s="811">
        <v>507</v>
      </c>
      <c r="W138" s="811">
        <v>992</v>
      </c>
      <c r="X138" s="811">
        <v>152184</v>
      </c>
      <c r="Y138" s="811">
        <v>111018</v>
      </c>
    </row>
    <row r="139" spans="1:25" hidden="1" x14ac:dyDescent="0.25">
      <c r="A139" s="819" t="s">
        <v>50</v>
      </c>
      <c r="B139" s="849" t="s">
        <v>256</v>
      </c>
      <c r="C139" s="811">
        <v>17420</v>
      </c>
      <c r="D139" s="857">
        <v>500</v>
      </c>
      <c r="E139" s="811">
        <v>8710</v>
      </c>
      <c r="F139" s="811">
        <v>26410</v>
      </c>
      <c r="G139" s="811">
        <v>592</v>
      </c>
      <c r="H139" s="811">
        <v>15635</v>
      </c>
      <c r="I139" s="811">
        <v>7516</v>
      </c>
      <c r="J139" s="811">
        <v>734</v>
      </c>
      <c r="K139" s="811">
        <v>5517</v>
      </c>
      <c r="L139" s="811">
        <v>8420</v>
      </c>
      <c r="M139" s="811">
        <v>1000</v>
      </c>
      <c r="N139" s="811">
        <v>8420</v>
      </c>
      <c r="O139" s="818" t="s">
        <v>18</v>
      </c>
      <c r="P139" s="818" t="s">
        <v>18</v>
      </c>
      <c r="Q139" s="818" t="s">
        <v>18</v>
      </c>
      <c r="R139" s="856"/>
      <c r="S139" s="856"/>
      <c r="T139" s="811"/>
      <c r="U139" s="811">
        <v>135</v>
      </c>
      <c r="V139" s="811">
        <v>350</v>
      </c>
      <c r="W139" s="811">
        <v>47</v>
      </c>
      <c r="X139" s="811">
        <v>59901</v>
      </c>
      <c r="Y139" s="811">
        <v>38329</v>
      </c>
    </row>
    <row r="140" spans="1:25" hidden="1" x14ac:dyDescent="0.25">
      <c r="A140" s="888" t="s">
        <v>163</v>
      </c>
      <c r="B140" s="849" t="s">
        <v>256</v>
      </c>
      <c r="C140" s="811">
        <v>36630</v>
      </c>
      <c r="D140" s="857">
        <v>696</v>
      </c>
      <c r="E140" s="811">
        <v>25494.48</v>
      </c>
      <c r="F140" s="811">
        <v>91050</v>
      </c>
      <c r="G140" s="811">
        <v>696</v>
      </c>
      <c r="H140" s="811">
        <v>63370</v>
      </c>
      <c r="I140" s="811">
        <v>11600</v>
      </c>
      <c r="J140" s="811">
        <v>800</v>
      </c>
      <c r="K140" s="811">
        <v>9280</v>
      </c>
      <c r="L140" s="811">
        <v>10930</v>
      </c>
      <c r="M140" s="811">
        <v>1000</v>
      </c>
      <c r="N140" s="811">
        <v>10930</v>
      </c>
      <c r="O140" s="818" t="s">
        <v>18</v>
      </c>
      <c r="P140" s="818" t="s">
        <v>18</v>
      </c>
      <c r="Q140" s="818" t="s">
        <v>18</v>
      </c>
      <c r="R140" s="856"/>
      <c r="S140" s="856"/>
      <c r="T140" s="811"/>
      <c r="U140" s="811">
        <v>530</v>
      </c>
      <c r="V140" s="811">
        <v>425</v>
      </c>
      <c r="W140" s="811">
        <v>225</v>
      </c>
      <c r="X140" s="811">
        <v>150740</v>
      </c>
      <c r="Y140" s="811">
        <v>109301</v>
      </c>
    </row>
    <row r="141" spans="1:25" hidden="1" x14ac:dyDescent="0.25">
      <c r="A141" s="864" t="s">
        <v>52</v>
      </c>
      <c r="B141" s="849" t="s">
        <v>256</v>
      </c>
      <c r="C141" s="811">
        <v>67337</v>
      </c>
      <c r="D141" s="857">
        <v>759</v>
      </c>
      <c r="E141" s="811">
        <v>51108.783000000003</v>
      </c>
      <c r="F141" s="811">
        <v>60388</v>
      </c>
      <c r="G141" s="811">
        <v>779</v>
      </c>
      <c r="H141" s="811">
        <v>47042</v>
      </c>
      <c r="I141" s="811">
        <v>15306</v>
      </c>
      <c r="J141" s="811">
        <v>800</v>
      </c>
      <c r="K141" s="811">
        <v>12245</v>
      </c>
      <c r="L141" s="811">
        <v>1656</v>
      </c>
      <c r="M141" s="811">
        <v>896</v>
      </c>
      <c r="N141" s="811">
        <v>1484</v>
      </c>
      <c r="O141" s="811">
        <v>800</v>
      </c>
      <c r="P141" s="811">
        <v>700</v>
      </c>
      <c r="Q141" s="811">
        <v>560</v>
      </c>
      <c r="R141" s="856"/>
      <c r="S141" s="856"/>
      <c r="T141" s="856"/>
      <c r="U141" s="818"/>
      <c r="V141" s="811">
        <v>415</v>
      </c>
      <c r="W141" s="857">
        <v>199</v>
      </c>
      <c r="X141" s="811">
        <v>145487</v>
      </c>
      <c r="Y141" s="811">
        <v>112440</v>
      </c>
    </row>
    <row r="142" spans="1:25" hidden="1" x14ac:dyDescent="0.25">
      <c r="A142" s="819" t="s">
        <v>15</v>
      </c>
      <c r="B142" s="849" t="s">
        <v>257</v>
      </c>
      <c r="C142" s="858">
        <v>212605</v>
      </c>
      <c r="D142" s="857">
        <v>480</v>
      </c>
      <c r="E142" s="811">
        <v>102050.4</v>
      </c>
      <c r="F142" s="811">
        <v>101894</v>
      </c>
      <c r="G142" s="811">
        <v>460</v>
      </c>
      <c r="H142" s="811">
        <v>46871.24</v>
      </c>
      <c r="I142" s="818"/>
      <c r="J142" s="818"/>
      <c r="K142" s="811">
        <v>0</v>
      </c>
      <c r="L142" s="818">
        <v>178</v>
      </c>
      <c r="M142" s="818">
        <v>1500</v>
      </c>
      <c r="N142" s="811">
        <v>267</v>
      </c>
      <c r="O142" s="811">
        <v>12000</v>
      </c>
      <c r="P142" s="811">
        <v>600</v>
      </c>
      <c r="Q142" s="811">
        <v>7200</v>
      </c>
      <c r="R142" s="856"/>
      <c r="S142" s="856"/>
      <c r="T142" s="811">
        <v>0</v>
      </c>
      <c r="U142" s="856"/>
      <c r="V142" s="856"/>
      <c r="W142" s="811">
        <v>0</v>
      </c>
      <c r="X142" s="811">
        <v>326677</v>
      </c>
      <c r="Y142" s="811">
        <v>156388.63999999998</v>
      </c>
    </row>
    <row r="143" spans="1:25" hidden="1" x14ac:dyDescent="0.25">
      <c r="A143" s="864" t="s">
        <v>16</v>
      </c>
      <c r="B143" s="849" t="s">
        <v>257</v>
      </c>
      <c r="C143" s="858"/>
      <c r="D143" s="857"/>
      <c r="E143" s="811">
        <v>0</v>
      </c>
      <c r="F143" s="818"/>
      <c r="G143" s="818"/>
      <c r="H143" s="811">
        <v>0</v>
      </c>
      <c r="I143" s="818"/>
      <c r="J143" s="818"/>
      <c r="K143" s="811">
        <v>0</v>
      </c>
      <c r="L143" s="818"/>
      <c r="M143" s="818"/>
      <c r="N143" s="811">
        <v>0</v>
      </c>
      <c r="O143" s="818"/>
      <c r="P143" s="818"/>
      <c r="Q143" s="811">
        <v>0</v>
      </c>
      <c r="R143" s="856"/>
      <c r="S143" s="856"/>
      <c r="T143" s="811">
        <v>0</v>
      </c>
      <c r="U143" s="856"/>
      <c r="V143" s="856"/>
      <c r="W143" s="811">
        <v>0</v>
      </c>
      <c r="X143" s="811">
        <v>0</v>
      </c>
      <c r="Y143" s="811">
        <v>0</v>
      </c>
    </row>
    <row r="144" spans="1:25" hidden="1" x14ac:dyDescent="0.25">
      <c r="A144" s="819" t="s">
        <v>17</v>
      </c>
      <c r="B144" s="849" t="s">
        <v>257</v>
      </c>
      <c r="C144" s="858">
        <v>140030</v>
      </c>
      <c r="D144" s="857">
        <v>280</v>
      </c>
      <c r="E144" s="811">
        <v>39208.400000000001</v>
      </c>
      <c r="F144" s="811">
        <v>21388</v>
      </c>
      <c r="G144" s="811">
        <v>100</v>
      </c>
      <c r="H144" s="811">
        <v>2138.8000000000002</v>
      </c>
      <c r="I144" s="818"/>
      <c r="J144" s="818"/>
      <c r="K144" s="811">
        <v>0</v>
      </c>
      <c r="L144" s="818"/>
      <c r="M144" s="818"/>
      <c r="N144" s="811">
        <v>0</v>
      </c>
      <c r="O144" s="818"/>
      <c r="P144" s="818"/>
      <c r="Q144" s="811">
        <v>0</v>
      </c>
      <c r="R144" s="856"/>
      <c r="S144" s="856"/>
      <c r="T144" s="811">
        <v>0</v>
      </c>
      <c r="U144" s="856"/>
      <c r="V144" s="856"/>
      <c r="W144" s="811">
        <v>0</v>
      </c>
      <c r="X144" s="811">
        <v>161418</v>
      </c>
      <c r="Y144" s="811">
        <v>41347.200000000004</v>
      </c>
    </row>
    <row r="145" spans="1:25" hidden="1" x14ac:dyDescent="0.25">
      <c r="A145" s="819" t="s">
        <v>103</v>
      </c>
      <c r="B145" s="849" t="s">
        <v>257</v>
      </c>
      <c r="C145" s="859">
        <v>179064</v>
      </c>
      <c r="D145" s="857">
        <v>550</v>
      </c>
      <c r="E145" s="811">
        <v>98485.2</v>
      </c>
      <c r="F145" s="811">
        <v>176628</v>
      </c>
      <c r="G145" s="811">
        <v>650</v>
      </c>
      <c r="H145" s="811">
        <v>114808.2</v>
      </c>
      <c r="I145" s="811">
        <v>18631</v>
      </c>
      <c r="J145" s="811">
        <v>850</v>
      </c>
      <c r="K145" s="811">
        <v>15836.35</v>
      </c>
      <c r="L145" s="811">
        <v>864</v>
      </c>
      <c r="M145" s="811">
        <v>3500</v>
      </c>
      <c r="N145" s="811">
        <v>3024</v>
      </c>
      <c r="O145" s="811">
        <v>30000</v>
      </c>
      <c r="P145" s="811">
        <v>800</v>
      </c>
      <c r="Q145" s="811">
        <v>24000</v>
      </c>
      <c r="R145" s="856"/>
      <c r="S145" s="856"/>
      <c r="T145" s="811">
        <v>0</v>
      </c>
      <c r="U145" s="856"/>
      <c r="V145" s="856"/>
      <c r="W145" s="811">
        <v>0</v>
      </c>
      <c r="X145" s="811">
        <v>405187</v>
      </c>
      <c r="Y145" s="811">
        <v>256153.75</v>
      </c>
    </row>
    <row r="146" spans="1:25" hidden="1" x14ac:dyDescent="0.25">
      <c r="A146" s="819" t="s">
        <v>20</v>
      </c>
      <c r="B146" s="849" t="s">
        <v>257</v>
      </c>
      <c r="C146" s="859">
        <v>34785</v>
      </c>
      <c r="D146" s="857">
        <v>600</v>
      </c>
      <c r="E146" s="811">
        <v>20871</v>
      </c>
      <c r="F146" s="811">
        <v>69952</v>
      </c>
      <c r="G146" s="811">
        <v>750</v>
      </c>
      <c r="H146" s="811">
        <v>52464</v>
      </c>
      <c r="I146" s="811">
        <v>3107</v>
      </c>
      <c r="J146" s="811">
        <v>700</v>
      </c>
      <c r="K146" s="811">
        <v>2174.9</v>
      </c>
      <c r="L146" s="811">
        <v>305</v>
      </c>
      <c r="M146" s="811">
        <v>1200</v>
      </c>
      <c r="N146" s="811">
        <v>366</v>
      </c>
      <c r="O146" s="811"/>
      <c r="P146" s="811"/>
      <c r="Q146" s="811">
        <v>0</v>
      </c>
      <c r="R146" s="856"/>
      <c r="S146" s="856"/>
      <c r="T146" s="811">
        <v>0</v>
      </c>
      <c r="U146" s="856"/>
      <c r="V146" s="856"/>
      <c r="W146" s="811">
        <v>0</v>
      </c>
      <c r="X146" s="811">
        <v>108149</v>
      </c>
      <c r="Y146" s="811">
        <v>75875.899999999994</v>
      </c>
    </row>
    <row r="147" spans="1:25" hidden="1" x14ac:dyDescent="0.25">
      <c r="A147" s="819" t="s">
        <v>21</v>
      </c>
      <c r="B147" s="849" t="s">
        <v>257</v>
      </c>
      <c r="C147" s="858">
        <v>36500</v>
      </c>
      <c r="D147" s="857">
        <v>400</v>
      </c>
      <c r="E147" s="811">
        <v>14600</v>
      </c>
      <c r="F147" s="858">
        <v>6900</v>
      </c>
      <c r="G147" s="819">
        <v>600</v>
      </c>
      <c r="H147" s="811">
        <v>4140</v>
      </c>
      <c r="I147" s="818">
        <v>1800</v>
      </c>
      <c r="J147" s="819">
        <v>600</v>
      </c>
      <c r="K147" s="811">
        <v>1080</v>
      </c>
      <c r="L147" s="818"/>
      <c r="M147" s="818"/>
      <c r="N147" s="811">
        <v>0</v>
      </c>
      <c r="O147" s="818"/>
      <c r="P147" s="818"/>
      <c r="Q147" s="811">
        <v>0</v>
      </c>
      <c r="R147" s="856"/>
      <c r="S147" s="856"/>
      <c r="T147" s="811">
        <v>0</v>
      </c>
      <c r="U147" s="856"/>
      <c r="V147" s="856"/>
      <c r="W147" s="811">
        <v>0</v>
      </c>
      <c r="X147" s="811">
        <v>45200</v>
      </c>
      <c r="Y147" s="811">
        <v>19820</v>
      </c>
    </row>
    <row r="148" spans="1:25" hidden="1" x14ac:dyDescent="0.25">
      <c r="A148" s="819" t="s">
        <v>22</v>
      </c>
      <c r="B148" s="849" t="s">
        <v>257</v>
      </c>
      <c r="C148" s="858">
        <v>63582</v>
      </c>
      <c r="D148" s="857">
        <v>500</v>
      </c>
      <c r="E148" s="811">
        <v>31791</v>
      </c>
      <c r="F148" s="858">
        <v>1332</v>
      </c>
      <c r="G148" s="819">
        <v>1000</v>
      </c>
      <c r="H148" s="811">
        <v>1332</v>
      </c>
      <c r="I148" s="811">
        <v>41434</v>
      </c>
      <c r="J148" s="811">
        <v>1500</v>
      </c>
      <c r="K148" s="811">
        <v>62151</v>
      </c>
      <c r="L148" s="818"/>
      <c r="M148" s="818"/>
      <c r="N148" s="811">
        <v>0</v>
      </c>
      <c r="O148" s="818"/>
      <c r="P148" s="818"/>
      <c r="Q148" s="811">
        <v>0</v>
      </c>
      <c r="R148" s="856">
        <v>2402</v>
      </c>
      <c r="S148" s="856">
        <v>1500</v>
      </c>
      <c r="T148" s="811">
        <v>3603</v>
      </c>
      <c r="U148" s="856"/>
      <c r="V148" s="856"/>
      <c r="W148" s="811">
        <v>0</v>
      </c>
      <c r="X148" s="811">
        <v>108750</v>
      </c>
      <c r="Y148" s="811">
        <v>98877</v>
      </c>
    </row>
    <row r="149" spans="1:25" hidden="1" x14ac:dyDescent="0.25">
      <c r="A149" s="819" t="s">
        <v>23</v>
      </c>
      <c r="B149" s="849" t="s">
        <v>257</v>
      </c>
      <c r="C149" s="858">
        <v>62200</v>
      </c>
      <c r="D149" s="857">
        <v>700</v>
      </c>
      <c r="E149" s="811">
        <v>43540</v>
      </c>
      <c r="F149" s="811">
        <v>44727</v>
      </c>
      <c r="G149" s="811">
        <v>800</v>
      </c>
      <c r="H149" s="811">
        <v>35781.599999999999</v>
      </c>
      <c r="I149" s="811">
        <v>10618</v>
      </c>
      <c r="J149" s="811">
        <v>700</v>
      </c>
      <c r="K149" s="811">
        <v>7432.6</v>
      </c>
      <c r="L149" s="819">
        <v>10250</v>
      </c>
      <c r="M149" s="819">
        <v>725</v>
      </c>
      <c r="N149" s="811">
        <v>7431.25</v>
      </c>
      <c r="O149" s="818"/>
      <c r="P149" s="818"/>
      <c r="Q149" s="811">
        <v>0</v>
      </c>
      <c r="R149" s="856"/>
      <c r="S149" s="856"/>
      <c r="T149" s="811">
        <v>0</v>
      </c>
      <c r="U149" s="856"/>
      <c r="V149" s="856"/>
      <c r="W149" s="811">
        <v>0</v>
      </c>
      <c r="X149" s="811">
        <v>127795</v>
      </c>
      <c r="Y149" s="811">
        <v>94185.450000000012</v>
      </c>
    </row>
    <row r="150" spans="1:25" hidden="1" x14ac:dyDescent="0.25">
      <c r="A150" s="819" t="s">
        <v>24</v>
      </c>
      <c r="B150" s="849" t="s">
        <v>257</v>
      </c>
      <c r="C150" s="811">
        <v>6780</v>
      </c>
      <c r="D150" s="857">
        <v>733</v>
      </c>
      <c r="E150" s="811">
        <v>4969.74</v>
      </c>
      <c r="F150" s="811">
        <v>21605</v>
      </c>
      <c r="G150" s="811">
        <v>1500</v>
      </c>
      <c r="H150" s="811">
        <v>32407.5</v>
      </c>
      <c r="I150" s="818">
        <v>6960</v>
      </c>
      <c r="J150" s="819">
        <v>1500</v>
      </c>
      <c r="K150" s="811">
        <v>10440</v>
      </c>
      <c r="L150" s="811">
        <v>1565</v>
      </c>
      <c r="M150" s="811">
        <v>766</v>
      </c>
      <c r="N150" s="811">
        <v>1198.79</v>
      </c>
      <c r="O150" s="811">
        <v>256000</v>
      </c>
      <c r="P150" s="811">
        <v>1000</v>
      </c>
      <c r="Q150" s="811">
        <v>256000</v>
      </c>
      <c r="R150" s="856"/>
      <c r="S150" s="856"/>
      <c r="T150" s="811">
        <v>0</v>
      </c>
      <c r="U150" s="856"/>
      <c r="V150" s="856"/>
      <c r="W150" s="811">
        <v>0</v>
      </c>
      <c r="X150" s="811">
        <v>292910</v>
      </c>
      <c r="Y150" s="811">
        <v>305016.03000000003</v>
      </c>
    </row>
    <row r="151" spans="1:25" hidden="1" x14ac:dyDescent="0.25">
      <c r="A151" s="819" t="s">
        <v>26</v>
      </c>
      <c r="B151" s="849" t="s">
        <v>257</v>
      </c>
      <c r="C151" s="811">
        <v>67140</v>
      </c>
      <c r="D151" s="857">
        <v>800</v>
      </c>
      <c r="E151" s="811">
        <v>53712</v>
      </c>
      <c r="F151" s="811">
        <v>124376</v>
      </c>
      <c r="G151" s="811">
        <v>855</v>
      </c>
      <c r="H151" s="811">
        <v>106341.48</v>
      </c>
      <c r="I151" s="811">
        <v>55565</v>
      </c>
      <c r="J151" s="811">
        <v>835</v>
      </c>
      <c r="K151" s="811">
        <v>46396.775000000001</v>
      </c>
      <c r="L151" s="811">
        <v>60747</v>
      </c>
      <c r="M151" s="811">
        <v>1500</v>
      </c>
      <c r="N151" s="811">
        <v>91120.5</v>
      </c>
      <c r="O151" s="811">
        <v>35000</v>
      </c>
      <c r="P151" s="811">
        <v>800</v>
      </c>
      <c r="Q151" s="811">
        <v>28000</v>
      </c>
      <c r="R151" s="856"/>
      <c r="S151" s="856"/>
      <c r="T151" s="811">
        <v>0</v>
      </c>
      <c r="U151" s="811"/>
      <c r="V151" s="811"/>
      <c r="W151" s="811">
        <v>0</v>
      </c>
      <c r="X151" s="811">
        <v>342828</v>
      </c>
      <c r="Y151" s="811">
        <v>325570.755</v>
      </c>
    </row>
    <row r="152" spans="1:25" hidden="1" x14ac:dyDescent="0.25">
      <c r="A152" s="819" t="s">
        <v>27</v>
      </c>
      <c r="B152" s="849" t="s">
        <v>257</v>
      </c>
      <c r="C152" s="811">
        <v>42504</v>
      </c>
      <c r="D152" s="857">
        <v>580</v>
      </c>
      <c r="E152" s="811">
        <v>24652.32</v>
      </c>
      <c r="F152" s="811">
        <v>41118</v>
      </c>
      <c r="G152" s="811">
        <v>720</v>
      </c>
      <c r="H152" s="811">
        <v>29604.959999999999</v>
      </c>
      <c r="I152" s="811">
        <v>8118</v>
      </c>
      <c r="J152" s="811">
        <v>900</v>
      </c>
      <c r="K152" s="811">
        <v>7306.2</v>
      </c>
      <c r="L152" s="811">
        <v>27369</v>
      </c>
      <c r="M152" s="811">
        <v>1200</v>
      </c>
      <c r="N152" s="811">
        <v>32842.800000000003</v>
      </c>
      <c r="O152" s="811">
        <v>8000</v>
      </c>
      <c r="P152" s="811">
        <v>800</v>
      </c>
      <c r="Q152" s="811">
        <v>6400</v>
      </c>
      <c r="R152" s="856"/>
      <c r="S152" s="856"/>
      <c r="T152" s="811">
        <v>0</v>
      </c>
      <c r="U152" s="811"/>
      <c r="V152" s="811"/>
      <c r="W152" s="811">
        <v>0</v>
      </c>
      <c r="X152" s="811">
        <v>127109</v>
      </c>
      <c r="Y152" s="811">
        <v>100806.28</v>
      </c>
    </row>
    <row r="153" spans="1:25" hidden="1" x14ac:dyDescent="0.25">
      <c r="A153" s="819" t="s">
        <v>50</v>
      </c>
      <c r="B153" s="849" t="s">
        <v>257</v>
      </c>
      <c r="C153" s="811">
        <v>42946</v>
      </c>
      <c r="D153" s="857">
        <v>820</v>
      </c>
      <c r="E153" s="811">
        <v>35215.72</v>
      </c>
      <c r="F153" s="811">
        <v>59850</v>
      </c>
      <c r="G153" s="811">
        <v>800</v>
      </c>
      <c r="H153" s="811">
        <v>47880</v>
      </c>
      <c r="I153" s="811">
        <v>11186</v>
      </c>
      <c r="J153" s="811">
        <v>800</v>
      </c>
      <c r="K153" s="811">
        <v>8948.7999999999993</v>
      </c>
      <c r="L153" s="811">
        <v>4856</v>
      </c>
      <c r="M153" s="811">
        <v>1200</v>
      </c>
      <c r="N153" s="811">
        <v>5827.2</v>
      </c>
      <c r="O153" s="819">
        <v>2000</v>
      </c>
      <c r="P153" s="819">
        <v>700</v>
      </c>
      <c r="Q153" s="811">
        <v>1400</v>
      </c>
      <c r="R153" s="856"/>
      <c r="S153" s="856"/>
      <c r="T153" s="811">
        <v>0</v>
      </c>
      <c r="U153" s="811"/>
      <c r="V153" s="811"/>
      <c r="W153" s="811">
        <v>0</v>
      </c>
      <c r="X153" s="811">
        <v>120838</v>
      </c>
      <c r="Y153" s="811">
        <v>99271.72</v>
      </c>
    </row>
    <row r="154" spans="1:25" hidden="1" x14ac:dyDescent="0.25">
      <c r="A154" s="888" t="s">
        <v>163</v>
      </c>
      <c r="B154" s="849" t="s">
        <v>257</v>
      </c>
      <c r="C154" s="811">
        <v>27206</v>
      </c>
      <c r="D154" s="857">
        <v>600</v>
      </c>
      <c r="E154" s="811">
        <v>16323.6</v>
      </c>
      <c r="F154" s="811">
        <v>53392</v>
      </c>
      <c r="G154" s="811">
        <v>745</v>
      </c>
      <c r="H154" s="811">
        <v>39777.040000000001</v>
      </c>
      <c r="I154" s="811">
        <v>5849</v>
      </c>
      <c r="J154" s="811">
        <v>890</v>
      </c>
      <c r="K154" s="811">
        <v>5205.6099999999997</v>
      </c>
      <c r="L154" s="811">
        <v>1341</v>
      </c>
      <c r="M154" s="811">
        <v>1100</v>
      </c>
      <c r="N154" s="811">
        <v>1475.1</v>
      </c>
      <c r="O154" s="818"/>
      <c r="P154" s="818"/>
      <c r="Q154" s="811">
        <v>0</v>
      </c>
      <c r="R154" s="856"/>
      <c r="S154" s="856"/>
      <c r="T154" s="811">
        <v>0</v>
      </c>
      <c r="U154" s="811"/>
      <c r="V154" s="811"/>
      <c r="W154" s="811">
        <v>0</v>
      </c>
      <c r="X154" s="811">
        <v>87788</v>
      </c>
      <c r="Y154" s="811">
        <v>62781.35</v>
      </c>
    </row>
    <row r="155" spans="1:25" hidden="1" x14ac:dyDescent="0.25">
      <c r="A155" s="864" t="s">
        <v>52</v>
      </c>
      <c r="B155" s="849" t="s">
        <v>257</v>
      </c>
      <c r="C155" s="811">
        <v>66610</v>
      </c>
      <c r="D155" s="857">
        <v>657</v>
      </c>
      <c r="E155" s="811">
        <v>43762.77</v>
      </c>
      <c r="F155" s="811">
        <v>68882</v>
      </c>
      <c r="G155" s="811">
        <v>626</v>
      </c>
      <c r="H155" s="811">
        <v>43120.131999999998</v>
      </c>
      <c r="I155" s="811">
        <v>20780</v>
      </c>
      <c r="J155" s="811">
        <v>850</v>
      </c>
      <c r="K155" s="811">
        <v>17663</v>
      </c>
      <c r="L155" s="811">
        <v>2349</v>
      </c>
      <c r="M155" s="811">
        <v>900</v>
      </c>
      <c r="N155" s="811">
        <v>2114.1</v>
      </c>
      <c r="O155" s="811">
        <v>950</v>
      </c>
      <c r="P155" s="811">
        <v>900</v>
      </c>
      <c r="Q155" s="811">
        <v>855</v>
      </c>
      <c r="R155" s="856"/>
      <c r="S155" s="856"/>
      <c r="T155" s="811">
        <v>0</v>
      </c>
      <c r="U155" s="818"/>
      <c r="V155" s="811"/>
      <c r="W155" s="811">
        <v>0</v>
      </c>
      <c r="X155" s="811">
        <v>159571</v>
      </c>
      <c r="Y155" s="811">
        <v>107515.00200000001</v>
      </c>
    </row>
    <row r="156" spans="1:25" hidden="1" x14ac:dyDescent="0.25">
      <c r="A156" s="819" t="s">
        <v>15</v>
      </c>
      <c r="B156" s="849" t="s">
        <v>258</v>
      </c>
      <c r="C156" s="811">
        <v>139147</v>
      </c>
      <c r="D156" s="857">
        <v>470</v>
      </c>
      <c r="E156" s="811">
        <v>65399.09</v>
      </c>
      <c r="F156" s="811">
        <v>65686</v>
      </c>
      <c r="G156" s="811">
        <v>400</v>
      </c>
      <c r="H156" s="811">
        <v>26274.400000000001</v>
      </c>
      <c r="I156" s="815" t="s">
        <v>18</v>
      </c>
      <c r="J156" s="815" t="s">
        <v>18</v>
      </c>
      <c r="K156" s="815" t="s">
        <v>18</v>
      </c>
      <c r="L156" s="815" t="s">
        <v>18</v>
      </c>
      <c r="M156" s="815" t="s">
        <v>18</v>
      </c>
      <c r="N156" s="815" t="s">
        <v>18</v>
      </c>
      <c r="O156" s="815" t="s">
        <v>18</v>
      </c>
      <c r="P156" s="815" t="s">
        <v>18</v>
      </c>
      <c r="Q156" s="815" t="s">
        <v>18</v>
      </c>
      <c r="R156" s="815" t="s">
        <v>18</v>
      </c>
      <c r="S156" s="815" t="s">
        <v>18</v>
      </c>
      <c r="T156" s="815" t="s">
        <v>18</v>
      </c>
      <c r="U156" s="815" t="s">
        <v>18</v>
      </c>
      <c r="V156" s="815" t="s">
        <v>18</v>
      </c>
      <c r="W156" s="815" t="s">
        <v>18</v>
      </c>
      <c r="X156" s="811">
        <v>204833</v>
      </c>
      <c r="Y156" s="811">
        <v>91673.489999999991</v>
      </c>
    </row>
    <row r="157" spans="1:25" hidden="1" x14ac:dyDescent="0.25">
      <c r="A157" s="864" t="s">
        <v>16</v>
      </c>
      <c r="B157" s="849" t="s">
        <v>258</v>
      </c>
      <c r="C157" s="815" t="s">
        <v>18</v>
      </c>
      <c r="D157" s="928" t="s">
        <v>18</v>
      </c>
      <c r="E157" s="815" t="s">
        <v>18</v>
      </c>
      <c r="F157" s="815" t="s">
        <v>18</v>
      </c>
      <c r="G157" s="815" t="s">
        <v>18</v>
      </c>
      <c r="H157" s="815" t="s">
        <v>18</v>
      </c>
      <c r="I157" s="815" t="s">
        <v>18</v>
      </c>
      <c r="J157" s="815" t="s">
        <v>18</v>
      </c>
      <c r="K157" s="815" t="s">
        <v>18</v>
      </c>
      <c r="L157" s="815" t="s">
        <v>18</v>
      </c>
      <c r="M157" s="815" t="s">
        <v>18</v>
      </c>
      <c r="N157" s="815" t="s">
        <v>18</v>
      </c>
      <c r="O157" s="815" t="s">
        <v>18</v>
      </c>
      <c r="P157" s="815" t="s">
        <v>18</v>
      </c>
      <c r="Q157" s="815" t="s">
        <v>18</v>
      </c>
      <c r="R157" s="815" t="s">
        <v>18</v>
      </c>
      <c r="S157" s="815" t="s">
        <v>18</v>
      </c>
      <c r="T157" s="815" t="s">
        <v>18</v>
      </c>
      <c r="U157" s="815" t="s">
        <v>18</v>
      </c>
      <c r="V157" s="815" t="s">
        <v>18</v>
      </c>
      <c r="W157" s="815" t="s">
        <v>18</v>
      </c>
      <c r="X157" s="815" t="s">
        <v>18</v>
      </c>
      <c r="Y157" s="815" t="s">
        <v>18</v>
      </c>
    </row>
    <row r="158" spans="1:25" hidden="1" x14ac:dyDescent="0.25">
      <c r="A158" s="819" t="s">
        <v>17</v>
      </c>
      <c r="B158" s="849" t="s">
        <v>258</v>
      </c>
      <c r="C158" s="811">
        <v>75719</v>
      </c>
      <c r="D158" s="857">
        <v>460</v>
      </c>
      <c r="E158" s="811">
        <v>34830.74</v>
      </c>
      <c r="F158" s="811">
        <v>8358</v>
      </c>
      <c r="G158" s="811">
        <v>256</v>
      </c>
      <c r="H158" s="811">
        <v>2139.6480000000001</v>
      </c>
      <c r="I158" s="815" t="s">
        <v>18</v>
      </c>
      <c r="J158" s="815" t="s">
        <v>18</v>
      </c>
      <c r="K158" s="815" t="s">
        <v>18</v>
      </c>
      <c r="L158" s="815" t="s">
        <v>18</v>
      </c>
      <c r="M158" s="815" t="s">
        <v>18</v>
      </c>
      <c r="N158" s="815" t="s">
        <v>18</v>
      </c>
      <c r="O158" s="815" t="s">
        <v>18</v>
      </c>
      <c r="P158" s="815" t="s">
        <v>18</v>
      </c>
      <c r="Q158" s="815" t="s">
        <v>18</v>
      </c>
      <c r="R158" s="815" t="s">
        <v>18</v>
      </c>
      <c r="S158" s="815" t="s">
        <v>18</v>
      </c>
      <c r="T158" s="815" t="s">
        <v>18</v>
      </c>
      <c r="U158" s="815" t="s">
        <v>18</v>
      </c>
      <c r="V158" s="815" t="s">
        <v>18</v>
      </c>
      <c r="W158" s="815" t="s">
        <v>18</v>
      </c>
      <c r="X158" s="811">
        <v>84077</v>
      </c>
      <c r="Y158" s="811">
        <v>36970.387999999999</v>
      </c>
    </row>
    <row r="159" spans="1:25" hidden="1" x14ac:dyDescent="0.25">
      <c r="A159" s="819" t="s">
        <v>103</v>
      </c>
      <c r="B159" s="849" t="s">
        <v>258</v>
      </c>
      <c r="C159" s="811">
        <v>176841</v>
      </c>
      <c r="D159" s="857">
        <v>754</v>
      </c>
      <c r="E159" s="811">
        <v>133338.114</v>
      </c>
      <c r="F159" s="811">
        <v>195432</v>
      </c>
      <c r="G159" s="811">
        <v>890</v>
      </c>
      <c r="H159" s="811">
        <v>173934.48</v>
      </c>
      <c r="I159" s="819">
        <v>39161</v>
      </c>
      <c r="J159" s="819">
        <v>745</v>
      </c>
      <c r="K159" s="811">
        <v>29174.945</v>
      </c>
      <c r="L159" s="811">
        <v>1547</v>
      </c>
      <c r="M159" s="811">
        <v>3239</v>
      </c>
      <c r="N159" s="811">
        <v>5010.7330000000002</v>
      </c>
      <c r="O159" s="811">
        <v>31000</v>
      </c>
      <c r="P159" s="811">
        <v>800</v>
      </c>
      <c r="Q159" s="811">
        <v>24800</v>
      </c>
      <c r="R159" s="815" t="s">
        <v>18</v>
      </c>
      <c r="S159" s="815" t="s">
        <v>18</v>
      </c>
      <c r="T159" s="815" t="s">
        <v>18</v>
      </c>
      <c r="U159" s="815" t="s">
        <v>18</v>
      </c>
      <c r="V159" s="815" t="s">
        <v>18</v>
      </c>
      <c r="W159" s="815" t="s">
        <v>18</v>
      </c>
      <c r="X159" s="811">
        <v>443981</v>
      </c>
      <c r="Y159" s="811">
        <v>366258.27200000006</v>
      </c>
    </row>
    <row r="160" spans="1:25" hidden="1" x14ac:dyDescent="0.25">
      <c r="A160" s="819" t="s">
        <v>20</v>
      </c>
      <c r="B160" s="849" t="s">
        <v>258</v>
      </c>
      <c r="C160" s="811">
        <v>31235</v>
      </c>
      <c r="D160" s="857">
        <v>600</v>
      </c>
      <c r="E160" s="811">
        <v>18741</v>
      </c>
      <c r="F160" s="811">
        <v>61307</v>
      </c>
      <c r="G160" s="811">
        <v>643</v>
      </c>
      <c r="H160" s="811">
        <v>39420.400999999998</v>
      </c>
      <c r="I160" s="819">
        <v>762</v>
      </c>
      <c r="J160" s="819">
        <v>700</v>
      </c>
      <c r="K160" s="811">
        <v>533.4</v>
      </c>
      <c r="L160" s="811">
        <v>276</v>
      </c>
      <c r="M160" s="811">
        <v>1480</v>
      </c>
      <c r="N160" s="811">
        <v>408.48</v>
      </c>
      <c r="O160" s="811">
        <v>29030</v>
      </c>
      <c r="P160" s="811">
        <v>790</v>
      </c>
      <c r="Q160" s="811">
        <v>22933.7</v>
      </c>
      <c r="R160" s="815" t="s">
        <v>18</v>
      </c>
      <c r="S160" s="815" t="s">
        <v>18</v>
      </c>
      <c r="T160" s="815" t="s">
        <v>18</v>
      </c>
      <c r="U160" s="815" t="s">
        <v>18</v>
      </c>
      <c r="V160" s="815" t="s">
        <v>18</v>
      </c>
      <c r="W160" s="815" t="s">
        <v>18</v>
      </c>
      <c r="X160" s="811">
        <v>122610</v>
      </c>
      <c r="Y160" s="811">
        <v>82036.981</v>
      </c>
    </row>
    <row r="161" spans="1:25" hidden="1" x14ac:dyDescent="0.25">
      <c r="A161" s="819" t="s">
        <v>21</v>
      </c>
      <c r="B161" s="849" t="s">
        <v>258</v>
      </c>
      <c r="C161" s="811">
        <v>39120</v>
      </c>
      <c r="D161" s="857">
        <v>200</v>
      </c>
      <c r="E161" s="811">
        <v>7824</v>
      </c>
      <c r="F161" s="815" t="s">
        <v>18</v>
      </c>
      <c r="G161" s="815" t="s">
        <v>18</v>
      </c>
      <c r="H161" s="815" t="s">
        <v>18</v>
      </c>
      <c r="I161" s="819">
        <v>4750</v>
      </c>
      <c r="J161" s="819">
        <v>500</v>
      </c>
      <c r="K161" s="811">
        <v>2375</v>
      </c>
      <c r="L161" s="815" t="s">
        <v>18</v>
      </c>
      <c r="M161" s="815" t="s">
        <v>18</v>
      </c>
      <c r="N161" s="815" t="s">
        <v>18</v>
      </c>
      <c r="O161" s="815" t="s">
        <v>18</v>
      </c>
      <c r="P161" s="815" t="s">
        <v>18</v>
      </c>
      <c r="Q161" s="815" t="s">
        <v>18</v>
      </c>
      <c r="R161" s="815" t="s">
        <v>18</v>
      </c>
      <c r="S161" s="815" t="s">
        <v>18</v>
      </c>
      <c r="T161" s="815" t="s">
        <v>18</v>
      </c>
      <c r="U161" s="815" t="s">
        <v>18</v>
      </c>
      <c r="V161" s="815" t="s">
        <v>18</v>
      </c>
      <c r="W161" s="815" t="s">
        <v>18</v>
      </c>
      <c r="X161" s="811">
        <v>43870</v>
      </c>
      <c r="Y161" s="811">
        <v>10199</v>
      </c>
    </row>
    <row r="162" spans="1:25" hidden="1" x14ac:dyDescent="0.25">
      <c r="A162" s="819" t="s">
        <v>22</v>
      </c>
      <c r="B162" s="849" t="s">
        <v>258</v>
      </c>
      <c r="C162" s="811">
        <v>70074</v>
      </c>
      <c r="D162" s="857">
        <v>500</v>
      </c>
      <c r="E162" s="811">
        <v>35037</v>
      </c>
      <c r="F162" s="818">
        <v>20556</v>
      </c>
      <c r="G162" s="819">
        <v>1000</v>
      </c>
      <c r="H162" s="811">
        <v>20556</v>
      </c>
      <c r="I162" s="819">
        <v>23084</v>
      </c>
      <c r="J162" s="819">
        <v>1500</v>
      </c>
      <c r="K162" s="811">
        <v>34626</v>
      </c>
      <c r="L162" s="815" t="s">
        <v>18</v>
      </c>
      <c r="M162" s="815" t="s">
        <v>18</v>
      </c>
      <c r="N162" s="815" t="s">
        <v>18</v>
      </c>
      <c r="O162" s="815" t="s">
        <v>18</v>
      </c>
      <c r="P162" s="815" t="s">
        <v>18</v>
      </c>
      <c r="Q162" s="815" t="s">
        <v>18</v>
      </c>
      <c r="R162" s="818">
        <v>1865</v>
      </c>
      <c r="S162" s="818">
        <v>1000</v>
      </c>
      <c r="T162" s="811">
        <v>1865</v>
      </c>
      <c r="U162" s="815" t="s">
        <v>18</v>
      </c>
      <c r="V162" s="815" t="s">
        <v>18</v>
      </c>
      <c r="W162" s="815" t="s">
        <v>18</v>
      </c>
      <c r="X162" s="811">
        <v>115579</v>
      </c>
      <c r="Y162" s="811">
        <v>92084</v>
      </c>
    </row>
    <row r="163" spans="1:25" hidden="1" x14ac:dyDescent="0.25">
      <c r="A163" s="819" t="s">
        <v>23</v>
      </c>
      <c r="B163" s="849" t="s">
        <v>258</v>
      </c>
      <c r="C163" s="811">
        <v>127650</v>
      </c>
      <c r="D163" s="857">
        <v>640</v>
      </c>
      <c r="E163" s="811">
        <v>81696</v>
      </c>
      <c r="F163" s="811">
        <v>63012</v>
      </c>
      <c r="G163" s="819">
        <v>767</v>
      </c>
      <c r="H163" s="811">
        <v>48330.203999999998</v>
      </c>
      <c r="I163" s="817" t="s">
        <v>18</v>
      </c>
      <c r="J163" s="817" t="s">
        <v>18</v>
      </c>
      <c r="K163" s="860" t="s">
        <v>100</v>
      </c>
      <c r="L163" s="815" t="s">
        <v>18</v>
      </c>
      <c r="M163" s="815" t="s">
        <v>18</v>
      </c>
      <c r="N163" s="815" t="s">
        <v>18</v>
      </c>
      <c r="O163" s="815">
        <v>51650</v>
      </c>
      <c r="P163" s="815">
        <v>896</v>
      </c>
      <c r="Q163" s="811">
        <v>46278.400000000001</v>
      </c>
      <c r="R163" s="815" t="s">
        <v>18</v>
      </c>
      <c r="S163" s="815" t="s">
        <v>18</v>
      </c>
      <c r="T163" s="815" t="s">
        <v>18</v>
      </c>
      <c r="U163" s="815" t="s">
        <v>18</v>
      </c>
      <c r="V163" s="815" t="s">
        <v>18</v>
      </c>
      <c r="W163" s="815" t="s">
        <v>18</v>
      </c>
      <c r="X163" s="811">
        <v>242312</v>
      </c>
      <c r="Y163" s="811">
        <v>176304.60399999999</v>
      </c>
    </row>
    <row r="164" spans="1:25" hidden="1" x14ac:dyDescent="0.25">
      <c r="A164" s="819" t="s">
        <v>24</v>
      </c>
      <c r="B164" s="849" t="s">
        <v>258</v>
      </c>
      <c r="C164" s="811">
        <v>5740</v>
      </c>
      <c r="D164" s="857">
        <v>733</v>
      </c>
      <c r="E164" s="811">
        <v>4207.42</v>
      </c>
      <c r="F164" s="811">
        <v>33981</v>
      </c>
      <c r="G164" s="811">
        <v>1500</v>
      </c>
      <c r="H164" s="811">
        <v>50971.5</v>
      </c>
      <c r="I164" s="819">
        <v>13940</v>
      </c>
      <c r="J164" s="819">
        <v>1500</v>
      </c>
      <c r="K164" s="811">
        <v>20910</v>
      </c>
      <c r="L164" s="811">
        <v>14780</v>
      </c>
      <c r="M164" s="811">
        <v>700</v>
      </c>
      <c r="N164" s="811">
        <v>10346</v>
      </c>
      <c r="O164" s="811">
        <v>258100</v>
      </c>
      <c r="P164" s="811">
        <v>1000</v>
      </c>
      <c r="Q164" s="811">
        <v>258100</v>
      </c>
      <c r="R164" s="815" t="s">
        <v>18</v>
      </c>
      <c r="S164" s="815" t="s">
        <v>18</v>
      </c>
      <c r="T164" s="815" t="s">
        <v>18</v>
      </c>
      <c r="U164" s="815" t="s">
        <v>18</v>
      </c>
      <c r="V164" s="815" t="s">
        <v>18</v>
      </c>
      <c r="W164" s="815" t="s">
        <v>18</v>
      </c>
      <c r="X164" s="811">
        <v>326541</v>
      </c>
      <c r="Y164" s="811">
        <v>344534.92</v>
      </c>
    </row>
    <row r="165" spans="1:25" hidden="1" x14ac:dyDescent="0.25">
      <c r="A165" s="819" t="s">
        <v>26</v>
      </c>
      <c r="B165" s="849" t="s">
        <v>258</v>
      </c>
      <c r="C165" s="811">
        <v>57122</v>
      </c>
      <c r="D165" s="857">
        <v>800</v>
      </c>
      <c r="E165" s="811">
        <v>45697.599999999999</v>
      </c>
      <c r="F165" s="811">
        <v>178522</v>
      </c>
      <c r="G165" s="811">
        <v>926</v>
      </c>
      <c r="H165" s="811">
        <v>165311.372</v>
      </c>
      <c r="I165" s="819">
        <v>39132</v>
      </c>
      <c r="J165" s="819">
        <v>887</v>
      </c>
      <c r="K165" s="811">
        <v>34710.084000000003</v>
      </c>
      <c r="L165" s="811">
        <v>38876</v>
      </c>
      <c r="M165" s="811">
        <v>876</v>
      </c>
      <c r="N165" s="811">
        <v>34055.375999999997</v>
      </c>
      <c r="O165" s="811">
        <v>30000</v>
      </c>
      <c r="P165" s="811">
        <v>800</v>
      </c>
      <c r="Q165" s="811">
        <v>24000</v>
      </c>
      <c r="R165" s="815" t="s">
        <v>18</v>
      </c>
      <c r="S165" s="815" t="s">
        <v>18</v>
      </c>
      <c r="T165" s="815" t="s">
        <v>18</v>
      </c>
      <c r="U165" s="815" t="s">
        <v>18</v>
      </c>
      <c r="V165" s="815" t="s">
        <v>18</v>
      </c>
      <c r="W165" s="815" t="s">
        <v>18</v>
      </c>
      <c r="X165" s="811">
        <v>343652</v>
      </c>
      <c r="Y165" s="811">
        <v>303774.43200000003</v>
      </c>
    </row>
    <row r="166" spans="1:25" hidden="1" x14ac:dyDescent="0.25">
      <c r="A166" s="819" t="s">
        <v>27</v>
      </c>
      <c r="B166" s="849" t="s">
        <v>258</v>
      </c>
      <c r="C166" s="811">
        <v>41023</v>
      </c>
      <c r="D166" s="857">
        <v>580</v>
      </c>
      <c r="E166" s="811">
        <v>23793.34</v>
      </c>
      <c r="F166" s="811">
        <v>61072</v>
      </c>
      <c r="G166" s="811">
        <v>720</v>
      </c>
      <c r="H166" s="811">
        <v>43971.839999999997</v>
      </c>
      <c r="I166" s="819">
        <v>13444</v>
      </c>
      <c r="J166" s="819">
        <v>900</v>
      </c>
      <c r="K166" s="811">
        <v>12099.6</v>
      </c>
      <c r="L166" s="811">
        <v>26148</v>
      </c>
      <c r="M166" s="811">
        <v>1200</v>
      </c>
      <c r="N166" s="811">
        <v>31377.599999999999</v>
      </c>
      <c r="O166" s="811">
        <v>8500</v>
      </c>
      <c r="P166" s="811">
        <v>800</v>
      </c>
      <c r="Q166" s="811">
        <v>6800</v>
      </c>
      <c r="R166" s="815" t="s">
        <v>18</v>
      </c>
      <c r="S166" s="815" t="s">
        <v>18</v>
      </c>
      <c r="T166" s="815" t="s">
        <v>18</v>
      </c>
      <c r="U166" s="815" t="s">
        <v>18</v>
      </c>
      <c r="V166" s="815" t="s">
        <v>18</v>
      </c>
      <c r="W166" s="815" t="s">
        <v>18</v>
      </c>
      <c r="X166" s="811">
        <v>150187</v>
      </c>
      <c r="Y166" s="811">
        <v>118042.38</v>
      </c>
    </row>
    <row r="167" spans="1:25" hidden="1" x14ac:dyDescent="0.25">
      <c r="A167" s="819" t="s">
        <v>50</v>
      </c>
      <c r="B167" s="849" t="s">
        <v>258</v>
      </c>
      <c r="C167" s="811">
        <v>31881</v>
      </c>
      <c r="D167" s="857">
        <v>565</v>
      </c>
      <c r="E167" s="811">
        <v>18012.764999999999</v>
      </c>
      <c r="F167" s="811">
        <v>44750</v>
      </c>
      <c r="G167" s="811">
        <v>832</v>
      </c>
      <c r="H167" s="811">
        <v>37232</v>
      </c>
      <c r="I167" s="819">
        <v>9659</v>
      </c>
      <c r="J167" s="819">
        <v>1007</v>
      </c>
      <c r="K167" s="811">
        <v>9726.6129999999994</v>
      </c>
      <c r="L167" s="811">
        <v>11203</v>
      </c>
      <c r="M167" s="811">
        <v>1495</v>
      </c>
      <c r="N167" s="811">
        <v>16748.485000000001</v>
      </c>
      <c r="O167" s="815" t="s">
        <v>18</v>
      </c>
      <c r="P167" s="815" t="s">
        <v>18</v>
      </c>
      <c r="Q167" s="815" t="s">
        <v>18</v>
      </c>
      <c r="R167" s="815" t="s">
        <v>18</v>
      </c>
      <c r="S167" s="815" t="s">
        <v>18</v>
      </c>
      <c r="T167" s="815" t="s">
        <v>18</v>
      </c>
      <c r="U167" s="815" t="s">
        <v>18</v>
      </c>
      <c r="V167" s="815" t="s">
        <v>18</v>
      </c>
      <c r="W167" s="815" t="s">
        <v>18</v>
      </c>
      <c r="X167" s="811">
        <v>97493</v>
      </c>
      <c r="Y167" s="811">
        <v>81719.862999999998</v>
      </c>
    </row>
    <row r="168" spans="1:25" hidden="1" x14ac:dyDescent="0.25">
      <c r="A168" s="888" t="s">
        <v>163</v>
      </c>
      <c r="B168" s="849" t="s">
        <v>258</v>
      </c>
      <c r="C168" s="811">
        <v>26375</v>
      </c>
      <c r="D168" s="857">
        <v>704</v>
      </c>
      <c r="E168" s="811">
        <v>18568</v>
      </c>
      <c r="F168" s="811">
        <v>76808</v>
      </c>
      <c r="G168" s="811">
        <v>999</v>
      </c>
      <c r="H168" s="811">
        <v>76731.191999999995</v>
      </c>
      <c r="I168" s="819">
        <v>19200</v>
      </c>
      <c r="J168" s="819">
        <v>825</v>
      </c>
      <c r="K168" s="811">
        <v>15840</v>
      </c>
      <c r="L168" s="811">
        <v>10972</v>
      </c>
      <c r="M168" s="811">
        <v>974</v>
      </c>
      <c r="N168" s="811">
        <v>10686.727999999999</v>
      </c>
      <c r="O168" s="815" t="s">
        <v>18</v>
      </c>
      <c r="P168" s="815" t="s">
        <v>18</v>
      </c>
      <c r="Q168" s="815" t="s">
        <v>18</v>
      </c>
      <c r="R168" s="815" t="s">
        <v>18</v>
      </c>
      <c r="S168" s="815" t="s">
        <v>18</v>
      </c>
      <c r="T168" s="815" t="s">
        <v>18</v>
      </c>
      <c r="U168" s="815" t="s">
        <v>18</v>
      </c>
      <c r="V168" s="815" t="s">
        <v>18</v>
      </c>
      <c r="W168" s="815" t="s">
        <v>18</v>
      </c>
      <c r="X168" s="811">
        <v>133355</v>
      </c>
      <c r="Y168" s="811">
        <v>121825.92</v>
      </c>
    </row>
    <row r="169" spans="1:25" hidden="1" x14ac:dyDescent="0.25">
      <c r="A169" s="864" t="s">
        <v>52</v>
      </c>
      <c r="B169" s="849" t="s">
        <v>258</v>
      </c>
      <c r="C169" s="811">
        <v>87439</v>
      </c>
      <c r="D169" s="857">
        <v>684</v>
      </c>
      <c r="E169" s="811">
        <v>59808.275999999998</v>
      </c>
      <c r="F169" s="811">
        <v>143827</v>
      </c>
      <c r="G169" s="811">
        <v>610</v>
      </c>
      <c r="H169" s="811">
        <v>87734.47</v>
      </c>
      <c r="I169" s="819">
        <v>16296</v>
      </c>
      <c r="J169" s="819">
        <v>840</v>
      </c>
      <c r="K169" s="811">
        <v>13688.64</v>
      </c>
      <c r="L169" s="811">
        <v>5702</v>
      </c>
      <c r="M169" s="811">
        <v>657</v>
      </c>
      <c r="N169" s="811">
        <v>3746.2139999999999</v>
      </c>
      <c r="O169" s="811">
        <v>800</v>
      </c>
      <c r="P169" s="811">
        <v>900</v>
      </c>
      <c r="Q169" s="811">
        <v>720</v>
      </c>
      <c r="R169" s="815" t="s">
        <v>18</v>
      </c>
      <c r="S169" s="815" t="s">
        <v>18</v>
      </c>
      <c r="T169" s="815" t="s">
        <v>18</v>
      </c>
      <c r="U169" s="815" t="s">
        <v>18</v>
      </c>
      <c r="V169" s="815" t="s">
        <v>18</v>
      </c>
      <c r="W169" s="815" t="s">
        <v>18</v>
      </c>
      <c r="X169" s="811">
        <v>254064</v>
      </c>
      <c r="Y169" s="811">
        <v>165697.60000000001</v>
      </c>
    </row>
    <row r="170" spans="1:25" hidden="1" x14ac:dyDescent="0.25">
      <c r="A170" s="819" t="s">
        <v>15</v>
      </c>
      <c r="B170" s="849" t="s">
        <v>259</v>
      </c>
      <c r="C170" s="811">
        <v>133000</v>
      </c>
      <c r="D170" s="866">
        <v>470</v>
      </c>
      <c r="E170" s="811">
        <v>62510</v>
      </c>
      <c r="F170" s="811">
        <v>59490</v>
      </c>
      <c r="G170" s="855">
        <v>400</v>
      </c>
      <c r="H170" s="811">
        <v>23796</v>
      </c>
      <c r="I170" s="811"/>
      <c r="J170" s="861" t="s">
        <v>18</v>
      </c>
      <c r="K170" s="811"/>
      <c r="L170" s="819"/>
      <c r="M170" s="861" t="s">
        <v>18</v>
      </c>
      <c r="N170" s="811"/>
      <c r="O170" s="811">
        <v>12000</v>
      </c>
      <c r="P170" s="862" t="s">
        <v>18</v>
      </c>
      <c r="Q170" s="811"/>
      <c r="R170" s="818"/>
      <c r="S170" s="818"/>
      <c r="T170" s="811">
        <v>0</v>
      </c>
      <c r="U170" s="818"/>
      <c r="V170" s="818"/>
      <c r="W170" s="811">
        <v>0</v>
      </c>
      <c r="X170" s="811">
        <v>204490</v>
      </c>
      <c r="Y170" s="811">
        <v>86306</v>
      </c>
    </row>
    <row r="171" spans="1:25" hidden="1" x14ac:dyDescent="0.25">
      <c r="A171" s="864" t="s">
        <v>16</v>
      </c>
      <c r="B171" s="849" t="s">
        <v>259</v>
      </c>
      <c r="C171" s="816"/>
      <c r="D171" s="929" t="s">
        <v>18</v>
      </c>
      <c r="E171" s="861" t="s">
        <v>18</v>
      </c>
      <c r="F171" s="861" t="s">
        <v>18</v>
      </c>
      <c r="G171" s="861" t="s">
        <v>18</v>
      </c>
      <c r="H171" s="861" t="s">
        <v>18</v>
      </c>
      <c r="I171" s="861" t="s">
        <v>18</v>
      </c>
      <c r="J171" s="861" t="s">
        <v>18</v>
      </c>
      <c r="K171" s="861" t="s">
        <v>18</v>
      </c>
      <c r="L171" s="861" t="s">
        <v>18</v>
      </c>
      <c r="M171" s="861" t="s">
        <v>18</v>
      </c>
      <c r="N171" s="861" t="s">
        <v>18</v>
      </c>
      <c r="O171" s="861" t="s">
        <v>18</v>
      </c>
      <c r="P171" s="862" t="s">
        <v>18</v>
      </c>
      <c r="Q171" s="861" t="s">
        <v>18</v>
      </c>
      <c r="R171" s="861" t="s">
        <v>18</v>
      </c>
      <c r="S171" s="861" t="s">
        <v>18</v>
      </c>
      <c r="T171" s="861" t="s">
        <v>18</v>
      </c>
      <c r="U171" s="861" t="s">
        <v>18</v>
      </c>
      <c r="V171" s="861" t="s">
        <v>18</v>
      </c>
      <c r="W171" s="861" t="s">
        <v>18</v>
      </c>
      <c r="X171" s="861" t="s">
        <v>18</v>
      </c>
      <c r="Y171" s="861" t="s">
        <v>18</v>
      </c>
    </row>
    <row r="172" spans="1:25" hidden="1" x14ac:dyDescent="0.25">
      <c r="A172" s="819" t="s">
        <v>17</v>
      </c>
      <c r="B172" s="849" t="s">
        <v>259</v>
      </c>
      <c r="C172" s="819">
        <v>83530</v>
      </c>
      <c r="D172" s="866">
        <v>460</v>
      </c>
      <c r="E172" s="811">
        <v>38423.800000000003</v>
      </c>
      <c r="F172" s="811">
        <v>20660</v>
      </c>
      <c r="G172" s="855">
        <v>256</v>
      </c>
      <c r="H172" s="811">
        <v>5288.96</v>
      </c>
      <c r="I172" s="818"/>
      <c r="J172" s="861" t="s">
        <v>18</v>
      </c>
      <c r="K172" s="861">
        <v>0</v>
      </c>
      <c r="L172" s="818"/>
      <c r="M172" s="861" t="s">
        <v>18</v>
      </c>
      <c r="N172" s="811">
        <v>0</v>
      </c>
      <c r="O172" s="818">
        <v>6750</v>
      </c>
      <c r="P172" s="862">
        <v>700</v>
      </c>
      <c r="Q172" s="811">
        <v>4725</v>
      </c>
      <c r="R172" s="818"/>
      <c r="S172" s="818"/>
      <c r="T172" s="811">
        <v>0</v>
      </c>
      <c r="U172" s="818"/>
      <c r="V172" s="818"/>
      <c r="W172" s="811">
        <v>0</v>
      </c>
      <c r="X172" s="811">
        <v>110940</v>
      </c>
      <c r="Y172" s="811">
        <v>48437.760000000002</v>
      </c>
    </row>
    <row r="173" spans="1:25" hidden="1" x14ac:dyDescent="0.25">
      <c r="A173" s="819" t="s">
        <v>103</v>
      </c>
      <c r="B173" s="849" t="s">
        <v>259</v>
      </c>
      <c r="C173" s="811">
        <v>107820</v>
      </c>
      <c r="D173" s="866">
        <v>527</v>
      </c>
      <c r="E173" s="811">
        <v>56821.14</v>
      </c>
      <c r="F173" s="811">
        <v>64798</v>
      </c>
      <c r="G173" s="855">
        <v>890</v>
      </c>
      <c r="H173" s="811">
        <v>57670.22</v>
      </c>
      <c r="I173" s="811">
        <v>19986</v>
      </c>
      <c r="J173" s="863">
        <v>745</v>
      </c>
      <c r="K173" s="811">
        <v>14889.57</v>
      </c>
      <c r="L173" s="811">
        <v>50</v>
      </c>
      <c r="M173" s="855">
        <v>3150</v>
      </c>
      <c r="N173" s="811">
        <v>157.5</v>
      </c>
      <c r="O173" s="811">
        <v>37000</v>
      </c>
      <c r="P173" s="863">
        <v>800</v>
      </c>
      <c r="Q173" s="811">
        <v>29600</v>
      </c>
      <c r="R173" s="818"/>
      <c r="S173" s="818"/>
      <c r="T173" s="811">
        <v>0</v>
      </c>
      <c r="U173" s="818"/>
      <c r="V173" s="818"/>
      <c r="W173" s="811">
        <v>0</v>
      </c>
      <c r="X173" s="811">
        <v>229654</v>
      </c>
      <c r="Y173" s="811">
        <v>159138.43</v>
      </c>
    </row>
    <row r="174" spans="1:25" hidden="1" x14ac:dyDescent="0.25">
      <c r="A174" s="819" t="s">
        <v>20</v>
      </c>
      <c r="B174" s="849" t="s">
        <v>259</v>
      </c>
      <c r="C174" s="811">
        <v>41100</v>
      </c>
      <c r="D174" s="866">
        <v>600</v>
      </c>
      <c r="E174" s="811">
        <v>24660</v>
      </c>
      <c r="F174" s="811">
        <v>67850</v>
      </c>
      <c r="G174" s="855">
        <v>643</v>
      </c>
      <c r="H174" s="811">
        <v>43627.55</v>
      </c>
      <c r="I174" s="811">
        <v>947</v>
      </c>
      <c r="J174" s="863">
        <v>700</v>
      </c>
      <c r="K174" s="811">
        <v>662.9</v>
      </c>
      <c r="L174" s="811"/>
      <c r="M174" s="855"/>
      <c r="N174" s="811"/>
      <c r="O174" s="811">
        <v>20000</v>
      </c>
      <c r="P174" s="863">
        <v>790</v>
      </c>
      <c r="Q174" s="811">
        <v>15800</v>
      </c>
      <c r="R174" s="818"/>
      <c r="S174" s="818"/>
      <c r="T174" s="811">
        <v>0</v>
      </c>
      <c r="U174" s="818"/>
      <c r="V174" s="818"/>
      <c r="W174" s="811">
        <v>0</v>
      </c>
      <c r="X174" s="811">
        <v>129897</v>
      </c>
      <c r="Y174" s="811">
        <v>84750.45</v>
      </c>
    </row>
    <row r="175" spans="1:25" hidden="1" x14ac:dyDescent="0.25">
      <c r="A175" s="819" t="s">
        <v>21</v>
      </c>
      <c r="B175" s="849" t="s">
        <v>259</v>
      </c>
      <c r="C175" s="811">
        <v>93360</v>
      </c>
      <c r="D175" s="866">
        <v>286</v>
      </c>
      <c r="E175" s="811">
        <v>26700.959999999999</v>
      </c>
      <c r="F175" s="818"/>
      <c r="G175" s="861" t="s">
        <v>18</v>
      </c>
      <c r="H175" s="811"/>
      <c r="I175" s="819">
        <v>1600</v>
      </c>
      <c r="J175" s="864">
        <v>500</v>
      </c>
      <c r="K175" s="811">
        <v>800</v>
      </c>
      <c r="L175" s="818"/>
      <c r="M175" s="861" t="s">
        <v>18</v>
      </c>
      <c r="N175" s="811"/>
      <c r="O175" s="816"/>
      <c r="P175" s="862" t="s">
        <v>18</v>
      </c>
      <c r="Q175" s="811"/>
      <c r="R175" s="818"/>
      <c r="S175" s="818"/>
      <c r="T175" s="811">
        <v>0</v>
      </c>
      <c r="U175" s="818"/>
      <c r="V175" s="818"/>
      <c r="W175" s="811">
        <v>0</v>
      </c>
      <c r="X175" s="811">
        <v>94960</v>
      </c>
      <c r="Y175" s="811">
        <v>27500.959999999999</v>
      </c>
    </row>
    <row r="176" spans="1:25" hidden="1" x14ac:dyDescent="0.25">
      <c r="A176" s="819" t="s">
        <v>22</v>
      </c>
      <c r="B176" s="849" t="s">
        <v>259</v>
      </c>
      <c r="C176" s="811">
        <v>79337</v>
      </c>
      <c r="D176" s="866">
        <v>500</v>
      </c>
      <c r="E176" s="811">
        <v>39668.5</v>
      </c>
      <c r="F176" s="818">
        <v>3186</v>
      </c>
      <c r="G176" s="864">
        <v>1000</v>
      </c>
      <c r="H176" s="811">
        <v>3186</v>
      </c>
      <c r="I176" s="811">
        <v>44710</v>
      </c>
      <c r="J176" s="863">
        <v>1500</v>
      </c>
      <c r="K176" s="811">
        <v>67065</v>
      </c>
      <c r="L176" s="818"/>
      <c r="M176" s="861" t="s">
        <v>18</v>
      </c>
      <c r="N176" s="811"/>
      <c r="O176" s="818"/>
      <c r="P176" s="862" t="s">
        <v>18</v>
      </c>
      <c r="Q176" s="811"/>
      <c r="R176" s="811">
        <v>4500</v>
      </c>
      <c r="S176" s="811">
        <v>1865</v>
      </c>
      <c r="T176" s="811">
        <v>8392.5</v>
      </c>
      <c r="U176" s="818"/>
      <c r="V176" s="818"/>
      <c r="W176" s="811">
        <v>0</v>
      </c>
      <c r="X176" s="811">
        <v>131733</v>
      </c>
      <c r="Y176" s="811">
        <v>118312</v>
      </c>
    </row>
    <row r="177" spans="1:25" hidden="1" x14ac:dyDescent="0.25">
      <c r="A177" s="819" t="s">
        <v>23</v>
      </c>
      <c r="B177" s="849" t="s">
        <v>259</v>
      </c>
      <c r="C177" s="811">
        <v>112980</v>
      </c>
      <c r="D177" s="866">
        <v>640</v>
      </c>
      <c r="E177" s="811">
        <v>72307.199999999997</v>
      </c>
      <c r="F177" s="811">
        <v>61790</v>
      </c>
      <c r="G177" s="863">
        <v>767</v>
      </c>
      <c r="H177" s="811">
        <v>47392.93</v>
      </c>
      <c r="I177" s="819">
        <v>15660</v>
      </c>
      <c r="J177" s="865" t="s">
        <v>18</v>
      </c>
      <c r="K177" s="865">
        <v>0</v>
      </c>
      <c r="L177" s="811">
        <v>10000</v>
      </c>
      <c r="M177" s="861">
        <v>1500</v>
      </c>
      <c r="N177" s="811">
        <v>15000</v>
      </c>
      <c r="O177" s="816">
        <v>30750</v>
      </c>
      <c r="P177" s="862">
        <v>800</v>
      </c>
      <c r="Q177" s="811">
        <v>24600</v>
      </c>
      <c r="R177" s="818"/>
      <c r="S177" s="818"/>
      <c r="T177" s="811">
        <v>0</v>
      </c>
      <c r="U177" s="818"/>
      <c r="V177" s="818"/>
      <c r="W177" s="811">
        <v>0</v>
      </c>
      <c r="X177" s="811">
        <v>231180</v>
      </c>
      <c r="Y177" s="811">
        <v>159300.13</v>
      </c>
    </row>
    <row r="178" spans="1:25" hidden="1" x14ac:dyDescent="0.25">
      <c r="A178" s="819" t="s">
        <v>24</v>
      </c>
      <c r="B178" s="849" t="s">
        <v>259</v>
      </c>
      <c r="C178" s="811">
        <v>5469</v>
      </c>
      <c r="D178" s="866">
        <v>733</v>
      </c>
      <c r="E178" s="811">
        <v>4008.777</v>
      </c>
      <c r="F178" s="811">
        <v>27434</v>
      </c>
      <c r="G178" s="855">
        <v>1500</v>
      </c>
      <c r="H178" s="811">
        <v>41151</v>
      </c>
      <c r="I178" s="811">
        <v>18375</v>
      </c>
      <c r="J178" s="864">
        <v>1500</v>
      </c>
      <c r="K178" s="811">
        <v>27562.5</v>
      </c>
      <c r="L178" s="811">
        <v>8260</v>
      </c>
      <c r="M178" s="855">
        <v>700</v>
      </c>
      <c r="N178" s="811">
        <v>5782</v>
      </c>
      <c r="O178" s="819">
        <v>318150</v>
      </c>
      <c r="P178" s="866">
        <v>1500</v>
      </c>
      <c r="Q178" s="811">
        <v>477225</v>
      </c>
      <c r="R178" s="818"/>
      <c r="S178" s="818"/>
      <c r="T178" s="811">
        <v>0</v>
      </c>
      <c r="U178" s="818"/>
      <c r="V178" s="818"/>
      <c r="W178" s="811">
        <v>0</v>
      </c>
      <c r="X178" s="811">
        <v>377688</v>
      </c>
      <c r="Y178" s="811">
        <v>555729.277</v>
      </c>
    </row>
    <row r="179" spans="1:25" hidden="1" x14ac:dyDescent="0.25">
      <c r="A179" s="819" t="s">
        <v>26</v>
      </c>
      <c r="B179" s="849" t="s">
        <v>259</v>
      </c>
      <c r="C179" s="811">
        <v>54495</v>
      </c>
      <c r="D179" s="857">
        <v>863</v>
      </c>
      <c r="E179" s="811">
        <v>47029.184999999998</v>
      </c>
      <c r="F179" s="811">
        <v>173276</v>
      </c>
      <c r="G179" s="811">
        <v>750</v>
      </c>
      <c r="H179" s="811">
        <v>129957</v>
      </c>
      <c r="I179" s="811">
        <v>47806</v>
      </c>
      <c r="J179" s="811">
        <v>1011</v>
      </c>
      <c r="K179" s="811">
        <v>48331.866000000002</v>
      </c>
      <c r="L179" s="811">
        <v>27427</v>
      </c>
      <c r="M179" s="811">
        <v>1020</v>
      </c>
      <c r="N179" s="811">
        <v>27975.54</v>
      </c>
      <c r="O179" s="819">
        <v>32000</v>
      </c>
      <c r="P179" s="811">
        <v>1000</v>
      </c>
      <c r="Q179" s="811">
        <v>32000</v>
      </c>
      <c r="R179" s="818"/>
      <c r="S179" s="818"/>
      <c r="T179" s="811">
        <v>0</v>
      </c>
      <c r="U179" s="818"/>
      <c r="V179" s="818"/>
      <c r="W179" s="811">
        <v>0</v>
      </c>
      <c r="X179" s="811">
        <v>335004</v>
      </c>
      <c r="Y179" s="811">
        <v>285293.59100000001</v>
      </c>
    </row>
    <row r="180" spans="1:25" hidden="1" x14ac:dyDescent="0.25">
      <c r="A180" s="819" t="s">
        <v>27</v>
      </c>
      <c r="B180" s="849" t="s">
        <v>259</v>
      </c>
      <c r="C180" s="811">
        <v>22760</v>
      </c>
      <c r="D180" s="857">
        <v>600</v>
      </c>
      <c r="E180" s="811">
        <v>13656</v>
      </c>
      <c r="F180" s="811">
        <v>92714</v>
      </c>
      <c r="G180" s="811">
        <v>720</v>
      </c>
      <c r="H180" s="811">
        <v>66754.080000000002</v>
      </c>
      <c r="I180" s="811">
        <v>7677</v>
      </c>
      <c r="J180" s="811">
        <v>900</v>
      </c>
      <c r="K180" s="811">
        <v>6909.3</v>
      </c>
      <c r="L180" s="811">
        <v>28372</v>
      </c>
      <c r="M180" s="811">
        <v>1500</v>
      </c>
      <c r="N180" s="811">
        <v>42558</v>
      </c>
      <c r="O180" s="811"/>
      <c r="P180" s="811"/>
      <c r="Q180" s="811">
        <v>0</v>
      </c>
      <c r="R180" s="818"/>
      <c r="S180" s="818"/>
      <c r="T180" s="811">
        <v>0</v>
      </c>
      <c r="U180" s="818"/>
      <c r="V180" s="818"/>
      <c r="W180" s="811">
        <v>0</v>
      </c>
      <c r="X180" s="811">
        <v>151523</v>
      </c>
      <c r="Y180" s="811">
        <v>129877.38</v>
      </c>
    </row>
    <row r="181" spans="1:25" hidden="1" x14ac:dyDescent="0.25">
      <c r="A181" s="819" t="s">
        <v>50</v>
      </c>
      <c r="B181" s="849" t="s">
        <v>259</v>
      </c>
      <c r="C181" s="811">
        <v>77805</v>
      </c>
      <c r="D181" s="857">
        <v>657</v>
      </c>
      <c r="E181" s="811">
        <v>51117.885000000002</v>
      </c>
      <c r="F181" s="811">
        <v>42218</v>
      </c>
      <c r="G181" s="811">
        <v>432</v>
      </c>
      <c r="H181" s="811">
        <v>18238.175999999999</v>
      </c>
      <c r="I181" s="811">
        <v>9113</v>
      </c>
      <c r="J181" s="811">
        <v>850</v>
      </c>
      <c r="K181" s="811">
        <v>7746.05</v>
      </c>
      <c r="L181" s="811">
        <v>2273</v>
      </c>
      <c r="M181" s="811">
        <v>1850</v>
      </c>
      <c r="N181" s="811">
        <v>4205.05</v>
      </c>
      <c r="O181" s="819"/>
      <c r="P181" s="818"/>
      <c r="Q181" s="811">
        <v>0</v>
      </c>
      <c r="R181" s="818"/>
      <c r="S181" s="818"/>
      <c r="T181" s="811">
        <v>0</v>
      </c>
      <c r="U181" s="811"/>
      <c r="V181" s="811"/>
      <c r="W181" s="811">
        <v>0</v>
      </c>
      <c r="X181" s="811">
        <v>131409</v>
      </c>
      <c r="Y181" s="811">
        <v>81307.161000000007</v>
      </c>
    </row>
    <row r="182" spans="1:25" hidden="1" x14ac:dyDescent="0.25">
      <c r="A182" s="888" t="s">
        <v>163</v>
      </c>
      <c r="B182" s="849" t="s">
        <v>259</v>
      </c>
      <c r="C182" s="811">
        <v>25272</v>
      </c>
      <c r="D182" s="857">
        <v>805</v>
      </c>
      <c r="E182" s="811">
        <v>20343.96</v>
      </c>
      <c r="F182" s="811">
        <v>81912</v>
      </c>
      <c r="G182" s="811">
        <v>820</v>
      </c>
      <c r="H182" s="811">
        <v>67167.839999999997</v>
      </c>
      <c r="I182" s="811">
        <v>16932</v>
      </c>
      <c r="J182" s="811">
        <v>890</v>
      </c>
      <c r="K182" s="811">
        <v>15069.48</v>
      </c>
      <c r="L182" s="811">
        <v>1084</v>
      </c>
      <c r="M182" s="811">
        <v>2740</v>
      </c>
      <c r="N182" s="811">
        <v>2970.16</v>
      </c>
      <c r="O182" s="819"/>
      <c r="P182" s="818"/>
      <c r="Q182" s="811">
        <v>0</v>
      </c>
      <c r="R182" s="818"/>
      <c r="S182" s="818"/>
      <c r="T182" s="811">
        <v>0</v>
      </c>
      <c r="U182" s="818"/>
      <c r="V182" s="818"/>
      <c r="W182" s="811">
        <v>0</v>
      </c>
      <c r="X182" s="811">
        <v>125200</v>
      </c>
      <c r="Y182" s="811">
        <v>105551.43999999999</v>
      </c>
    </row>
    <row r="183" spans="1:25" hidden="1" x14ac:dyDescent="0.25">
      <c r="A183" s="864" t="s">
        <v>52</v>
      </c>
      <c r="B183" s="849" t="s">
        <v>259</v>
      </c>
      <c r="C183" s="811">
        <v>60696</v>
      </c>
      <c r="D183" s="857">
        <v>630</v>
      </c>
      <c r="E183" s="811">
        <v>38238.480000000003</v>
      </c>
      <c r="F183" s="811">
        <v>130816</v>
      </c>
      <c r="G183" s="811">
        <v>553</v>
      </c>
      <c r="H183" s="811">
        <v>72341.248000000007</v>
      </c>
      <c r="I183" s="811">
        <v>14377</v>
      </c>
      <c r="J183" s="811">
        <v>850</v>
      </c>
      <c r="K183" s="811">
        <v>12220.45</v>
      </c>
      <c r="L183" s="811">
        <v>7730</v>
      </c>
      <c r="M183" s="811">
        <v>1000</v>
      </c>
      <c r="N183" s="811">
        <v>7730</v>
      </c>
      <c r="O183" s="811"/>
      <c r="P183" s="811"/>
      <c r="Q183" s="811">
        <v>0</v>
      </c>
      <c r="R183" s="818"/>
      <c r="S183" s="818"/>
      <c r="T183" s="811">
        <v>0</v>
      </c>
      <c r="U183" s="818"/>
      <c r="V183" s="818"/>
      <c r="W183" s="811">
        <v>0</v>
      </c>
      <c r="X183" s="811">
        <v>213619</v>
      </c>
      <c r="Y183" s="811">
        <v>130530.178</v>
      </c>
    </row>
    <row r="184" spans="1:25" hidden="1" x14ac:dyDescent="0.25">
      <c r="A184" s="819" t="s">
        <v>15</v>
      </c>
      <c r="B184" s="849" t="s">
        <v>260</v>
      </c>
      <c r="C184" s="811">
        <v>99000</v>
      </c>
      <c r="D184" s="857">
        <v>224</v>
      </c>
      <c r="E184" s="811">
        <v>22176</v>
      </c>
      <c r="F184" s="811">
        <v>38417</v>
      </c>
      <c r="G184" s="811">
        <v>400</v>
      </c>
      <c r="H184" s="811">
        <v>15366.8</v>
      </c>
      <c r="I184" s="815"/>
      <c r="J184" s="822"/>
      <c r="K184" s="811">
        <v>0</v>
      </c>
      <c r="L184" s="815"/>
      <c r="M184" s="815"/>
      <c r="N184" s="811">
        <v>0</v>
      </c>
      <c r="O184" s="817">
        <v>12000</v>
      </c>
      <c r="P184" s="815">
        <v>800</v>
      </c>
      <c r="Q184" s="811">
        <v>9600</v>
      </c>
      <c r="R184" s="815"/>
      <c r="S184" s="815"/>
      <c r="T184" s="811">
        <v>0</v>
      </c>
      <c r="U184" s="815"/>
      <c r="V184" s="815"/>
      <c r="W184" s="811">
        <v>0</v>
      </c>
      <c r="X184" s="811">
        <v>149417</v>
      </c>
      <c r="Y184" s="811">
        <v>47142.8</v>
      </c>
    </row>
    <row r="185" spans="1:25" hidden="1" x14ac:dyDescent="0.25">
      <c r="A185" s="864" t="s">
        <v>16</v>
      </c>
      <c r="B185" s="849" t="s">
        <v>260</v>
      </c>
      <c r="C185" s="815"/>
      <c r="D185" s="928"/>
      <c r="E185" s="811">
        <v>0</v>
      </c>
      <c r="F185" s="815"/>
      <c r="G185" s="815"/>
      <c r="H185" s="811">
        <v>0</v>
      </c>
      <c r="I185" s="815"/>
      <c r="J185" s="822"/>
      <c r="K185" s="811">
        <v>0</v>
      </c>
      <c r="L185" s="815"/>
      <c r="M185" s="815"/>
      <c r="N185" s="811">
        <v>0</v>
      </c>
      <c r="O185" s="817"/>
      <c r="P185" s="815"/>
      <c r="Q185" s="811">
        <v>0</v>
      </c>
      <c r="R185" s="815"/>
      <c r="S185" s="815"/>
      <c r="T185" s="811">
        <v>0</v>
      </c>
      <c r="U185" s="815"/>
      <c r="V185" s="815"/>
      <c r="W185" s="811">
        <v>0</v>
      </c>
      <c r="X185" s="811">
        <v>0</v>
      </c>
      <c r="Y185" s="811">
        <v>0</v>
      </c>
    </row>
    <row r="186" spans="1:25" hidden="1" x14ac:dyDescent="0.25">
      <c r="A186" s="819" t="s">
        <v>17</v>
      </c>
      <c r="B186" s="849" t="s">
        <v>260</v>
      </c>
      <c r="C186" s="811">
        <v>40000</v>
      </c>
      <c r="D186" s="857">
        <v>287</v>
      </c>
      <c r="E186" s="811">
        <v>11480</v>
      </c>
      <c r="F186" s="811">
        <v>12000</v>
      </c>
      <c r="G186" s="811">
        <v>500</v>
      </c>
      <c r="H186" s="811">
        <v>6000</v>
      </c>
      <c r="I186" s="815"/>
      <c r="J186" s="822"/>
      <c r="K186" s="811">
        <v>0</v>
      </c>
      <c r="L186" s="815"/>
      <c r="M186" s="815"/>
      <c r="N186" s="811">
        <v>0</v>
      </c>
      <c r="O186" s="817"/>
      <c r="P186" s="815"/>
      <c r="Q186" s="811">
        <v>0</v>
      </c>
      <c r="R186" s="815"/>
      <c r="S186" s="815"/>
      <c r="T186" s="811">
        <v>0</v>
      </c>
      <c r="U186" s="815"/>
      <c r="V186" s="815"/>
      <c r="W186" s="811">
        <v>0</v>
      </c>
      <c r="X186" s="811">
        <v>52000</v>
      </c>
      <c r="Y186" s="811">
        <v>17480</v>
      </c>
    </row>
    <row r="187" spans="1:25" hidden="1" x14ac:dyDescent="0.25">
      <c r="A187" s="819" t="s">
        <v>103</v>
      </c>
      <c r="B187" s="849" t="s">
        <v>260</v>
      </c>
      <c r="C187" s="811">
        <v>166110</v>
      </c>
      <c r="D187" s="857">
        <v>538</v>
      </c>
      <c r="E187" s="811">
        <v>89367.18</v>
      </c>
      <c r="F187" s="811">
        <v>195851</v>
      </c>
      <c r="G187" s="811">
        <v>600</v>
      </c>
      <c r="H187" s="811">
        <v>117510.6</v>
      </c>
      <c r="I187" s="819">
        <v>61582</v>
      </c>
      <c r="J187" s="817">
        <v>740</v>
      </c>
      <c r="K187" s="811">
        <v>45570.68</v>
      </c>
      <c r="L187" s="811">
        <v>5821</v>
      </c>
      <c r="M187" s="811">
        <v>3500</v>
      </c>
      <c r="N187" s="811">
        <v>20373.5</v>
      </c>
      <c r="O187" s="819">
        <v>30000</v>
      </c>
      <c r="P187" s="811">
        <v>800</v>
      </c>
      <c r="Q187" s="811">
        <v>24000</v>
      </c>
      <c r="R187" s="815"/>
      <c r="S187" s="815"/>
      <c r="T187" s="811">
        <v>0</v>
      </c>
      <c r="U187" s="815"/>
      <c r="V187" s="815"/>
      <c r="W187" s="811">
        <v>0</v>
      </c>
      <c r="X187" s="811">
        <v>459364</v>
      </c>
      <c r="Y187" s="811">
        <v>296821.95999999996</v>
      </c>
    </row>
    <row r="188" spans="1:25" hidden="1" x14ac:dyDescent="0.25">
      <c r="A188" s="819" t="s">
        <v>20</v>
      </c>
      <c r="B188" s="849" t="s">
        <v>260</v>
      </c>
      <c r="C188" s="811">
        <v>45000</v>
      </c>
      <c r="D188" s="857">
        <v>615</v>
      </c>
      <c r="E188" s="811">
        <v>27675</v>
      </c>
      <c r="F188" s="811">
        <v>70000</v>
      </c>
      <c r="G188" s="811">
        <v>634</v>
      </c>
      <c r="H188" s="811">
        <v>44380</v>
      </c>
      <c r="I188" s="819">
        <v>7324</v>
      </c>
      <c r="J188" s="817">
        <v>700</v>
      </c>
      <c r="K188" s="811">
        <v>5126.8</v>
      </c>
      <c r="L188" s="811">
        <v>5965</v>
      </c>
      <c r="M188" s="811">
        <v>1500</v>
      </c>
      <c r="N188" s="811">
        <v>8947.5</v>
      </c>
      <c r="O188" s="819">
        <v>20000</v>
      </c>
      <c r="P188" s="811">
        <v>790</v>
      </c>
      <c r="Q188" s="811">
        <v>15800</v>
      </c>
      <c r="R188" s="815"/>
      <c r="S188" s="815"/>
      <c r="T188" s="811">
        <v>0</v>
      </c>
      <c r="U188" s="815"/>
      <c r="V188" s="815"/>
      <c r="W188" s="811">
        <v>0</v>
      </c>
      <c r="X188" s="811">
        <v>148289</v>
      </c>
      <c r="Y188" s="811">
        <v>101929.3</v>
      </c>
    </row>
    <row r="189" spans="1:25" hidden="1" x14ac:dyDescent="0.25">
      <c r="A189" s="819" t="s">
        <v>21</v>
      </c>
      <c r="B189" s="849" t="s">
        <v>260</v>
      </c>
      <c r="C189" s="811">
        <v>97043</v>
      </c>
      <c r="D189" s="857">
        <v>278</v>
      </c>
      <c r="E189" s="811">
        <v>26977.954000000002</v>
      </c>
      <c r="F189" s="817">
        <v>240</v>
      </c>
      <c r="G189" s="817">
        <v>300</v>
      </c>
      <c r="H189" s="811">
        <v>72</v>
      </c>
      <c r="I189" s="819">
        <v>1235</v>
      </c>
      <c r="J189" s="817">
        <v>500</v>
      </c>
      <c r="K189" s="811">
        <v>617.5</v>
      </c>
      <c r="L189" s="815"/>
      <c r="M189" s="815"/>
      <c r="N189" s="811">
        <v>0</v>
      </c>
      <c r="O189" s="817"/>
      <c r="P189" s="815"/>
      <c r="Q189" s="811">
        <v>0</v>
      </c>
      <c r="R189" s="815"/>
      <c r="S189" s="815"/>
      <c r="T189" s="811">
        <v>0</v>
      </c>
      <c r="U189" s="815"/>
      <c r="V189" s="815"/>
      <c r="W189" s="811">
        <v>0</v>
      </c>
      <c r="X189" s="811">
        <v>98518</v>
      </c>
      <c r="Y189" s="811">
        <v>27667.454000000002</v>
      </c>
    </row>
    <row r="190" spans="1:25" hidden="1" x14ac:dyDescent="0.25">
      <c r="A190" s="819" t="s">
        <v>22</v>
      </c>
      <c r="B190" s="849" t="s">
        <v>260</v>
      </c>
      <c r="C190" s="811">
        <v>69439</v>
      </c>
      <c r="D190" s="857">
        <v>224</v>
      </c>
      <c r="E190" s="811">
        <v>15554.335999999999</v>
      </c>
      <c r="F190" s="819">
        <v>1554</v>
      </c>
      <c r="G190" s="819">
        <v>800</v>
      </c>
      <c r="H190" s="811">
        <v>1243.2</v>
      </c>
      <c r="I190" s="819">
        <v>33642</v>
      </c>
      <c r="J190" s="819">
        <v>1359</v>
      </c>
      <c r="K190" s="811">
        <v>45719.478000000003</v>
      </c>
      <c r="L190" s="815"/>
      <c r="M190" s="815"/>
      <c r="N190" s="811">
        <v>0</v>
      </c>
      <c r="O190" s="817"/>
      <c r="P190" s="815"/>
      <c r="Q190" s="811">
        <v>0</v>
      </c>
      <c r="R190" s="819">
        <v>4500</v>
      </c>
      <c r="S190" s="818">
        <v>1800</v>
      </c>
      <c r="T190" s="811">
        <v>8100</v>
      </c>
      <c r="U190" s="815"/>
      <c r="V190" s="815"/>
      <c r="W190" s="811">
        <v>0</v>
      </c>
      <c r="X190" s="811">
        <v>109135</v>
      </c>
      <c r="Y190" s="811">
        <v>70617.013999999996</v>
      </c>
    </row>
    <row r="191" spans="1:25" hidden="1" x14ac:dyDescent="0.25">
      <c r="A191" s="819" t="s">
        <v>23</v>
      </c>
      <c r="B191" s="849" t="s">
        <v>260</v>
      </c>
      <c r="C191" s="811">
        <v>114000</v>
      </c>
      <c r="D191" s="857">
        <v>640</v>
      </c>
      <c r="E191" s="811">
        <v>72960</v>
      </c>
      <c r="F191" s="811">
        <v>165000</v>
      </c>
      <c r="G191" s="819">
        <v>767</v>
      </c>
      <c r="H191" s="811">
        <v>126555</v>
      </c>
      <c r="I191" s="817">
        <v>19000</v>
      </c>
      <c r="J191" s="819">
        <v>800</v>
      </c>
      <c r="K191" s="811">
        <v>15200</v>
      </c>
      <c r="L191" s="817">
        <v>12000</v>
      </c>
      <c r="M191" s="817">
        <v>1200</v>
      </c>
      <c r="N191" s="811">
        <v>14400</v>
      </c>
      <c r="O191" s="817">
        <v>30000</v>
      </c>
      <c r="P191" s="815">
        <v>800</v>
      </c>
      <c r="Q191" s="811">
        <v>24000</v>
      </c>
      <c r="R191" s="815"/>
      <c r="S191" s="815"/>
      <c r="T191" s="811">
        <v>0</v>
      </c>
      <c r="U191" s="815"/>
      <c r="V191" s="815"/>
      <c r="W191" s="811">
        <v>0</v>
      </c>
      <c r="X191" s="811">
        <v>340000</v>
      </c>
      <c r="Y191" s="811">
        <v>253115</v>
      </c>
    </row>
    <row r="192" spans="1:25" hidden="1" x14ac:dyDescent="0.25">
      <c r="A192" s="819" t="s">
        <v>24</v>
      </c>
      <c r="B192" s="849" t="s">
        <v>260</v>
      </c>
      <c r="C192" s="811">
        <v>3281</v>
      </c>
      <c r="D192" s="857">
        <v>713</v>
      </c>
      <c r="E192" s="811">
        <v>2339.3530000000001</v>
      </c>
      <c r="F192" s="811">
        <v>48663</v>
      </c>
      <c r="G192" s="811">
        <v>680</v>
      </c>
      <c r="H192" s="811">
        <v>33090.839999999997</v>
      </c>
      <c r="I192" s="819">
        <v>25324</v>
      </c>
      <c r="J192" s="819">
        <v>1500</v>
      </c>
      <c r="K192" s="811">
        <v>37986</v>
      </c>
      <c r="L192" s="811">
        <v>4455</v>
      </c>
      <c r="M192" s="811">
        <v>1500</v>
      </c>
      <c r="N192" s="811">
        <v>6682.5</v>
      </c>
      <c r="O192" s="811">
        <v>200000</v>
      </c>
      <c r="P192" s="811">
        <v>1035</v>
      </c>
      <c r="Q192" s="811">
        <v>207000</v>
      </c>
      <c r="R192" s="815"/>
      <c r="S192" s="815"/>
      <c r="T192" s="811">
        <v>0</v>
      </c>
      <c r="U192" s="815"/>
      <c r="V192" s="815"/>
      <c r="W192" s="811">
        <v>0</v>
      </c>
      <c r="X192" s="811">
        <v>281723</v>
      </c>
      <c r="Y192" s="811">
        <v>287098.69299999997</v>
      </c>
    </row>
    <row r="193" spans="1:25" hidden="1" x14ac:dyDescent="0.25">
      <c r="A193" s="819" t="s">
        <v>26</v>
      </c>
      <c r="B193" s="849" t="s">
        <v>260</v>
      </c>
      <c r="C193" s="811">
        <v>22700</v>
      </c>
      <c r="D193" s="857">
        <v>620</v>
      </c>
      <c r="E193" s="811">
        <v>14074</v>
      </c>
      <c r="F193" s="811">
        <v>107400</v>
      </c>
      <c r="G193" s="811">
        <v>755</v>
      </c>
      <c r="H193" s="811">
        <v>81087</v>
      </c>
      <c r="I193" s="819">
        <v>42700</v>
      </c>
      <c r="J193" s="819">
        <v>821</v>
      </c>
      <c r="K193" s="811">
        <v>35056.699999999997</v>
      </c>
      <c r="L193" s="811">
        <v>53400</v>
      </c>
      <c r="M193" s="811">
        <v>1527</v>
      </c>
      <c r="N193" s="811">
        <v>81541.8</v>
      </c>
      <c r="O193" s="811">
        <v>34000</v>
      </c>
      <c r="P193" s="811">
        <v>800</v>
      </c>
      <c r="Q193" s="811">
        <v>27200</v>
      </c>
      <c r="R193" s="815"/>
      <c r="S193" s="815"/>
      <c r="T193" s="811">
        <v>0</v>
      </c>
      <c r="U193" s="815"/>
      <c r="V193" s="815"/>
      <c r="W193" s="811">
        <v>0</v>
      </c>
      <c r="X193" s="811">
        <v>260200</v>
      </c>
      <c r="Y193" s="811">
        <v>238959.5</v>
      </c>
    </row>
    <row r="194" spans="1:25" hidden="1" x14ac:dyDescent="0.25">
      <c r="A194" s="819" t="s">
        <v>27</v>
      </c>
      <c r="B194" s="849" t="s">
        <v>260</v>
      </c>
      <c r="C194" s="811">
        <v>174000</v>
      </c>
      <c r="D194" s="857">
        <v>681</v>
      </c>
      <c r="E194" s="811">
        <v>118494</v>
      </c>
      <c r="F194" s="811">
        <v>31470</v>
      </c>
      <c r="G194" s="811">
        <v>720</v>
      </c>
      <c r="H194" s="811">
        <v>22658.400000000001</v>
      </c>
      <c r="I194" s="819">
        <v>5745</v>
      </c>
      <c r="J194" s="819">
        <v>791</v>
      </c>
      <c r="K194" s="811">
        <v>4544.2950000000001</v>
      </c>
      <c r="L194" s="811">
        <v>12573</v>
      </c>
      <c r="M194" s="811">
        <v>1592</v>
      </c>
      <c r="N194" s="811">
        <v>20016.216</v>
      </c>
      <c r="O194" s="811">
        <v>7000</v>
      </c>
      <c r="P194" s="811">
        <v>800</v>
      </c>
      <c r="Q194" s="811">
        <v>5600</v>
      </c>
      <c r="R194" s="815"/>
      <c r="S194" s="815"/>
      <c r="T194" s="811">
        <v>0</v>
      </c>
      <c r="U194" s="815"/>
      <c r="V194" s="815"/>
      <c r="W194" s="811">
        <v>0</v>
      </c>
      <c r="X194" s="811">
        <v>230788</v>
      </c>
      <c r="Y194" s="811">
        <v>171312.91100000002</v>
      </c>
    </row>
    <row r="195" spans="1:25" hidden="1" x14ac:dyDescent="0.25">
      <c r="A195" s="819" t="s">
        <v>50</v>
      </c>
      <c r="B195" s="849" t="s">
        <v>260</v>
      </c>
      <c r="C195" s="811">
        <v>16700</v>
      </c>
      <c r="D195" s="857">
        <v>820</v>
      </c>
      <c r="E195" s="811">
        <v>13694</v>
      </c>
      <c r="F195" s="811">
        <v>25300</v>
      </c>
      <c r="G195" s="811">
        <v>504</v>
      </c>
      <c r="H195" s="811">
        <v>12751.2</v>
      </c>
      <c r="I195" s="819">
        <v>11400</v>
      </c>
      <c r="J195" s="819">
        <v>658</v>
      </c>
      <c r="K195" s="811">
        <v>7501.2</v>
      </c>
      <c r="L195" s="811">
        <v>5000</v>
      </c>
      <c r="M195" s="811">
        <v>1872</v>
      </c>
      <c r="N195" s="811">
        <v>9360</v>
      </c>
      <c r="O195" s="815"/>
      <c r="P195" s="815"/>
      <c r="Q195" s="811">
        <v>0</v>
      </c>
      <c r="R195" s="815"/>
      <c r="S195" s="815"/>
      <c r="T195" s="811">
        <v>0</v>
      </c>
      <c r="U195" s="815"/>
      <c r="V195" s="815"/>
      <c r="W195" s="811">
        <v>0</v>
      </c>
      <c r="X195" s="811">
        <v>58400</v>
      </c>
      <c r="Y195" s="811">
        <v>43306.400000000001</v>
      </c>
    </row>
    <row r="196" spans="1:25" hidden="1" x14ac:dyDescent="0.25">
      <c r="A196" s="888" t="s">
        <v>163</v>
      </c>
      <c r="B196" s="849" t="s">
        <v>260</v>
      </c>
      <c r="C196" s="811">
        <v>20800</v>
      </c>
      <c r="D196" s="857">
        <v>769</v>
      </c>
      <c r="E196" s="811">
        <v>15995.2</v>
      </c>
      <c r="F196" s="811">
        <v>63400</v>
      </c>
      <c r="G196" s="811">
        <v>768</v>
      </c>
      <c r="H196" s="811">
        <v>48691.199999999997</v>
      </c>
      <c r="I196" s="819">
        <v>12900</v>
      </c>
      <c r="J196" s="819">
        <v>831</v>
      </c>
      <c r="K196" s="811">
        <v>10719.9</v>
      </c>
      <c r="L196" s="811">
        <v>10300</v>
      </c>
      <c r="M196" s="811">
        <v>1100</v>
      </c>
      <c r="N196" s="811">
        <v>11330</v>
      </c>
      <c r="O196" s="815"/>
      <c r="P196" s="815"/>
      <c r="Q196" s="811">
        <v>0</v>
      </c>
      <c r="R196" s="815"/>
      <c r="S196" s="815"/>
      <c r="T196" s="811">
        <v>0</v>
      </c>
      <c r="U196" s="815"/>
      <c r="V196" s="815"/>
      <c r="W196" s="811">
        <v>0</v>
      </c>
      <c r="X196" s="811">
        <v>107400</v>
      </c>
      <c r="Y196" s="811">
        <v>86736.299999999988</v>
      </c>
    </row>
    <row r="197" spans="1:25" hidden="1" x14ac:dyDescent="0.25">
      <c r="A197" s="864" t="s">
        <v>52</v>
      </c>
      <c r="B197" s="849" t="s">
        <v>260</v>
      </c>
      <c r="C197" s="811">
        <v>61900</v>
      </c>
      <c r="D197" s="857">
        <v>660</v>
      </c>
      <c r="E197" s="811">
        <v>40854</v>
      </c>
      <c r="F197" s="811">
        <v>114000</v>
      </c>
      <c r="G197" s="811">
        <v>709</v>
      </c>
      <c r="H197" s="811">
        <v>80826</v>
      </c>
      <c r="I197" s="819">
        <v>14230</v>
      </c>
      <c r="J197" s="811">
        <v>957</v>
      </c>
      <c r="K197" s="811">
        <v>13618.11</v>
      </c>
      <c r="L197" s="811">
        <v>1340</v>
      </c>
      <c r="M197" s="811">
        <v>1000</v>
      </c>
      <c r="N197" s="811">
        <v>1340</v>
      </c>
      <c r="O197" s="811"/>
      <c r="P197" s="811"/>
      <c r="Q197" s="811">
        <v>0</v>
      </c>
      <c r="R197" s="815"/>
      <c r="S197" s="815"/>
      <c r="T197" s="811">
        <v>0</v>
      </c>
      <c r="U197" s="815"/>
      <c r="V197" s="815"/>
      <c r="W197" s="811">
        <v>0</v>
      </c>
      <c r="X197" s="811">
        <v>191470</v>
      </c>
      <c r="Y197" s="811">
        <v>136638.10999999999</v>
      </c>
    </row>
    <row r="198" spans="1:25" hidden="1" x14ac:dyDescent="0.25">
      <c r="A198" s="819" t="s">
        <v>15</v>
      </c>
      <c r="B198" s="849" t="s">
        <v>261</v>
      </c>
      <c r="C198" s="811">
        <v>185582</v>
      </c>
      <c r="D198" s="857">
        <v>153.87807007145091</v>
      </c>
      <c r="E198" s="811">
        <v>28557</v>
      </c>
      <c r="F198" s="811">
        <v>55552</v>
      </c>
      <c r="G198" s="811">
        <v>158.59014976958525</v>
      </c>
      <c r="H198" s="811">
        <v>8810</v>
      </c>
      <c r="I198" s="815"/>
      <c r="J198" s="816"/>
      <c r="K198" s="811"/>
      <c r="L198" s="815"/>
      <c r="M198" s="815"/>
      <c r="N198" s="811"/>
      <c r="O198" s="817">
        <v>25825</v>
      </c>
      <c r="P198" s="815">
        <v>762.5169409486931</v>
      </c>
      <c r="Q198" s="811">
        <v>19692</v>
      </c>
      <c r="R198" s="815"/>
      <c r="S198" s="815"/>
      <c r="T198" s="811"/>
      <c r="U198" s="815"/>
      <c r="V198" s="815"/>
      <c r="W198" s="811"/>
      <c r="X198" s="811">
        <v>266959</v>
      </c>
      <c r="Y198" s="811">
        <v>57059</v>
      </c>
    </row>
    <row r="199" spans="1:25" hidden="1" x14ac:dyDescent="0.25">
      <c r="A199" s="864" t="s">
        <v>16</v>
      </c>
      <c r="B199" s="849" t="s">
        <v>261</v>
      </c>
      <c r="C199" s="815"/>
      <c r="D199" s="928"/>
      <c r="E199" s="811"/>
      <c r="F199" s="815"/>
      <c r="G199" s="815"/>
      <c r="H199" s="811"/>
      <c r="I199" s="815"/>
      <c r="J199" s="816"/>
      <c r="K199" s="811"/>
      <c r="L199" s="815"/>
      <c r="M199" s="815"/>
      <c r="N199" s="811"/>
      <c r="O199" s="817"/>
      <c r="P199" s="815"/>
      <c r="Q199" s="811"/>
      <c r="R199" s="815"/>
      <c r="S199" s="815"/>
      <c r="T199" s="811"/>
      <c r="U199" s="815"/>
      <c r="V199" s="815"/>
      <c r="W199" s="811"/>
      <c r="X199" s="811">
        <v>0</v>
      </c>
      <c r="Y199" s="811">
        <v>0</v>
      </c>
    </row>
    <row r="200" spans="1:25" hidden="1" x14ac:dyDescent="0.25">
      <c r="A200" s="819" t="s">
        <v>17</v>
      </c>
      <c r="B200" s="849" t="s">
        <v>261</v>
      </c>
      <c r="C200" s="811">
        <v>111840</v>
      </c>
      <c r="D200" s="857">
        <v>222</v>
      </c>
      <c r="E200" s="811">
        <v>24875</v>
      </c>
      <c r="F200" s="811">
        <v>24216</v>
      </c>
      <c r="G200" s="811">
        <v>316.73273868516685</v>
      </c>
      <c r="H200" s="811">
        <v>7670</v>
      </c>
      <c r="I200" s="815"/>
      <c r="J200" s="816"/>
      <c r="K200" s="811"/>
      <c r="L200" s="815"/>
      <c r="M200" s="815"/>
      <c r="N200" s="811"/>
      <c r="O200" s="817"/>
      <c r="P200" s="815"/>
      <c r="Q200" s="811"/>
      <c r="R200" s="815"/>
      <c r="S200" s="815"/>
      <c r="T200" s="811"/>
      <c r="U200" s="815"/>
      <c r="V200" s="815"/>
      <c r="W200" s="811"/>
      <c r="X200" s="811">
        <v>136056</v>
      </c>
      <c r="Y200" s="811">
        <v>32545</v>
      </c>
    </row>
    <row r="201" spans="1:25" hidden="1" x14ac:dyDescent="0.25">
      <c r="A201" s="819" t="s">
        <v>103</v>
      </c>
      <c r="B201" s="849" t="s">
        <v>261</v>
      </c>
      <c r="C201" s="811">
        <v>141756</v>
      </c>
      <c r="D201" s="857">
        <v>459.28214678743757</v>
      </c>
      <c r="E201" s="811">
        <v>65106</v>
      </c>
      <c r="F201" s="811">
        <v>168614</v>
      </c>
      <c r="G201" s="811">
        <v>529.5586368866168</v>
      </c>
      <c r="H201" s="811">
        <v>89291</v>
      </c>
      <c r="I201" s="819">
        <v>35296</v>
      </c>
      <c r="J201" s="811">
        <v>731.89596554850414</v>
      </c>
      <c r="K201" s="811">
        <v>25833</v>
      </c>
      <c r="L201" s="811">
        <v>4206</v>
      </c>
      <c r="M201" s="811">
        <v>1487.8744650499286</v>
      </c>
      <c r="N201" s="811">
        <v>6258</v>
      </c>
      <c r="O201" s="819">
        <v>29601</v>
      </c>
      <c r="P201" s="811">
        <v>498.09128069997638</v>
      </c>
      <c r="Q201" s="811">
        <v>14744</v>
      </c>
      <c r="R201" s="815"/>
      <c r="S201" s="815"/>
      <c r="T201" s="811"/>
      <c r="U201" s="815"/>
      <c r="V201" s="815"/>
      <c r="W201" s="811"/>
      <c r="X201" s="811">
        <v>379473</v>
      </c>
      <c r="Y201" s="811">
        <v>201232</v>
      </c>
    </row>
    <row r="202" spans="1:25" hidden="1" x14ac:dyDescent="0.25">
      <c r="A202" s="819" t="s">
        <v>20</v>
      </c>
      <c r="B202" s="849" t="s">
        <v>261</v>
      </c>
      <c r="C202" s="811">
        <v>44522</v>
      </c>
      <c r="D202" s="857">
        <v>307.98257041462648</v>
      </c>
      <c r="E202" s="811">
        <v>13712</v>
      </c>
      <c r="F202" s="811">
        <v>63928</v>
      </c>
      <c r="G202" s="811">
        <v>302.99712176198221</v>
      </c>
      <c r="H202" s="811">
        <v>19370</v>
      </c>
      <c r="I202" s="819">
        <v>7000</v>
      </c>
      <c r="J202" s="811">
        <v>200</v>
      </c>
      <c r="K202" s="811">
        <v>1400</v>
      </c>
      <c r="L202" s="811"/>
      <c r="M202" s="811"/>
      <c r="N202" s="811"/>
      <c r="O202" s="819">
        <v>13516</v>
      </c>
      <c r="P202" s="811">
        <v>576.27996448653448</v>
      </c>
      <c r="Q202" s="811">
        <v>7789</v>
      </c>
      <c r="R202" s="815"/>
      <c r="S202" s="815"/>
      <c r="T202" s="811"/>
      <c r="U202" s="815"/>
      <c r="V202" s="815"/>
      <c r="W202" s="811"/>
      <c r="X202" s="811">
        <v>128966</v>
      </c>
      <c r="Y202" s="811">
        <v>42271</v>
      </c>
    </row>
    <row r="203" spans="1:25" hidden="1" x14ac:dyDescent="0.25">
      <c r="A203" s="819" t="s">
        <v>21</v>
      </c>
      <c r="B203" s="849" t="s">
        <v>261</v>
      </c>
      <c r="C203" s="811">
        <v>38800</v>
      </c>
      <c r="D203" s="857">
        <v>224</v>
      </c>
      <c r="E203" s="811">
        <v>8691.2000000000007</v>
      </c>
      <c r="F203" s="817">
        <v>564</v>
      </c>
      <c r="G203" s="811">
        <v>262</v>
      </c>
      <c r="H203" s="811">
        <v>147.768</v>
      </c>
      <c r="I203" s="819"/>
      <c r="J203" s="817"/>
      <c r="K203" s="811"/>
      <c r="L203" s="815"/>
      <c r="M203" s="815"/>
      <c r="N203" s="811"/>
      <c r="O203" s="817"/>
      <c r="P203" s="815"/>
      <c r="Q203" s="811"/>
      <c r="R203" s="815"/>
      <c r="S203" s="815"/>
      <c r="T203" s="811"/>
      <c r="U203" s="815"/>
      <c r="V203" s="815"/>
      <c r="W203" s="811"/>
      <c r="X203" s="811">
        <v>39364</v>
      </c>
      <c r="Y203" s="811">
        <v>8838.9680000000008</v>
      </c>
    </row>
    <row r="204" spans="1:25" hidden="1" x14ac:dyDescent="0.25">
      <c r="A204" s="819" t="s">
        <v>22</v>
      </c>
      <c r="B204" s="849" t="s">
        <v>261</v>
      </c>
      <c r="C204" s="811">
        <v>77230</v>
      </c>
      <c r="D204" s="857">
        <v>200</v>
      </c>
      <c r="E204" s="811">
        <v>15446</v>
      </c>
      <c r="F204" s="819">
        <v>102</v>
      </c>
      <c r="G204" s="811">
        <v>803.92156862745105</v>
      </c>
      <c r="H204" s="811">
        <v>82</v>
      </c>
      <c r="I204" s="819">
        <v>28218</v>
      </c>
      <c r="J204" s="819">
        <v>1500</v>
      </c>
      <c r="K204" s="811">
        <v>42327</v>
      </c>
      <c r="L204" s="815"/>
      <c r="M204" s="815"/>
      <c r="N204" s="811"/>
      <c r="O204" s="817"/>
      <c r="P204" s="815"/>
      <c r="Q204" s="811"/>
      <c r="R204" s="819">
        <v>25</v>
      </c>
      <c r="S204" s="818">
        <v>2000</v>
      </c>
      <c r="T204" s="811">
        <v>50</v>
      </c>
      <c r="U204" s="815"/>
      <c r="V204" s="815"/>
      <c r="W204" s="811"/>
      <c r="X204" s="811">
        <v>105575</v>
      </c>
      <c r="Y204" s="811">
        <v>57905</v>
      </c>
    </row>
    <row r="205" spans="1:25" hidden="1" x14ac:dyDescent="0.25">
      <c r="A205" s="819" t="s">
        <v>23</v>
      </c>
      <c r="B205" s="849" t="s">
        <v>261</v>
      </c>
      <c r="C205" s="811">
        <v>137893</v>
      </c>
      <c r="D205" s="857">
        <v>399.42564162067691</v>
      </c>
      <c r="E205" s="811">
        <v>55078</v>
      </c>
      <c r="F205" s="811">
        <v>62978</v>
      </c>
      <c r="G205" s="811">
        <v>517.67283813395147</v>
      </c>
      <c r="H205" s="811">
        <v>32602</v>
      </c>
      <c r="I205" s="817">
        <v>4693</v>
      </c>
      <c r="J205" s="811">
        <v>972.72533560622196</v>
      </c>
      <c r="K205" s="811">
        <v>4565</v>
      </c>
      <c r="L205" s="817">
        <v>283</v>
      </c>
      <c r="M205" s="811">
        <v>1201.4134275618376</v>
      </c>
      <c r="N205" s="811">
        <v>340</v>
      </c>
      <c r="O205" s="817">
        <v>30752</v>
      </c>
      <c r="P205" s="811">
        <v>839.00234131113427</v>
      </c>
      <c r="Q205" s="811">
        <v>25801</v>
      </c>
      <c r="R205" s="815"/>
      <c r="S205" s="815"/>
      <c r="T205" s="811"/>
      <c r="U205" s="815"/>
      <c r="V205" s="815"/>
      <c r="W205" s="811"/>
      <c r="X205" s="811">
        <v>236599</v>
      </c>
      <c r="Y205" s="811">
        <v>118386</v>
      </c>
    </row>
    <row r="206" spans="1:25" hidden="1" x14ac:dyDescent="0.25">
      <c r="A206" s="819" t="s">
        <v>24</v>
      </c>
      <c r="B206" s="849" t="s">
        <v>261</v>
      </c>
      <c r="C206" s="811">
        <v>4349</v>
      </c>
      <c r="D206" s="857">
        <v>712.80754196366979</v>
      </c>
      <c r="E206" s="811">
        <v>3100</v>
      </c>
      <c r="F206" s="811">
        <v>30273</v>
      </c>
      <c r="G206" s="811">
        <v>2397.6150365011727</v>
      </c>
      <c r="H206" s="811">
        <v>72583</v>
      </c>
      <c r="I206" s="819">
        <v>35789</v>
      </c>
      <c r="J206" s="811">
        <v>1429.3498002179442</v>
      </c>
      <c r="K206" s="811">
        <v>51155</v>
      </c>
      <c r="L206" s="811">
        <v>8633</v>
      </c>
      <c r="M206" s="811">
        <v>2000</v>
      </c>
      <c r="N206" s="811">
        <v>17266</v>
      </c>
      <c r="O206" s="811">
        <v>191696</v>
      </c>
      <c r="P206" s="811">
        <v>672.94048910775393</v>
      </c>
      <c r="Q206" s="811">
        <v>129000</v>
      </c>
      <c r="R206" s="815"/>
      <c r="S206" s="815"/>
      <c r="T206" s="811"/>
      <c r="U206" s="815"/>
      <c r="V206" s="815"/>
      <c r="W206" s="811"/>
      <c r="X206" s="811">
        <v>270740</v>
      </c>
      <c r="Y206" s="811">
        <v>273104</v>
      </c>
    </row>
    <row r="207" spans="1:25" hidden="1" x14ac:dyDescent="0.25">
      <c r="A207" s="819" t="s">
        <v>26</v>
      </c>
      <c r="B207" s="849" t="s">
        <v>261</v>
      </c>
      <c r="C207" s="811">
        <v>41764</v>
      </c>
      <c r="D207" s="857">
        <v>475.33761133990998</v>
      </c>
      <c r="E207" s="811">
        <v>19852</v>
      </c>
      <c r="F207" s="811">
        <v>163543</v>
      </c>
      <c r="G207" s="811">
        <v>768.03042624875422</v>
      </c>
      <c r="H207" s="811">
        <v>125606</v>
      </c>
      <c r="I207" s="819">
        <v>51052</v>
      </c>
      <c r="J207" s="811">
        <v>840.77019509519698</v>
      </c>
      <c r="K207" s="811">
        <v>42923</v>
      </c>
      <c r="L207" s="811">
        <v>37570</v>
      </c>
      <c r="M207" s="811">
        <v>879.85094490284803</v>
      </c>
      <c r="N207" s="811">
        <v>33056</v>
      </c>
      <c r="O207" s="811">
        <v>148066</v>
      </c>
      <c r="P207" s="811">
        <v>767</v>
      </c>
      <c r="Q207" s="811">
        <v>113566.622</v>
      </c>
      <c r="R207" s="815"/>
      <c r="S207" s="815"/>
      <c r="T207" s="811"/>
      <c r="U207" s="815"/>
      <c r="V207" s="815"/>
      <c r="W207" s="811"/>
      <c r="X207" s="811">
        <v>441995</v>
      </c>
      <c r="Y207" s="811">
        <v>335003.62199999997</v>
      </c>
    </row>
    <row r="208" spans="1:25" hidden="1" x14ac:dyDescent="0.25">
      <c r="A208" s="819" t="s">
        <v>27</v>
      </c>
      <c r="B208" s="849" t="s">
        <v>261</v>
      </c>
      <c r="C208" s="811">
        <v>41407</v>
      </c>
      <c r="D208" s="857">
        <v>519.9362426642839</v>
      </c>
      <c r="E208" s="811">
        <v>21529</v>
      </c>
      <c r="F208" s="811">
        <v>74581</v>
      </c>
      <c r="G208" s="811">
        <v>631.27338061972898</v>
      </c>
      <c r="H208" s="811">
        <v>47081</v>
      </c>
      <c r="I208" s="819">
        <v>10787</v>
      </c>
      <c r="J208" s="811">
        <v>800.03708167238347</v>
      </c>
      <c r="K208" s="811">
        <v>8630</v>
      </c>
      <c r="L208" s="811">
        <v>42178</v>
      </c>
      <c r="M208" s="811">
        <v>966.28574138176305</v>
      </c>
      <c r="N208" s="811">
        <v>40756</v>
      </c>
      <c r="O208" s="811"/>
      <c r="P208" s="811"/>
      <c r="Q208" s="811"/>
      <c r="R208" s="815"/>
      <c r="S208" s="815"/>
      <c r="T208" s="811"/>
      <c r="U208" s="815"/>
      <c r="V208" s="815"/>
      <c r="W208" s="811"/>
      <c r="X208" s="811">
        <v>168953</v>
      </c>
      <c r="Y208" s="811">
        <v>117996</v>
      </c>
    </row>
    <row r="209" spans="1:25" hidden="1" x14ac:dyDescent="0.25">
      <c r="A209" s="819" t="s">
        <v>50</v>
      </c>
      <c r="B209" s="849" t="s">
        <v>261</v>
      </c>
      <c r="C209" s="811">
        <v>21514</v>
      </c>
      <c r="D209" s="857">
        <v>600.95751603606948</v>
      </c>
      <c r="E209" s="811">
        <v>12929</v>
      </c>
      <c r="F209" s="811">
        <v>46357</v>
      </c>
      <c r="G209" s="811">
        <v>658.73546605690615</v>
      </c>
      <c r="H209" s="811">
        <v>30537</v>
      </c>
      <c r="I209" s="819">
        <v>7112</v>
      </c>
      <c r="J209" s="811">
        <v>935.6017997750281</v>
      </c>
      <c r="K209" s="811">
        <v>6654</v>
      </c>
      <c r="L209" s="811">
        <v>13931</v>
      </c>
      <c r="M209" s="811">
        <v>978.24994616323318</v>
      </c>
      <c r="N209" s="811">
        <v>13628</v>
      </c>
      <c r="O209" s="815"/>
      <c r="P209" s="815"/>
      <c r="Q209" s="811"/>
      <c r="R209" s="815"/>
      <c r="S209" s="815"/>
      <c r="T209" s="811"/>
      <c r="U209" s="815"/>
      <c r="V209" s="815"/>
      <c r="W209" s="811"/>
      <c r="X209" s="811">
        <v>88914</v>
      </c>
      <c r="Y209" s="811">
        <v>63748</v>
      </c>
    </row>
    <row r="210" spans="1:25" hidden="1" x14ac:dyDescent="0.25">
      <c r="A210" s="888" t="s">
        <v>163</v>
      </c>
      <c r="B210" s="849" t="s">
        <v>261</v>
      </c>
      <c r="C210" s="811">
        <v>19236</v>
      </c>
      <c r="D210" s="857">
        <v>503.69099604907461</v>
      </c>
      <c r="E210" s="811">
        <v>9689</v>
      </c>
      <c r="F210" s="811">
        <v>80299</v>
      </c>
      <c r="G210" s="811">
        <v>772.57500093400915</v>
      </c>
      <c r="H210" s="811">
        <v>62037</v>
      </c>
      <c r="I210" s="819">
        <v>10417</v>
      </c>
      <c r="J210" s="811">
        <v>714.12114812326013</v>
      </c>
      <c r="K210" s="811">
        <v>7439</v>
      </c>
      <c r="L210" s="811">
        <v>11030</v>
      </c>
      <c r="M210" s="811">
        <v>1420.1269265639164</v>
      </c>
      <c r="N210" s="811">
        <v>15664</v>
      </c>
      <c r="O210" s="815"/>
      <c r="P210" s="815"/>
      <c r="Q210" s="811"/>
      <c r="R210" s="815"/>
      <c r="S210" s="815"/>
      <c r="T210" s="811"/>
      <c r="U210" s="815"/>
      <c r="V210" s="815"/>
      <c r="W210" s="811"/>
      <c r="X210" s="811">
        <v>120982</v>
      </c>
      <c r="Y210" s="811">
        <v>94829</v>
      </c>
    </row>
    <row r="211" spans="1:25" hidden="1" x14ac:dyDescent="0.25">
      <c r="A211" s="864" t="s">
        <v>52</v>
      </c>
      <c r="B211" s="849" t="s">
        <v>261</v>
      </c>
      <c r="C211" s="811">
        <v>77367</v>
      </c>
      <c r="D211" s="857">
        <v>522.40619385526134</v>
      </c>
      <c r="E211" s="811">
        <v>40417</v>
      </c>
      <c r="F211" s="811">
        <v>143092</v>
      </c>
      <c r="G211" s="811">
        <v>734.81396584015874</v>
      </c>
      <c r="H211" s="811">
        <v>105146</v>
      </c>
      <c r="I211" s="819">
        <v>22264</v>
      </c>
      <c r="J211" s="811">
        <v>813.19619116061801</v>
      </c>
      <c r="K211" s="811">
        <v>18105</v>
      </c>
      <c r="L211" s="811">
        <v>6877</v>
      </c>
      <c r="M211" s="811">
        <v>543.26014250399874</v>
      </c>
      <c r="N211" s="811">
        <v>3736</v>
      </c>
      <c r="O211" s="811">
        <v>5994</v>
      </c>
      <c r="P211" s="811">
        <v>799.96663329996659</v>
      </c>
      <c r="Q211" s="811">
        <v>4795</v>
      </c>
      <c r="R211" s="815"/>
      <c r="S211" s="815"/>
      <c r="T211" s="811"/>
      <c r="U211" s="815"/>
      <c r="V211" s="815"/>
      <c r="W211" s="811"/>
      <c r="X211" s="811">
        <v>255594</v>
      </c>
      <c r="Y211" s="811">
        <v>172199</v>
      </c>
    </row>
    <row r="212" spans="1:25" hidden="1" x14ac:dyDescent="0.25">
      <c r="A212" s="819" t="s">
        <v>15</v>
      </c>
      <c r="B212" s="849" t="s">
        <v>262</v>
      </c>
      <c r="C212" s="811">
        <v>166176</v>
      </c>
      <c r="D212" s="857">
        <v>470.00168496052379</v>
      </c>
      <c r="E212" s="811">
        <v>78103</v>
      </c>
      <c r="F212" s="811">
        <v>51103</v>
      </c>
      <c r="G212" s="811">
        <v>930</v>
      </c>
      <c r="H212" s="811">
        <v>47525.79</v>
      </c>
      <c r="I212" s="811">
        <v>0</v>
      </c>
      <c r="J212" s="816">
        <v>0</v>
      </c>
      <c r="K212" s="811">
        <v>0</v>
      </c>
      <c r="L212" s="811"/>
      <c r="M212" s="811"/>
      <c r="N212" s="811">
        <v>0</v>
      </c>
      <c r="O212" s="811">
        <v>385777</v>
      </c>
      <c r="P212" s="811">
        <v>750</v>
      </c>
      <c r="Q212" s="811">
        <v>289332.75</v>
      </c>
      <c r="R212" s="815"/>
      <c r="S212" s="815"/>
      <c r="T212" s="811"/>
      <c r="U212" s="815"/>
      <c r="V212" s="815"/>
      <c r="W212" s="811"/>
      <c r="X212" s="811">
        <v>603056</v>
      </c>
      <c r="Y212" s="811">
        <v>414961.54000000004</v>
      </c>
    </row>
    <row r="213" spans="1:25" hidden="1" x14ac:dyDescent="0.25">
      <c r="A213" s="887" t="s">
        <v>187</v>
      </c>
      <c r="B213" s="849" t="s">
        <v>262</v>
      </c>
      <c r="C213" s="815">
        <v>33135</v>
      </c>
      <c r="D213" s="857">
        <v>175</v>
      </c>
      <c r="E213" s="811">
        <v>5799</v>
      </c>
      <c r="F213" s="811">
        <v>65</v>
      </c>
      <c r="G213" s="811">
        <v>200</v>
      </c>
      <c r="H213" s="811">
        <v>13</v>
      </c>
      <c r="I213" s="811">
        <v>1350</v>
      </c>
      <c r="J213" s="816">
        <v>601</v>
      </c>
      <c r="K213" s="811">
        <v>811.35</v>
      </c>
      <c r="L213" s="811"/>
      <c r="M213" s="811"/>
      <c r="N213" s="811">
        <v>0</v>
      </c>
      <c r="O213" s="811"/>
      <c r="P213" s="811">
        <v>0</v>
      </c>
      <c r="Q213" s="811">
        <v>0</v>
      </c>
      <c r="R213" s="815"/>
      <c r="S213" s="815"/>
      <c r="T213" s="811"/>
      <c r="U213" s="815"/>
      <c r="V213" s="815"/>
      <c r="W213" s="811"/>
      <c r="X213" s="811">
        <v>34550</v>
      </c>
      <c r="Y213" s="811">
        <v>6623.35</v>
      </c>
    </row>
    <row r="214" spans="1:25" hidden="1" x14ac:dyDescent="0.25">
      <c r="A214" s="819" t="s">
        <v>103</v>
      </c>
      <c r="B214" s="849" t="s">
        <v>262</v>
      </c>
      <c r="C214" s="811">
        <v>81698</v>
      </c>
      <c r="D214" s="857">
        <v>665</v>
      </c>
      <c r="E214" s="811">
        <v>54329</v>
      </c>
      <c r="F214" s="811">
        <v>122178</v>
      </c>
      <c r="G214" s="811">
        <v>813</v>
      </c>
      <c r="H214" s="811">
        <v>99330.714000000007</v>
      </c>
      <c r="I214" s="811">
        <v>20873</v>
      </c>
      <c r="J214" s="816">
        <v>1200</v>
      </c>
      <c r="K214" s="811">
        <v>25047.599999999999</v>
      </c>
      <c r="L214" s="811">
        <v>4174</v>
      </c>
      <c r="M214" s="811">
        <v>3150</v>
      </c>
      <c r="N214" s="811">
        <v>13148.1</v>
      </c>
      <c r="O214" s="811">
        <v>40998</v>
      </c>
      <c r="P214" s="811">
        <v>850</v>
      </c>
      <c r="Q214" s="811">
        <v>34848.300000000003</v>
      </c>
      <c r="R214" s="815"/>
      <c r="S214" s="815"/>
      <c r="T214" s="811"/>
      <c r="U214" s="815"/>
      <c r="V214" s="815"/>
      <c r="W214" s="811"/>
      <c r="X214" s="811">
        <v>269921</v>
      </c>
      <c r="Y214" s="811">
        <v>226703.71400000004</v>
      </c>
    </row>
    <row r="215" spans="1:25" hidden="1" x14ac:dyDescent="0.25">
      <c r="A215" s="819" t="s">
        <v>20</v>
      </c>
      <c r="B215" s="849" t="s">
        <v>262</v>
      </c>
      <c r="C215" s="811">
        <v>63962</v>
      </c>
      <c r="D215" s="857">
        <v>722.006816547325</v>
      </c>
      <c r="E215" s="811">
        <v>46181</v>
      </c>
      <c r="F215" s="811">
        <v>112665</v>
      </c>
      <c r="G215" s="811">
        <v>903</v>
      </c>
      <c r="H215" s="811">
        <v>101736.495</v>
      </c>
      <c r="I215" s="811">
        <v>1986</v>
      </c>
      <c r="J215" s="816">
        <v>650</v>
      </c>
      <c r="K215" s="811">
        <v>1290.9000000000001</v>
      </c>
      <c r="L215" s="811">
        <v>203</v>
      </c>
      <c r="M215" s="811">
        <v>1200</v>
      </c>
      <c r="N215" s="811">
        <v>243.6</v>
      </c>
      <c r="O215" s="811">
        <v>207925</v>
      </c>
      <c r="P215" s="811">
        <v>800</v>
      </c>
      <c r="Q215" s="811">
        <v>166340</v>
      </c>
      <c r="R215" s="815"/>
      <c r="S215" s="815"/>
      <c r="T215" s="811"/>
      <c r="U215" s="815"/>
      <c r="V215" s="815"/>
      <c r="W215" s="811"/>
      <c r="X215" s="811">
        <v>386741</v>
      </c>
      <c r="Y215" s="811">
        <v>315791.995</v>
      </c>
    </row>
    <row r="216" spans="1:25" hidden="1" x14ac:dyDescent="0.25">
      <c r="A216" s="819" t="s">
        <v>133</v>
      </c>
      <c r="B216" s="849" t="s">
        <v>262</v>
      </c>
      <c r="C216" s="811">
        <v>86803</v>
      </c>
      <c r="D216" s="857">
        <v>621</v>
      </c>
      <c r="E216" s="811">
        <v>53905</v>
      </c>
      <c r="F216" s="811">
        <v>95552</v>
      </c>
      <c r="G216" s="811">
        <v>845</v>
      </c>
      <c r="H216" s="811">
        <v>80741.440000000002</v>
      </c>
      <c r="I216" s="811">
        <v>27371</v>
      </c>
      <c r="J216" s="816">
        <v>900</v>
      </c>
      <c r="K216" s="811">
        <v>24633.9</v>
      </c>
      <c r="L216" s="811">
        <v>926</v>
      </c>
      <c r="M216" s="811">
        <v>1500</v>
      </c>
      <c r="N216" s="811">
        <v>1389</v>
      </c>
      <c r="O216" s="811">
        <v>19200</v>
      </c>
      <c r="P216" s="811">
        <v>950</v>
      </c>
      <c r="Q216" s="811">
        <v>18240</v>
      </c>
      <c r="R216" s="815"/>
      <c r="S216" s="815"/>
      <c r="T216" s="811"/>
      <c r="U216" s="815"/>
      <c r="V216" s="815"/>
      <c r="W216" s="811"/>
      <c r="X216" s="811">
        <v>229852</v>
      </c>
      <c r="Y216" s="811">
        <v>178909.34</v>
      </c>
    </row>
    <row r="217" spans="1:25" hidden="1" x14ac:dyDescent="0.25">
      <c r="A217" s="819" t="s">
        <v>21</v>
      </c>
      <c r="B217" s="849" t="s">
        <v>262</v>
      </c>
      <c r="C217" s="811">
        <v>30131</v>
      </c>
      <c r="D217" s="857">
        <v>496</v>
      </c>
      <c r="E217" s="811">
        <v>14945</v>
      </c>
      <c r="F217" s="811">
        <v>0</v>
      </c>
      <c r="G217" s="811">
        <v>0</v>
      </c>
      <c r="H217" s="811">
        <v>0</v>
      </c>
      <c r="I217" s="811">
        <v>342</v>
      </c>
      <c r="J217" s="816">
        <v>600</v>
      </c>
      <c r="K217" s="811">
        <v>205.2</v>
      </c>
      <c r="L217" s="811"/>
      <c r="M217" s="811"/>
      <c r="N217" s="811">
        <v>0</v>
      </c>
      <c r="O217" s="811"/>
      <c r="P217" s="811">
        <v>0</v>
      </c>
      <c r="Q217" s="811">
        <v>0</v>
      </c>
      <c r="R217" s="815"/>
      <c r="S217" s="815"/>
      <c r="T217" s="811"/>
      <c r="U217" s="815"/>
      <c r="V217" s="815"/>
      <c r="W217" s="811"/>
      <c r="X217" s="811">
        <v>30473</v>
      </c>
      <c r="Y217" s="811">
        <v>15150.2</v>
      </c>
    </row>
    <row r="218" spans="1:25" hidden="1" x14ac:dyDescent="0.25">
      <c r="A218" s="819" t="s">
        <v>22</v>
      </c>
      <c r="B218" s="849" t="s">
        <v>262</v>
      </c>
      <c r="C218" s="811">
        <v>85003</v>
      </c>
      <c r="D218" s="857">
        <v>500.00588214533605</v>
      </c>
      <c r="E218" s="811">
        <v>42502</v>
      </c>
      <c r="F218" s="811">
        <v>133</v>
      </c>
      <c r="G218" s="811">
        <v>1000</v>
      </c>
      <c r="H218" s="811">
        <v>133</v>
      </c>
      <c r="I218" s="811">
        <v>33517</v>
      </c>
      <c r="J218" s="816">
        <v>1500</v>
      </c>
      <c r="K218" s="811">
        <v>50275.5</v>
      </c>
      <c r="L218" s="811">
        <v>82</v>
      </c>
      <c r="M218" s="811">
        <v>1500</v>
      </c>
      <c r="N218" s="811">
        <v>123</v>
      </c>
      <c r="O218" s="811">
        <v>545</v>
      </c>
      <c r="P218" s="811">
        <v>500</v>
      </c>
      <c r="Q218" s="811">
        <v>272.5</v>
      </c>
      <c r="R218" s="819">
        <v>679</v>
      </c>
      <c r="S218" s="818">
        <v>2500.7363770250367</v>
      </c>
      <c r="T218" s="811">
        <v>1698</v>
      </c>
      <c r="U218" s="815"/>
      <c r="V218" s="815"/>
      <c r="W218" s="811"/>
      <c r="X218" s="811">
        <v>119959</v>
      </c>
      <c r="Y218" s="811">
        <v>95004</v>
      </c>
    </row>
    <row r="219" spans="1:25" hidden="1" x14ac:dyDescent="0.25">
      <c r="A219" s="819" t="s">
        <v>23</v>
      </c>
      <c r="B219" s="849" t="s">
        <v>262</v>
      </c>
      <c r="C219" s="811">
        <v>248395</v>
      </c>
      <c r="D219" s="857">
        <v>640</v>
      </c>
      <c r="E219" s="811">
        <v>158973</v>
      </c>
      <c r="F219" s="811">
        <v>91481</v>
      </c>
      <c r="G219" s="811">
        <v>705</v>
      </c>
      <c r="H219" s="811">
        <v>64494.105000000003</v>
      </c>
      <c r="I219" s="811">
        <v>150</v>
      </c>
      <c r="J219" s="816">
        <v>750</v>
      </c>
      <c r="K219" s="811">
        <v>112.5</v>
      </c>
      <c r="L219" s="811">
        <v>0</v>
      </c>
      <c r="M219" s="811"/>
      <c r="N219" s="811">
        <v>0</v>
      </c>
      <c r="O219" s="811">
        <v>0</v>
      </c>
      <c r="P219" s="811">
        <v>0</v>
      </c>
      <c r="Q219" s="811">
        <v>0</v>
      </c>
      <c r="R219" s="815"/>
      <c r="S219" s="815"/>
      <c r="T219" s="811"/>
      <c r="U219" s="815"/>
      <c r="V219" s="815"/>
      <c r="W219" s="811"/>
      <c r="X219" s="811">
        <v>340026</v>
      </c>
      <c r="Y219" s="811">
        <v>223579.60500000001</v>
      </c>
    </row>
    <row r="220" spans="1:25" hidden="1" x14ac:dyDescent="0.25">
      <c r="A220" s="819" t="s">
        <v>24</v>
      </c>
      <c r="B220" s="849" t="s">
        <v>262</v>
      </c>
      <c r="C220" s="811">
        <v>2972</v>
      </c>
      <c r="D220" s="857">
        <v>730.14804845222068</v>
      </c>
      <c r="E220" s="811">
        <v>2170</v>
      </c>
      <c r="F220" s="811">
        <v>13925</v>
      </c>
      <c r="G220" s="811">
        <v>950</v>
      </c>
      <c r="H220" s="811">
        <v>13228.75</v>
      </c>
      <c r="I220" s="811">
        <v>25361</v>
      </c>
      <c r="J220" s="816">
        <v>900</v>
      </c>
      <c r="K220" s="811">
        <v>22824.9</v>
      </c>
      <c r="L220" s="811">
        <v>9984</v>
      </c>
      <c r="M220" s="811">
        <v>3000</v>
      </c>
      <c r="N220" s="811">
        <v>29952</v>
      </c>
      <c r="O220" s="811">
        <v>294438</v>
      </c>
      <c r="P220" s="811">
        <v>1500</v>
      </c>
      <c r="Q220" s="811">
        <v>441657</v>
      </c>
      <c r="R220" s="815"/>
      <c r="S220" s="815"/>
      <c r="T220" s="811"/>
      <c r="U220" s="815"/>
      <c r="V220" s="815"/>
      <c r="W220" s="811"/>
      <c r="X220" s="811">
        <v>346680</v>
      </c>
      <c r="Y220" s="811">
        <v>509832.65</v>
      </c>
    </row>
    <row r="221" spans="1:25" hidden="1" x14ac:dyDescent="0.25">
      <c r="A221" s="819" t="s">
        <v>134</v>
      </c>
      <c r="B221" s="849" t="s">
        <v>262</v>
      </c>
      <c r="C221" s="811">
        <v>180025</v>
      </c>
      <c r="D221" s="857">
        <v>525</v>
      </c>
      <c r="E221" s="811">
        <v>94513</v>
      </c>
      <c r="F221" s="811">
        <v>344851</v>
      </c>
      <c r="G221" s="811">
        <v>725</v>
      </c>
      <c r="H221" s="811">
        <v>250016.97500000001</v>
      </c>
      <c r="I221" s="811">
        <v>47903</v>
      </c>
      <c r="J221" s="816">
        <v>700</v>
      </c>
      <c r="K221" s="811">
        <v>33532.1</v>
      </c>
      <c r="L221" s="811">
        <v>233</v>
      </c>
      <c r="M221" s="811">
        <v>850</v>
      </c>
      <c r="N221" s="811">
        <v>198.05</v>
      </c>
      <c r="O221" s="811">
        <v>72000</v>
      </c>
      <c r="P221" s="811">
        <v>1000</v>
      </c>
      <c r="Q221" s="811">
        <v>72000</v>
      </c>
      <c r="R221" s="815"/>
      <c r="S221" s="815"/>
      <c r="T221" s="811"/>
      <c r="U221" s="815"/>
      <c r="V221" s="815"/>
      <c r="W221" s="811"/>
      <c r="X221" s="811">
        <v>645012</v>
      </c>
      <c r="Y221" s="811">
        <v>450260.12499999994</v>
      </c>
    </row>
    <row r="222" spans="1:25" hidden="1" x14ac:dyDescent="0.25">
      <c r="A222" s="819" t="s">
        <v>17</v>
      </c>
      <c r="B222" s="849" t="s">
        <v>262</v>
      </c>
      <c r="C222" s="811">
        <v>160334</v>
      </c>
      <c r="D222" s="857">
        <v>532.99986278643325</v>
      </c>
      <c r="E222" s="811">
        <v>85458</v>
      </c>
      <c r="F222" s="811">
        <v>30378</v>
      </c>
      <c r="G222" s="811">
        <v>683</v>
      </c>
      <c r="H222" s="811">
        <v>20748.173999999999</v>
      </c>
      <c r="I222" s="811">
        <v>0</v>
      </c>
      <c r="J222" s="816">
        <v>0</v>
      </c>
      <c r="K222" s="811">
        <v>0</v>
      </c>
      <c r="L222" s="811">
        <v>0</v>
      </c>
      <c r="M222" s="811"/>
      <c r="N222" s="811">
        <v>0</v>
      </c>
      <c r="O222" s="811">
        <v>1800</v>
      </c>
      <c r="P222" s="811">
        <v>450</v>
      </c>
      <c r="Q222" s="811">
        <v>810</v>
      </c>
      <c r="R222" s="815"/>
      <c r="S222" s="815"/>
      <c r="T222" s="811"/>
      <c r="U222" s="815"/>
      <c r="V222" s="815"/>
      <c r="W222" s="811"/>
      <c r="X222" s="811">
        <v>192512</v>
      </c>
      <c r="Y222" s="811">
        <v>107016.174</v>
      </c>
    </row>
    <row r="223" spans="1:25" hidden="1" x14ac:dyDescent="0.25">
      <c r="A223" s="819" t="s">
        <v>135</v>
      </c>
      <c r="B223" s="849" t="s">
        <v>262</v>
      </c>
      <c r="C223" s="811">
        <v>35905</v>
      </c>
      <c r="D223" s="857">
        <v>317</v>
      </c>
      <c r="E223" s="811">
        <v>11382</v>
      </c>
      <c r="F223" s="811">
        <v>51519</v>
      </c>
      <c r="G223" s="811">
        <v>528</v>
      </c>
      <c r="H223" s="811">
        <v>27202.031999999999</v>
      </c>
      <c r="I223" s="811">
        <v>3331</v>
      </c>
      <c r="J223" s="811">
        <v>940</v>
      </c>
      <c r="K223" s="811">
        <v>3131.14</v>
      </c>
      <c r="L223" s="811">
        <v>3940</v>
      </c>
      <c r="M223" s="811">
        <v>1000</v>
      </c>
      <c r="N223" s="811">
        <v>3940</v>
      </c>
      <c r="O223" s="811">
        <v>0</v>
      </c>
      <c r="P223" s="811">
        <v>0</v>
      </c>
      <c r="Q223" s="811">
        <v>0</v>
      </c>
      <c r="R223" s="811"/>
      <c r="S223" s="811"/>
      <c r="T223" s="811"/>
      <c r="U223" s="811"/>
      <c r="V223" s="811"/>
      <c r="W223" s="811"/>
      <c r="X223" s="811">
        <v>94695</v>
      </c>
      <c r="Y223" s="811">
        <v>45655.171999999999</v>
      </c>
    </row>
    <row r="224" spans="1:25" hidden="1" x14ac:dyDescent="0.25">
      <c r="A224" s="819" t="s">
        <v>136</v>
      </c>
      <c r="B224" s="849" t="s">
        <v>262</v>
      </c>
      <c r="C224" s="811">
        <v>34437</v>
      </c>
      <c r="D224" s="857">
        <v>561</v>
      </c>
      <c r="E224" s="811">
        <v>19319</v>
      </c>
      <c r="F224" s="811">
        <v>107642</v>
      </c>
      <c r="G224" s="811">
        <v>434</v>
      </c>
      <c r="H224" s="811">
        <v>46716.627999999997</v>
      </c>
      <c r="I224" s="819">
        <v>13470</v>
      </c>
      <c r="J224" s="819">
        <v>651</v>
      </c>
      <c r="K224" s="811">
        <v>8768.9699999999993</v>
      </c>
      <c r="L224" s="811">
        <v>34712</v>
      </c>
      <c r="M224" s="811">
        <v>1020</v>
      </c>
      <c r="N224" s="811">
        <v>35406.239999999998</v>
      </c>
      <c r="O224" s="811">
        <v>54297</v>
      </c>
      <c r="P224" s="811">
        <v>359</v>
      </c>
      <c r="Q224" s="811">
        <v>19492.623</v>
      </c>
      <c r="R224" s="815"/>
      <c r="S224" s="815"/>
      <c r="T224" s="811"/>
      <c r="U224" s="815"/>
      <c r="V224" s="815"/>
      <c r="W224" s="811"/>
      <c r="X224" s="811">
        <v>244558</v>
      </c>
      <c r="Y224" s="811">
        <v>129703.46099999998</v>
      </c>
    </row>
    <row r="225" spans="1:25" hidden="1" x14ac:dyDescent="0.25">
      <c r="A225" s="819" t="s">
        <v>137</v>
      </c>
      <c r="B225" s="849" t="s">
        <v>262</v>
      </c>
      <c r="C225" s="811">
        <v>14317</v>
      </c>
      <c r="D225" s="857">
        <v>800</v>
      </c>
      <c r="E225" s="811">
        <v>11448</v>
      </c>
      <c r="F225" s="811">
        <v>95032</v>
      </c>
      <c r="G225" s="811">
        <v>319</v>
      </c>
      <c r="H225" s="811">
        <v>30315.207999999999</v>
      </c>
      <c r="I225" s="819">
        <v>45159</v>
      </c>
      <c r="J225" s="819">
        <v>188</v>
      </c>
      <c r="K225" s="811">
        <v>8489.8919999999998</v>
      </c>
      <c r="L225" s="811">
        <v>7236</v>
      </c>
      <c r="M225" s="811">
        <v>1221</v>
      </c>
      <c r="N225" s="811">
        <v>8835.1560000000009</v>
      </c>
      <c r="O225" s="811">
        <v>20615</v>
      </c>
      <c r="P225" s="811">
        <v>763</v>
      </c>
      <c r="Q225" s="811">
        <v>15729.245000000001</v>
      </c>
      <c r="R225" s="815"/>
      <c r="S225" s="815"/>
      <c r="T225" s="811"/>
      <c r="U225" s="815"/>
      <c r="V225" s="815"/>
      <c r="W225" s="811"/>
      <c r="X225" s="811">
        <v>182359</v>
      </c>
      <c r="Y225" s="811">
        <v>74817.501000000004</v>
      </c>
    </row>
    <row r="226" spans="1:25" hidden="1" x14ac:dyDescent="0.25">
      <c r="A226" s="864" t="s">
        <v>52</v>
      </c>
      <c r="B226" s="849" t="s">
        <v>262</v>
      </c>
      <c r="C226" s="811">
        <v>34987</v>
      </c>
      <c r="D226" s="857">
        <v>633</v>
      </c>
      <c r="E226" s="811">
        <v>22147</v>
      </c>
      <c r="F226" s="811">
        <v>90769</v>
      </c>
      <c r="G226" s="811">
        <v>860</v>
      </c>
      <c r="H226" s="811">
        <v>78061.34</v>
      </c>
      <c r="I226" s="819">
        <v>13784</v>
      </c>
      <c r="J226" s="819">
        <v>931</v>
      </c>
      <c r="K226" s="811">
        <v>12832.904</v>
      </c>
      <c r="L226" s="811">
        <v>2486</v>
      </c>
      <c r="M226" s="811">
        <v>2095</v>
      </c>
      <c r="N226" s="811">
        <v>5208.17</v>
      </c>
      <c r="O226" s="811">
        <v>4288</v>
      </c>
      <c r="P226" s="811">
        <v>750</v>
      </c>
      <c r="Q226" s="811">
        <v>3216</v>
      </c>
      <c r="R226" s="815"/>
      <c r="S226" s="815"/>
      <c r="T226" s="811"/>
      <c r="U226" s="815"/>
      <c r="V226" s="815"/>
      <c r="W226" s="811"/>
      <c r="X226" s="811">
        <v>146314</v>
      </c>
      <c r="Y226" s="811">
        <v>121465.41399999999</v>
      </c>
    </row>
    <row r="227" spans="1:25" hidden="1" x14ac:dyDescent="0.25">
      <c r="A227" s="819" t="s">
        <v>50</v>
      </c>
      <c r="B227" s="849" t="s">
        <v>262</v>
      </c>
      <c r="C227" s="811">
        <v>24633</v>
      </c>
      <c r="D227" s="857">
        <v>535.0140056022409</v>
      </c>
      <c r="E227" s="811">
        <v>13179</v>
      </c>
      <c r="F227" s="811">
        <v>54916</v>
      </c>
      <c r="G227" s="811">
        <v>881.00007283851699</v>
      </c>
      <c r="H227" s="811">
        <v>48381</v>
      </c>
      <c r="I227" s="819">
        <v>9354</v>
      </c>
      <c r="J227" s="819">
        <v>737</v>
      </c>
      <c r="K227" s="811">
        <v>6893.8980000000001</v>
      </c>
      <c r="L227" s="811">
        <v>6624</v>
      </c>
      <c r="M227" s="811">
        <v>1488</v>
      </c>
      <c r="N227" s="811">
        <v>9856.5120000000006</v>
      </c>
      <c r="O227" s="811">
        <v>0</v>
      </c>
      <c r="P227" s="815"/>
      <c r="Q227" s="811">
        <v>0</v>
      </c>
      <c r="R227" s="815"/>
      <c r="S227" s="815"/>
      <c r="T227" s="811"/>
      <c r="U227" s="815"/>
      <c r="V227" s="815"/>
      <c r="W227" s="811"/>
      <c r="X227" s="811">
        <v>95527</v>
      </c>
      <c r="Y227" s="811">
        <v>78310.41</v>
      </c>
    </row>
    <row r="228" spans="1:25" hidden="1" x14ac:dyDescent="0.25">
      <c r="A228" s="888" t="s">
        <v>163</v>
      </c>
      <c r="B228" s="849" t="s">
        <v>262</v>
      </c>
      <c r="C228" s="811">
        <v>22849</v>
      </c>
      <c r="D228" s="857">
        <v>658.97851109457736</v>
      </c>
      <c r="E228" s="811">
        <v>15057</v>
      </c>
      <c r="F228" s="811">
        <v>85337</v>
      </c>
      <c r="G228" s="811">
        <v>762.00241395877526</v>
      </c>
      <c r="H228" s="811">
        <v>65027.000000000007</v>
      </c>
      <c r="I228" s="819">
        <v>10872</v>
      </c>
      <c r="J228" s="819">
        <v>850</v>
      </c>
      <c r="K228" s="811">
        <v>9241.2000000000007</v>
      </c>
      <c r="L228" s="811">
        <v>14026</v>
      </c>
      <c r="M228" s="811">
        <v>1038</v>
      </c>
      <c r="N228" s="811">
        <v>14558.987999999999</v>
      </c>
      <c r="O228" s="811">
        <v>0</v>
      </c>
      <c r="P228" s="815"/>
      <c r="Q228" s="811">
        <v>0</v>
      </c>
      <c r="R228" s="815"/>
      <c r="S228" s="815"/>
      <c r="T228" s="811"/>
      <c r="U228" s="815"/>
      <c r="V228" s="815"/>
      <c r="W228" s="811"/>
      <c r="X228" s="811">
        <v>133084</v>
      </c>
      <c r="Y228" s="811">
        <v>103884.18799999999</v>
      </c>
    </row>
    <row r="229" spans="1:25" hidden="1" x14ac:dyDescent="0.25">
      <c r="A229" s="819" t="s">
        <v>27</v>
      </c>
      <c r="B229" s="849" t="s">
        <v>262</v>
      </c>
      <c r="C229" s="811">
        <v>34422</v>
      </c>
      <c r="D229" s="857">
        <v>886.99087792690727</v>
      </c>
      <c r="E229" s="811">
        <v>30532</v>
      </c>
      <c r="F229" s="811">
        <v>58000</v>
      </c>
      <c r="G229" s="811">
        <v>760</v>
      </c>
      <c r="H229" s="811">
        <v>44080</v>
      </c>
      <c r="I229" s="819">
        <v>9173</v>
      </c>
      <c r="J229" s="819">
        <v>840</v>
      </c>
      <c r="K229" s="811">
        <v>7705.32</v>
      </c>
      <c r="L229" s="811">
        <v>54114</v>
      </c>
      <c r="M229" s="811">
        <v>1169</v>
      </c>
      <c r="N229" s="811">
        <v>63259.266000000003</v>
      </c>
      <c r="O229" s="811">
        <v>6200</v>
      </c>
      <c r="P229" s="811">
        <v>700</v>
      </c>
      <c r="Q229" s="811">
        <v>4340</v>
      </c>
      <c r="R229" s="815"/>
      <c r="S229" s="815"/>
      <c r="T229" s="811"/>
      <c r="U229" s="815"/>
      <c r="V229" s="815"/>
      <c r="W229" s="811"/>
      <c r="X229" s="811">
        <v>161909</v>
      </c>
      <c r="Y229" s="811">
        <v>149916.58600000001</v>
      </c>
    </row>
    <row r="230" spans="1:25" hidden="1" x14ac:dyDescent="0.25">
      <c r="A230" s="888" t="s">
        <v>15</v>
      </c>
      <c r="B230" s="822" t="s">
        <v>263</v>
      </c>
      <c r="C230" s="821">
        <v>101897</v>
      </c>
      <c r="D230" s="934">
        <v>208</v>
      </c>
      <c r="E230" s="821">
        <v>21286.575000000001</v>
      </c>
      <c r="F230" s="821">
        <v>45207</v>
      </c>
      <c r="G230" s="821">
        <v>361.49934744619196</v>
      </c>
      <c r="H230" s="821">
        <v>16342.300999999999</v>
      </c>
      <c r="I230" s="821">
        <v>0</v>
      </c>
      <c r="J230" s="821"/>
      <c r="K230" s="821">
        <v>0</v>
      </c>
      <c r="L230" s="821">
        <v>2</v>
      </c>
      <c r="M230" s="821">
        <v>1215</v>
      </c>
      <c r="N230" s="821">
        <v>2.4300000000000002</v>
      </c>
      <c r="O230" s="821">
        <v>38790</v>
      </c>
      <c r="P230" s="821">
        <v>375</v>
      </c>
      <c r="Q230" s="821">
        <v>14546.25</v>
      </c>
      <c r="R230" s="822"/>
      <c r="S230" s="822"/>
      <c r="T230" s="822"/>
      <c r="U230" s="822"/>
      <c r="V230" s="822"/>
      <c r="W230" s="822"/>
      <c r="X230" s="823">
        <v>185896</v>
      </c>
      <c r="Y230" s="823">
        <v>52177.556000000004</v>
      </c>
    </row>
    <row r="231" spans="1:25" hidden="1" x14ac:dyDescent="0.25">
      <c r="A231" s="887" t="s">
        <v>187</v>
      </c>
      <c r="B231" s="822" t="s">
        <v>263</v>
      </c>
      <c r="C231" s="821">
        <v>24155</v>
      </c>
      <c r="D231" s="934">
        <v>300</v>
      </c>
      <c r="E231" s="821">
        <v>7246.5</v>
      </c>
      <c r="F231" s="821">
        <v>48</v>
      </c>
      <c r="G231" s="821">
        <v>600</v>
      </c>
      <c r="H231" s="821">
        <v>28.8</v>
      </c>
      <c r="I231" s="821">
        <v>1312</v>
      </c>
      <c r="J231" s="821">
        <v>500</v>
      </c>
      <c r="K231" s="821">
        <v>656</v>
      </c>
      <c r="L231" s="821">
        <v>0</v>
      </c>
      <c r="M231" s="821">
        <v>0</v>
      </c>
      <c r="N231" s="821">
        <v>0</v>
      </c>
      <c r="O231" s="821">
        <v>0</v>
      </c>
      <c r="P231" s="821">
        <v>0</v>
      </c>
      <c r="Q231" s="821">
        <v>0</v>
      </c>
      <c r="R231" s="822"/>
      <c r="S231" s="822"/>
      <c r="T231" s="822"/>
      <c r="U231" s="822"/>
      <c r="V231" s="822"/>
      <c r="W231" s="822"/>
      <c r="X231" s="823">
        <v>25515</v>
      </c>
      <c r="Y231" s="823">
        <v>7931.3</v>
      </c>
    </row>
    <row r="232" spans="1:25" hidden="1" x14ac:dyDescent="0.25">
      <c r="A232" s="888" t="s">
        <v>103</v>
      </c>
      <c r="B232" s="822" t="s">
        <v>263</v>
      </c>
      <c r="C232" s="821">
        <v>94441</v>
      </c>
      <c r="D232" s="934">
        <v>538.04915238085164</v>
      </c>
      <c r="E232" s="821">
        <v>50813.9</v>
      </c>
      <c r="F232" s="821">
        <v>125673</v>
      </c>
      <c r="G232" s="821">
        <v>862.52219649407584</v>
      </c>
      <c r="H232" s="821">
        <v>108395.75199999999</v>
      </c>
      <c r="I232" s="821">
        <v>37187</v>
      </c>
      <c r="J232" s="821">
        <v>858.43977734154407</v>
      </c>
      <c r="K232" s="821">
        <v>31922.799999999999</v>
      </c>
      <c r="L232" s="821">
        <v>2332</v>
      </c>
      <c r="M232" s="821">
        <v>2555</v>
      </c>
      <c r="N232" s="821">
        <v>5958.26</v>
      </c>
      <c r="O232" s="821">
        <v>18191</v>
      </c>
      <c r="P232" s="821">
        <v>926.86218459677866</v>
      </c>
      <c r="Q232" s="821">
        <v>16860.55</v>
      </c>
      <c r="R232" s="823"/>
      <c r="S232" s="822"/>
      <c r="T232" s="822"/>
      <c r="U232" s="822"/>
      <c r="V232" s="822"/>
      <c r="W232" s="822"/>
      <c r="X232" s="823">
        <v>277824</v>
      </c>
      <c r="Y232" s="823">
        <v>213951.26199999999</v>
      </c>
    </row>
    <row r="233" spans="1:25" hidden="1" x14ac:dyDescent="0.25">
      <c r="A233" s="888" t="s">
        <v>20</v>
      </c>
      <c r="B233" s="822" t="s">
        <v>263</v>
      </c>
      <c r="C233" s="821">
        <v>36191</v>
      </c>
      <c r="D233" s="934">
        <v>364.72051062418836</v>
      </c>
      <c r="E233" s="821">
        <v>13199.6</v>
      </c>
      <c r="F233" s="821">
        <v>37096</v>
      </c>
      <c r="G233" s="821">
        <v>500</v>
      </c>
      <c r="H233" s="821">
        <v>18548</v>
      </c>
      <c r="I233" s="821">
        <v>1519</v>
      </c>
      <c r="J233" s="821">
        <v>582.81764318630678</v>
      </c>
      <c r="K233" s="821">
        <v>885.3</v>
      </c>
      <c r="L233" s="821">
        <v>378</v>
      </c>
      <c r="M233" s="821">
        <v>1011.1111111111113</v>
      </c>
      <c r="N233" s="821">
        <v>382.20000000000005</v>
      </c>
      <c r="O233" s="821">
        <v>16763</v>
      </c>
      <c r="P233" s="821">
        <v>555.49126051422786</v>
      </c>
      <c r="Q233" s="821">
        <v>9311.7000000000007</v>
      </c>
      <c r="R233" s="822"/>
      <c r="S233" s="822"/>
      <c r="T233" s="822"/>
      <c r="U233" s="822"/>
      <c r="V233" s="822"/>
      <c r="W233" s="822"/>
      <c r="X233" s="823">
        <v>91947</v>
      </c>
      <c r="Y233" s="823">
        <v>42326.8</v>
      </c>
    </row>
    <row r="234" spans="1:25" hidden="1" x14ac:dyDescent="0.25">
      <c r="A234" s="888" t="s">
        <v>133</v>
      </c>
      <c r="B234" s="822" t="s">
        <v>263</v>
      </c>
      <c r="C234" s="821">
        <v>31415</v>
      </c>
      <c r="D234" s="934">
        <v>366.60512494031514</v>
      </c>
      <c r="E234" s="821">
        <v>11516.9</v>
      </c>
      <c r="F234" s="821">
        <v>76842</v>
      </c>
      <c r="G234" s="821">
        <v>820.92996017802761</v>
      </c>
      <c r="H234" s="821">
        <v>63081.9</v>
      </c>
      <c r="I234" s="821">
        <v>18856</v>
      </c>
      <c r="J234" s="821">
        <v>1265.3691132795925</v>
      </c>
      <c r="K234" s="821">
        <v>23859.8</v>
      </c>
      <c r="L234" s="821">
        <v>493</v>
      </c>
      <c r="M234" s="821">
        <v>4117</v>
      </c>
      <c r="N234" s="821">
        <v>2029.681</v>
      </c>
      <c r="O234" s="821">
        <v>3705</v>
      </c>
      <c r="P234" s="821">
        <v>651.41700404858307</v>
      </c>
      <c r="Q234" s="821">
        <v>2413.5</v>
      </c>
      <c r="R234" s="822"/>
      <c r="S234" s="822"/>
      <c r="T234" s="822"/>
      <c r="U234" s="822"/>
      <c r="V234" s="822"/>
      <c r="W234" s="822"/>
      <c r="X234" s="823">
        <v>131311</v>
      </c>
      <c r="Y234" s="823">
        <v>102901.781</v>
      </c>
    </row>
    <row r="235" spans="1:25" hidden="1" x14ac:dyDescent="0.25">
      <c r="A235" s="888" t="s">
        <v>21</v>
      </c>
      <c r="B235" s="822" t="s">
        <v>263</v>
      </c>
      <c r="C235" s="821">
        <v>8959</v>
      </c>
      <c r="D235" s="934">
        <v>87</v>
      </c>
      <c r="E235" s="821">
        <v>779.43299999999999</v>
      </c>
      <c r="F235" s="821">
        <v>0</v>
      </c>
      <c r="G235" s="821">
        <v>0</v>
      </c>
      <c r="H235" s="821">
        <v>0</v>
      </c>
      <c r="I235" s="821">
        <v>1568</v>
      </c>
      <c r="J235" s="821">
        <v>170</v>
      </c>
      <c r="K235" s="821">
        <v>266.56</v>
      </c>
      <c r="L235" s="821">
        <v>0</v>
      </c>
      <c r="M235" s="821">
        <v>0</v>
      </c>
      <c r="N235" s="821">
        <v>0</v>
      </c>
      <c r="O235" s="821">
        <v>0</v>
      </c>
      <c r="P235" s="821">
        <v>0</v>
      </c>
      <c r="Q235" s="821">
        <v>0</v>
      </c>
      <c r="R235" s="822"/>
      <c r="S235" s="822"/>
      <c r="T235" s="822"/>
      <c r="U235" s="822"/>
      <c r="V235" s="822"/>
      <c r="W235" s="822"/>
      <c r="X235" s="823">
        <v>10527</v>
      </c>
      <c r="Y235" s="823">
        <v>1045.9929999999999</v>
      </c>
    </row>
    <row r="236" spans="1:25" hidden="1" x14ac:dyDescent="0.25">
      <c r="A236" s="888" t="s">
        <v>22</v>
      </c>
      <c r="B236" s="822" t="s">
        <v>263</v>
      </c>
      <c r="C236" s="821">
        <v>15137</v>
      </c>
      <c r="D236" s="934">
        <v>500</v>
      </c>
      <c r="E236" s="821">
        <v>7568.5</v>
      </c>
      <c r="F236" s="821">
        <v>166</v>
      </c>
      <c r="G236" s="821">
        <v>699</v>
      </c>
      <c r="H236" s="821">
        <v>116</v>
      </c>
      <c r="I236" s="821">
        <v>25858</v>
      </c>
      <c r="J236" s="821">
        <v>2318</v>
      </c>
      <c r="K236" s="821">
        <v>59937</v>
      </c>
      <c r="L236" s="821">
        <v>84</v>
      </c>
      <c r="M236" s="821">
        <v>1298</v>
      </c>
      <c r="N236" s="821">
        <v>109</v>
      </c>
      <c r="O236" s="821">
        <v>40</v>
      </c>
      <c r="P236" s="821">
        <v>700</v>
      </c>
      <c r="Q236" s="821">
        <v>28</v>
      </c>
      <c r="R236" s="822">
        <v>957</v>
      </c>
      <c r="S236" s="823">
        <v>1800</v>
      </c>
      <c r="T236" s="821">
        <v>1722.6</v>
      </c>
      <c r="U236" s="822"/>
      <c r="V236" s="822"/>
      <c r="W236" s="822"/>
      <c r="X236" s="823">
        <v>42242</v>
      </c>
      <c r="Y236" s="823">
        <v>69481.100000000006</v>
      </c>
    </row>
    <row r="237" spans="1:25" hidden="1" x14ac:dyDescent="0.25">
      <c r="A237" s="888" t="s">
        <v>23</v>
      </c>
      <c r="B237" s="822" t="s">
        <v>263</v>
      </c>
      <c r="C237" s="821">
        <v>210380</v>
      </c>
      <c r="D237" s="934">
        <v>292</v>
      </c>
      <c r="E237" s="821">
        <v>61431</v>
      </c>
      <c r="F237" s="821">
        <v>115980</v>
      </c>
      <c r="G237" s="821">
        <v>268</v>
      </c>
      <c r="H237" s="821">
        <v>31082.639999999999</v>
      </c>
      <c r="I237" s="821">
        <v>110</v>
      </c>
      <c r="J237" s="821">
        <v>273</v>
      </c>
      <c r="K237" s="821">
        <v>30</v>
      </c>
      <c r="L237" s="821">
        <v>0</v>
      </c>
      <c r="M237" s="821">
        <v>0</v>
      </c>
      <c r="N237" s="821">
        <v>0</v>
      </c>
      <c r="O237" s="821">
        <v>0</v>
      </c>
      <c r="P237" s="821">
        <v>0</v>
      </c>
      <c r="Q237" s="821">
        <v>0</v>
      </c>
      <c r="R237" s="822"/>
      <c r="S237" s="822"/>
      <c r="T237" s="822"/>
      <c r="U237" s="822"/>
      <c r="V237" s="822"/>
      <c r="W237" s="822"/>
      <c r="X237" s="823">
        <v>326470</v>
      </c>
      <c r="Y237" s="823">
        <v>92543.64</v>
      </c>
    </row>
    <row r="238" spans="1:25" hidden="1" x14ac:dyDescent="0.25">
      <c r="A238" s="888" t="s">
        <v>24</v>
      </c>
      <c r="B238" s="822" t="s">
        <v>263</v>
      </c>
      <c r="C238" s="821">
        <v>7773</v>
      </c>
      <c r="D238" s="934">
        <v>657</v>
      </c>
      <c r="E238" s="821">
        <v>5106.8609999999999</v>
      </c>
      <c r="F238" s="821">
        <v>23998</v>
      </c>
      <c r="G238" s="821">
        <v>802</v>
      </c>
      <c r="H238" s="821">
        <v>19246.396000000001</v>
      </c>
      <c r="I238" s="821">
        <v>13552</v>
      </c>
      <c r="J238" s="821">
        <v>1147</v>
      </c>
      <c r="K238" s="821">
        <v>15544.144</v>
      </c>
      <c r="L238" s="821">
        <v>3762</v>
      </c>
      <c r="M238" s="821">
        <v>3007</v>
      </c>
      <c r="N238" s="821">
        <v>11312.334000000001</v>
      </c>
      <c r="O238" s="821">
        <v>164473</v>
      </c>
      <c r="P238" s="821">
        <v>748</v>
      </c>
      <c r="Q238" s="821">
        <v>123025.804</v>
      </c>
      <c r="R238" s="822"/>
      <c r="S238" s="822"/>
      <c r="T238" s="822"/>
      <c r="U238" s="822"/>
      <c r="V238" s="822"/>
      <c r="W238" s="822"/>
      <c r="X238" s="823">
        <v>213558</v>
      </c>
      <c r="Y238" s="823">
        <v>174235.53899999999</v>
      </c>
    </row>
    <row r="239" spans="1:25" hidden="1" x14ac:dyDescent="0.25">
      <c r="A239" s="888" t="s">
        <v>134</v>
      </c>
      <c r="B239" s="822" t="s">
        <v>263</v>
      </c>
      <c r="C239" s="821">
        <v>87836</v>
      </c>
      <c r="D239" s="934">
        <v>245.62821622113938</v>
      </c>
      <c r="E239" s="821">
        <v>21575</v>
      </c>
      <c r="F239" s="821">
        <v>148948</v>
      </c>
      <c r="G239" s="821">
        <v>298.28530762413732</v>
      </c>
      <c r="H239" s="821">
        <v>44429</v>
      </c>
      <c r="I239" s="821">
        <v>52604</v>
      </c>
      <c r="J239" s="821">
        <v>1293.5328111930651</v>
      </c>
      <c r="K239" s="821">
        <v>68045</v>
      </c>
      <c r="L239" s="821">
        <v>279</v>
      </c>
      <c r="M239" s="821">
        <v>716.84587813620067</v>
      </c>
      <c r="N239" s="821">
        <v>200</v>
      </c>
      <c r="O239" s="821">
        <v>0</v>
      </c>
      <c r="P239" s="821"/>
      <c r="Q239" s="821"/>
      <c r="R239" s="822"/>
      <c r="S239" s="822"/>
      <c r="T239" s="822"/>
      <c r="U239" s="822"/>
      <c r="V239" s="822"/>
      <c r="W239" s="822"/>
      <c r="X239" s="823">
        <v>289667</v>
      </c>
      <c r="Y239" s="823">
        <v>134249</v>
      </c>
    </row>
    <row r="240" spans="1:25" hidden="1" x14ac:dyDescent="0.25">
      <c r="A240" s="888" t="s">
        <v>161</v>
      </c>
      <c r="B240" s="822" t="s">
        <v>263</v>
      </c>
      <c r="C240" s="821">
        <v>134052</v>
      </c>
      <c r="D240" s="934">
        <v>230.38219496911645</v>
      </c>
      <c r="E240" s="821">
        <v>30883.194</v>
      </c>
      <c r="F240" s="821">
        <v>35468</v>
      </c>
      <c r="G240" s="821">
        <v>352.83241231532645</v>
      </c>
      <c r="H240" s="821">
        <v>12514.26</v>
      </c>
      <c r="I240" s="821"/>
      <c r="J240" s="821"/>
      <c r="K240" s="821"/>
      <c r="L240" s="821">
        <v>0</v>
      </c>
      <c r="M240" s="821"/>
      <c r="N240" s="821">
        <v>0</v>
      </c>
      <c r="O240" s="821">
        <v>0</v>
      </c>
      <c r="P240" s="821"/>
      <c r="Q240" s="821">
        <v>0</v>
      </c>
      <c r="R240" s="822"/>
      <c r="S240" s="822"/>
      <c r="T240" s="822"/>
      <c r="U240" s="822"/>
      <c r="V240" s="822"/>
      <c r="W240" s="822"/>
      <c r="X240" s="823">
        <v>169520</v>
      </c>
      <c r="Y240" s="823">
        <v>43397.453999999998</v>
      </c>
    </row>
    <row r="241" spans="1:25" hidden="1" x14ac:dyDescent="0.25">
      <c r="A241" s="888" t="s">
        <v>135</v>
      </c>
      <c r="B241" s="822" t="s">
        <v>263</v>
      </c>
      <c r="C241" s="821">
        <v>39003</v>
      </c>
      <c r="D241" s="934">
        <v>577.95554188139374</v>
      </c>
      <c r="E241" s="821">
        <v>22542</v>
      </c>
      <c r="F241" s="821">
        <v>94428</v>
      </c>
      <c r="G241" s="821">
        <v>712.92413267251243</v>
      </c>
      <c r="H241" s="821">
        <v>67320</v>
      </c>
      <c r="I241" s="821">
        <v>6730</v>
      </c>
      <c r="J241" s="821">
        <v>880.98068350668643</v>
      </c>
      <c r="K241" s="821">
        <v>5929</v>
      </c>
      <c r="L241" s="821">
        <v>5873</v>
      </c>
      <c r="M241" s="821">
        <v>1219.3087008343266</v>
      </c>
      <c r="N241" s="821">
        <v>7161</v>
      </c>
      <c r="O241" s="821">
        <v>0</v>
      </c>
      <c r="P241" s="821"/>
      <c r="Q241" s="821">
        <v>0</v>
      </c>
      <c r="R241" s="822"/>
      <c r="S241" s="822"/>
      <c r="T241" s="822"/>
      <c r="U241" s="822"/>
      <c r="V241" s="822"/>
      <c r="W241" s="822"/>
      <c r="X241" s="823">
        <v>146034</v>
      </c>
      <c r="Y241" s="823">
        <v>102952</v>
      </c>
    </row>
    <row r="242" spans="1:25" hidden="1" x14ac:dyDescent="0.25">
      <c r="A242" s="888" t="s">
        <v>136</v>
      </c>
      <c r="B242" s="822" t="s">
        <v>263</v>
      </c>
      <c r="C242" s="821">
        <v>19621</v>
      </c>
      <c r="D242" s="934">
        <v>622.10702818408845</v>
      </c>
      <c r="E242" s="821">
        <v>12206.362000000001</v>
      </c>
      <c r="F242" s="821">
        <v>57015</v>
      </c>
      <c r="G242" s="821">
        <v>936.73468385512581</v>
      </c>
      <c r="H242" s="821">
        <v>53407.928</v>
      </c>
      <c r="I242" s="821">
        <v>9391</v>
      </c>
      <c r="J242" s="821">
        <v>1097.6034501118093</v>
      </c>
      <c r="K242" s="821">
        <v>10307.594000000001</v>
      </c>
      <c r="L242" s="821">
        <v>36939</v>
      </c>
      <c r="M242" s="821">
        <v>1772.1350875768157</v>
      </c>
      <c r="N242" s="821">
        <v>65460.898000000001</v>
      </c>
      <c r="O242" s="821">
        <v>48248</v>
      </c>
      <c r="P242" s="821">
        <v>622.43914773669371</v>
      </c>
      <c r="Q242" s="821">
        <v>30031.444</v>
      </c>
      <c r="R242" s="822"/>
      <c r="S242" s="822"/>
      <c r="T242" s="822"/>
      <c r="U242" s="822"/>
      <c r="V242" s="822"/>
      <c r="W242" s="822"/>
      <c r="X242" s="823">
        <v>171214</v>
      </c>
      <c r="Y242" s="823">
        <v>171414.226</v>
      </c>
    </row>
    <row r="243" spans="1:25" hidden="1" x14ac:dyDescent="0.25">
      <c r="A243" s="888" t="s">
        <v>137</v>
      </c>
      <c r="B243" s="822" t="s">
        <v>263</v>
      </c>
      <c r="C243" s="821">
        <v>11970</v>
      </c>
      <c r="D243" s="934">
        <v>627.75338345864657</v>
      </c>
      <c r="E243" s="821">
        <v>7514.2079999999996</v>
      </c>
      <c r="F243" s="821">
        <v>62759</v>
      </c>
      <c r="G243" s="821">
        <v>909.11853280007642</v>
      </c>
      <c r="H243" s="821">
        <v>57055.369999999995</v>
      </c>
      <c r="I243" s="821">
        <v>35775</v>
      </c>
      <c r="J243" s="821">
        <v>1429.9787561146052</v>
      </c>
      <c r="K243" s="821">
        <v>51157.49</v>
      </c>
      <c r="L243" s="821">
        <v>12790</v>
      </c>
      <c r="M243" s="821">
        <v>1044.175136825645</v>
      </c>
      <c r="N243" s="821">
        <v>13355</v>
      </c>
      <c r="O243" s="821">
        <v>9540</v>
      </c>
      <c r="P243" s="821">
        <v>763.3123689727463</v>
      </c>
      <c r="Q243" s="821">
        <v>7282</v>
      </c>
      <c r="R243" s="822"/>
      <c r="S243" s="822"/>
      <c r="T243" s="822"/>
      <c r="U243" s="822"/>
      <c r="V243" s="822"/>
      <c r="W243" s="822"/>
      <c r="X243" s="823">
        <v>132834</v>
      </c>
      <c r="Y243" s="823">
        <v>136364.068</v>
      </c>
    </row>
    <row r="244" spans="1:25" hidden="1" x14ac:dyDescent="0.25">
      <c r="A244" s="864" t="s">
        <v>52</v>
      </c>
      <c r="B244" s="822" t="s">
        <v>263</v>
      </c>
      <c r="C244" s="821">
        <v>20368</v>
      </c>
      <c r="D244" s="934">
        <v>640.56362922230949</v>
      </c>
      <c r="E244" s="821">
        <v>13047</v>
      </c>
      <c r="F244" s="821">
        <v>46939</v>
      </c>
      <c r="G244" s="821">
        <v>738.80994482200299</v>
      </c>
      <c r="H244" s="821">
        <v>34679</v>
      </c>
      <c r="I244" s="821">
        <v>6238</v>
      </c>
      <c r="J244" s="821">
        <v>791.76017954472593</v>
      </c>
      <c r="K244" s="821">
        <v>4939</v>
      </c>
      <c r="L244" s="821">
        <v>1725</v>
      </c>
      <c r="M244" s="821">
        <v>1432.463768115942</v>
      </c>
      <c r="N244" s="821">
        <v>2471</v>
      </c>
      <c r="O244" s="821">
        <v>4875</v>
      </c>
      <c r="P244" s="821">
        <v>600</v>
      </c>
      <c r="Q244" s="821">
        <v>2925</v>
      </c>
      <c r="R244" s="822"/>
      <c r="S244" s="822"/>
      <c r="T244" s="822"/>
      <c r="U244" s="822"/>
      <c r="V244" s="822"/>
      <c r="W244" s="822"/>
      <c r="X244" s="823">
        <v>80145</v>
      </c>
      <c r="Y244" s="823">
        <v>58061</v>
      </c>
    </row>
    <row r="245" spans="1:25" hidden="1" x14ac:dyDescent="0.25">
      <c r="A245" s="819" t="s">
        <v>50</v>
      </c>
      <c r="B245" s="822" t="s">
        <v>263</v>
      </c>
      <c r="C245" s="821">
        <v>22062</v>
      </c>
      <c r="D245" s="934">
        <v>518.68651980781431</v>
      </c>
      <c r="E245" s="821">
        <v>11443.261999999999</v>
      </c>
      <c r="F245" s="821">
        <v>45922</v>
      </c>
      <c r="G245" s="821">
        <v>789.49174687513607</v>
      </c>
      <c r="H245" s="821">
        <v>36255.040000000001</v>
      </c>
      <c r="I245" s="821">
        <v>13086</v>
      </c>
      <c r="J245" s="821">
        <v>793.77365123032246</v>
      </c>
      <c r="K245" s="821">
        <v>10387.322</v>
      </c>
      <c r="L245" s="821">
        <v>7843</v>
      </c>
      <c r="M245" s="821">
        <v>1277.5678949381613</v>
      </c>
      <c r="N245" s="821">
        <v>10019.964999999998</v>
      </c>
      <c r="O245" s="821"/>
      <c r="P245" s="821"/>
      <c r="Q245" s="821"/>
      <c r="R245" s="822"/>
      <c r="S245" s="822"/>
      <c r="T245" s="822"/>
      <c r="U245" s="822"/>
      <c r="V245" s="822"/>
      <c r="W245" s="822"/>
      <c r="X245" s="823">
        <v>88913</v>
      </c>
      <c r="Y245" s="823">
        <v>68105.588999999993</v>
      </c>
    </row>
    <row r="246" spans="1:25" hidden="1" x14ac:dyDescent="0.25">
      <c r="A246" s="888" t="s">
        <v>163</v>
      </c>
      <c r="B246" s="822" t="s">
        <v>263</v>
      </c>
      <c r="C246" s="821">
        <v>22611</v>
      </c>
      <c r="D246" s="934">
        <v>708.74985626464991</v>
      </c>
      <c r="E246" s="821">
        <v>16025.543</v>
      </c>
      <c r="F246" s="821">
        <v>67836</v>
      </c>
      <c r="G246" s="821">
        <v>848.85674273247241</v>
      </c>
      <c r="H246" s="821">
        <v>57583.046000000002</v>
      </c>
      <c r="I246" s="821">
        <v>12555</v>
      </c>
      <c r="J246" s="821">
        <v>803.09956192751895</v>
      </c>
      <c r="K246" s="821">
        <v>10082.915000000001</v>
      </c>
      <c r="L246" s="821">
        <v>11990</v>
      </c>
      <c r="M246" s="821">
        <v>1421.9576313594664</v>
      </c>
      <c r="N246" s="821">
        <v>17049.272000000001</v>
      </c>
      <c r="O246" s="821"/>
      <c r="P246" s="821"/>
      <c r="Q246" s="821"/>
      <c r="R246" s="822"/>
      <c r="S246" s="822"/>
      <c r="T246" s="822"/>
      <c r="U246" s="822"/>
      <c r="V246" s="822"/>
      <c r="W246" s="822"/>
      <c r="X246" s="823">
        <v>114992</v>
      </c>
      <c r="Y246" s="823">
        <v>100740.77600000001</v>
      </c>
    </row>
    <row r="247" spans="1:25" hidden="1" x14ac:dyDescent="0.25">
      <c r="A247" s="888" t="s">
        <v>27</v>
      </c>
      <c r="B247" s="822" t="s">
        <v>263</v>
      </c>
      <c r="C247" s="821">
        <v>30179</v>
      </c>
      <c r="D247" s="934">
        <v>488.96494250969221</v>
      </c>
      <c r="E247" s="821">
        <v>14756.473</v>
      </c>
      <c r="F247" s="821">
        <v>46849</v>
      </c>
      <c r="G247" s="821">
        <v>594.43588977352772</v>
      </c>
      <c r="H247" s="821">
        <v>27848.726999999999</v>
      </c>
      <c r="I247" s="821">
        <v>7705</v>
      </c>
      <c r="J247" s="821">
        <v>716.71512005191425</v>
      </c>
      <c r="K247" s="821">
        <v>5522.29</v>
      </c>
      <c r="L247" s="821">
        <v>36301</v>
      </c>
      <c r="M247" s="821">
        <v>1024.098124018622</v>
      </c>
      <c r="N247" s="821">
        <v>37175.786</v>
      </c>
      <c r="O247" s="821"/>
      <c r="P247" s="821"/>
      <c r="Q247" s="821"/>
      <c r="R247" s="822"/>
      <c r="S247" s="822"/>
      <c r="T247" s="822"/>
      <c r="U247" s="822"/>
      <c r="V247" s="822"/>
      <c r="W247" s="822"/>
      <c r="X247" s="823">
        <v>121034</v>
      </c>
      <c r="Y247" s="823">
        <v>85303.275999999998</v>
      </c>
    </row>
    <row r="248" spans="1:25" hidden="1" x14ac:dyDescent="0.25">
      <c r="A248" s="889" t="s">
        <v>15</v>
      </c>
      <c r="B248" s="850" t="s">
        <v>264</v>
      </c>
      <c r="C248" s="826">
        <v>195104</v>
      </c>
      <c r="D248" s="935">
        <v>306.30217391304348</v>
      </c>
      <c r="E248" s="826">
        <v>59760.779339130429</v>
      </c>
      <c r="F248" s="827">
        <v>72623</v>
      </c>
      <c r="G248" s="826">
        <v>122</v>
      </c>
      <c r="H248" s="826">
        <v>8860.0059999999994</v>
      </c>
      <c r="I248" s="827"/>
      <c r="J248" s="826"/>
      <c r="K248" s="826">
        <v>0</v>
      </c>
      <c r="L248" s="827">
        <v>4</v>
      </c>
      <c r="M248" s="826">
        <v>1215</v>
      </c>
      <c r="N248" s="826">
        <v>4.8600000000000003</v>
      </c>
      <c r="O248" s="828">
        <v>99711</v>
      </c>
      <c r="P248" s="826">
        <v>800</v>
      </c>
      <c r="Q248" s="826">
        <v>79768.800000000003</v>
      </c>
      <c r="R248" s="826"/>
      <c r="S248" s="826"/>
      <c r="T248" s="826"/>
      <c r="U248" s="822"/>
      <c r="V248" s="822"/>
      <c r="W248" s="822"/>
      <c r="X248" s="829">
        <v>367442</v>
      </c>
      <c r="Y248" s="829">
        <v>148394.44533913041</v>
      </c>
    </row>
    <row r="249" spans="1:25" hidden="1" x14ac:dyDescent="0.25">
      <c r="A249" s="887" t="s">
        <v>187</v>
      </c>
      <c r="B249" s="850" t="s">
        <v>264</v>
      </c>
      <c r="C249" s="826">
        <v>34640</v>
      </c>
      <c r="D249" s="935">
        <v>400</v>
      </c>
      <c r="E249" s="826">
        <v>23744.701176470589</v>
      </c>
      <c r="F249" s="827">
        <v>100</v>
      </c>
      <c r="G249" s="826">
        <v>600</v>
      </c>
      <c r="H249" s="826">
        <v>60</v>
      </c>
      <c r="I249" s="827">
        <v>4000</v>
      </c>
      <c r="J249" s="826">
        <v>500</v>
      </c>
      <c r="K249" s="826">
        <v>2000</v>
      </c>
      <c r="L249" s="827">
        <v>0</v>
      </c>
      <c r="M249" s="826"/>
      <c r="N249" s="826">
        <v>0</v>
      </c>
      <c r="O249" s="828"/>
      <c r="P249" s="826"/>
      <c r="Q249" s="826">
        <v>0</v>
      </c>
      <c r="R249" s="826"/>
      <c r="S249" s="826"/>
      <c r="T249" s="826"/>
      <c r="U249" s="822"/>
      <c r="V249" s="822"/>
      <c r="W249" s="822"/>
      <c r="X249" s="829">
        <v>38740</v>
      </c>
      <c r="Y249" s="829">
        <v>25804.701176470589</v>
      </c>
    </row>
    <row r="250" spans="1:25" hidden="1" x14ac:dyDescent="0.25">
      <c r="A250" s="889" t="s">
        <v>103</v>
      </c>
      <c r="B250" s="850" t="s">
        <v>264</v>
      </c>
      <c r="C250" s="826">
        <v>93706</v>
      </c>
      <c r="D250" s="935">
        <v>685.47058823529414</v>
      </c>
      <c r="E250" s="826">
        <v>72203.150314285725</v>
      </c>
      <c r="F250" s="827">
        <v>124281</v>
      </c>
      <c r="G250" s="826">
        <v>666</v>
      </c>
      <c r="H250" s="826">
        <v>82771.145999999993</v>
      </c>
      <c r="I250" s="827">
        <v>24841</v>
      </c>
      <c r="J250" s="826">
        <v>797</v>
      </c>
      <c r="K250" s="826">
        <v>19798.276999999998</v>
      </c>
      <c r="L250" s="827">
        <v>3776</v>
      </c>
      <c r="M250" s="826"/>
      <c r="N250" s="826">
        <v>0</v>
      </c>
      <c r="O250" s="828">
        <v>3009</v>
      </c>
      <c r="P250" s="826">
        <v>1953</v>
      </c>
      <c r="Q250" s="826">
        <v>5876.5770000000002</v>
      </c>
      <c r="R250" s="826"/>
      <c r="S250" s="826"/>
      <c r="T250" s="826"/>
      <c r="U250" s="822"/>
      <c r="V250" s="822"/>
      <c r="W250" s="822"/>
      <c r="X250" s="829">
        <v>249613</v>
      </c>
      <c r="Y250" s="829">
        <v>180649.15031428571</v>
      </c>
    </row>
    <row r="251" spans="1:25" hidden="1" x14ac:dyDescent="0.25">
      <c r="A251" s="889" t="s">
        <v>20</v>
      </c>
      <c r="B251" s="850" t="s">
        <v>264</v>
      </c>
      <c r="C251" s="826">
        <v>61590</v>
      </c>
      <c r="D251" s="935">
        <v>770.52857142857147</v>
      </c>
      <c r="E251" s="826">
        <v>20188.5861</v>
      </c>
      <c r="F251" s="827">
        <v>102454</v>
      </c>
      <c r="G251" s="826">
        <v>2517</v>
      </c>
      <c r="H251" s="826">
        <v>257876.71799999999</v>
      </c>
      <c r="I251" s="827">
        <v>1779</v>
      </c>
      <c r="J251" s="826">
        <v>700</v>
      </c>
      <c r="K251" s="826">
        <v>1245.3</v>
      </c>
      <c r="L251" s="827">
        <v>547</v>
      </c>
      <c r="M251" s="826">
        <v>1200</v>
      </c>
      <c r="N251" s="826">
        <v>656.4</v>
      </c>
      <c r="O251" s="828">
        <v>11344</v>
      </c>
      <c r="P251" s="826">
        <v>1342</v>
      </c>
      <c r="Q251" s="826">
        <v>15223.647999999999</v>
      </c>
      <c r="R251" s="826"/>
      <c r="S251" s="826"/>
      <c r="T251" s="826"/>
      <c r="U251" s="822"/>
      <c r="V251" s="822"/>
      <c r="W251" s="822"/>
      <c r="X251" s="829">
        <v>177714</v>
      </c>
      <c r="Y251" s="829">
        <v>295190.65210000001</v>
      </c>
    </row>
    <row r="252" spans="1:25" hidden="1" x14ac:dyDescent="0.25">
      <c r="A252" s="889" t="s">
        <v>133</v>
      </c>
      <c r="B252" s="850" t="s">
        <v>264</v>
      </c>
      <c r="C252" s="826">
        <v>76554</v>
      </c>
      <c r="D252" s="935">
        <v>327.79</v>
      </c>
      <c r="E252" s="826">
        <v>26247.474559999999</v>
      </c>
      <c r="F252" s="827">
        <v>89852</v>
      </c>
      <c r="G252" s="826">
        <v>383</v>
      </c>
      <c r="H252" s="826">
        <v>34413.315999999999</v>
      </c>
      <c r="I252" s="827">
        <v>46093</v>
      </c>
      <c r="J252" s="826">
        <v>1077</v>
      </c>
      <c r="K252" s="826">
        <v>49642.161</v>
      </c>
      <c r="L252" s="827">
        <v>779</v>
      </c>
      <c r="M252" s="826">
        <v>6000</v>
      </c>
      <c r="N252" s="826">
        <v>4674</v>
      </c>
      <c r="O252" s="828">
        <v>950</v>
      </c>
      <c r="P252" s="826">
        <v>2217</v>
      </c>
      <c r="Q252" s="826">
        <v>2106.15</v>
      </c>
      <c r="R252" s="826"/>
      <c r="S252" s="826"/>
      <c r="T252" s="826"/>
      <c r="U252" s="822"/>
      <c r="V252" s="822"/>
      <c r="W252" s="822"/>
      <c r="X252" s="829">
        <v>214228</v>
      </c>
      <c r="Y252" s="829">
        <v>117083.10156000001</v>
      </c>
    </row>
    <row r="253" spans="1:25" hidden="1" x14ac:dyDescent="0.25">
      <c r="A253" s="889" t="s">
        <v>21</v>
      </c>
      <c r="B253" s="850" t="s">
        <v>264</v>
      </c>
      <c r="C253" s="826">
        <v>46150</v>
      </c>
      <c r="D253" s="935">
        <v>342.86222222222221</v>
      </c>
      <c r="E253" s="826">
        <v>25165.1335</v>
      </c>
      <c r="F253" s="827">
        <v>0</v>
      </c>
      <c r="G253" s="826"/>
      <c r="H253" s="826">
        <v>0</v>
      </c>
      <c r="I253" s="827">
        <v>1020</v>
      </c>
      <c r="J253" s="826">
        <v>450</v>
      </c>
      <c r="K253" s="826">
        <v>459</v>
      </c>
      <c r="L253" s="827">
        <v>0</v>
      </c>
      <c r="M253" s="826">
        <v>5000</v>
      </c>
      <c r="N253" s="826">
        <v>0</v>
      </c>
      <c r="O253" s="828"/>
      <c r="P253" s="826"/>
      <c r="Q253" s="826">
        <v>0</v>
      </c>
      <c r="R253" s="826"/>
      <c r="S253" s="826"/>
      <c r="T253" s="826"/>
      <c r="U253" s="822"/>
      <c r="V253" s="822"/>
      <c r="W253" s="822"/>
      <c r="X253" s="829">
        <v>47170</v>
      </c>
      <c r="Y253" s="829">
        <v>25624.1335</v>
      </c>
    </row>
    <row r="254" spans="1:25" hidden="1" x14ac:dyDescent="0.25">
      <c r="A254" s="889" t="s">
        <v>22</v>
      </c>
      <c r="B254" s="850" t="s">
        <v>264</v>
      </c>
      <c r="C254" s="826">
        <v>29069</v>
      </c>
      <c r="D254" s="935">
        <v>545.29</v>
      </c>
      <c r="E254" s="826">
        <v>25435.375</v>
      </c>
      <c r="F254" s="827">
        <v>364</v>
      </c>
      <c r="G254" s="826">
        <v>1900</v>
      </c>
      <c r="H254" s="826">
        <v>691.6</v>
      </c>
      <c r="I254" s="827">
        <v>32513</v>
      </c>
      <c r="J254" s="826">
        <v>2355</v>
      </c>
      <c r="K254" s="826">
        <v>76568.115000000005</v>
      </c>
      <c r="L254" s="827">
        <v>592</v>
      </c>
      <c r="M254" s="826"/>
      <c r="N254" s="826">
        <v>0</v>
      </c>
      <c r="O254" s="828">
        <v>500</v>
      </c>
      <c r="P254" s="826">
        <v>1900</v>
      </c>
      <c r="Q254" s="826">
        <v>950</v>
      </c>
      <c r="R254" s="830">
        <v>3500</v>
      </c>
      <c r="S254" s="826">
        <v>2500</v>
      </c>
      <c r="T254" s="826">
        <v>8750</v>
      </c>
      <c r="U254" s="822"/>
      <c r="V254" s="822"/>
      <c r="W254" s="822"/>
      <c r="X254" s="829">
        <v>63038</v>
      </c>
      <c r="Y254" s="829">
        <v>112395.09000000001</v>
      </c>
    </row>
    <row r="255" spans="1:25" hidden="1" x14ac:dyDescent="0.25">
      <c r="A255" s="889" t="s">
        <v>23</v>
      </c>
      <c r="B255" s="850" t="s">
        <v>264</v>
      </c>
      <c r="C255" s="826">
        <v>253093</v>
      </c>
      <c r="D255" s="935">
        <v>875</v>
      </c>
      <c r="E255" s="826">
        <v>188048.09899999999</v>
      </c>
      <c r="F255" s="827">
        <v>118906</v>
      </c>
      <c r="G255" s="826"/>
      <c r="H255" s="826">
        <v>0</v>
      </c>
      <c r="I255" s="827">
        <v>257</v>
      </c>
      <c r="J255" s="826">
        <v>961</v>
      </c>
      <c r="K255" s="826">
        <v>246.977</v>
      </c>
      <c r="L255" s="827"/>
      <c r="M255" s="826"/>
      <c r="N255" s="826">
        <v>0</v>
      </c>
      <c r="O255" s="828">
        <v>850</v>
      </c>
      <c r="P255" s="826">
        <v>950</v>
      </c>
      <c r="Q255" s="826">
        <v>807.5</v>
      </c>
      <c r="R255" s="826"/>
      <c r="S255" s="826"/>
      <c r="T255" s="826"/>
      <c r="U255" s="822"/>
      <c r="V255" s="822"/>
      <c r="W255" s="822"/>
      <c r="X255" s="829">
        <v>373106</v>
      </c>
      <c r="Y255" s="829">
        <v>189102.576</v>
      </c>
    </row>
    <row r="256" spans="1:25" hidden="1" x14ac:dyDescent="0.25">
      <c r="A256" s="889" t="s">
        <v>24</v>
      </c>
      <c r="B256" s="850" t="s">
        <v>264</v>
      </c>
      <c r="C256" s="826">
        <v>9198</v>
      </c>
      <c r="D256" s="935">
        <v>743</v>
      </c>
      <c r="E256" s="826">
        <v>6834.1139999999996</v>
      </c>
      <c r="F256" s="827">
        <v>22947</v>
      </c>
      <c r="G256" s="826">
        <v>948</v>
      </c>
      <c r="H256" s="826">
        <v>21753.756000000001</v>
      </c>
      <c r="I256" s="827">
        <v>30429</v>
      </c>
      <c r="J256" s="826">
        <v>1200</v>
      </c>
      <c r="K256" s="826">
        <v>36514.800000000003</v>
      </c>
      <c r="L256" s="827">
        <v>5194</v>
      </c>
      <c r="M256" s="826">
        <v>4051</v>
      </c>
      <c r="N256" s="826">
        <v>21040.894</v>
      </c>
      <c r="O256" s="828">
        <v>211540</v>
      </c>
      <c r="P256" s="826">
        <v>1561</v>
      </c>
      <c r="Q256" s="826">
        <v>330213.94</v>
      </c>
      <c r="R256" s="826"/>
      <c r="S256" s="826"/>
      <c r="T256" s="826"/>
      <c r="U256" s="822"/>
      <c r="V256" s="822"/>
      <c r="W256" s="822"/>
      <c r="X256" s="829">
        <v>279308</v>
      </c>
      <c r="Y256" s="829">
        <v>416357.50400000002</v>
      </c>
    </row>
    <row r="257" spans="1:25" hidden="1" x14ac:dyDescent="0.25">
      <c r="A257" s="889" t="s">
        <v>134</v>
      </c>
      <c r="B257" s="850" t="s">
        <v>264</v>
      </c>
      <c r="C257" s="826">
        <v>170767</v>
      </c>
      <c r="D257" s="935">
        <v>1132</v>
      </c>
      <c r="E257" s="826">
        <v>193308.24400000001</v>
      </c>
      <c r="F257" s="827">
        <v>164473</v>
      </c>
      <c r="G257" s="826">
        <v>1432</v>
      </c>
      <c r="H257" s="826">
        <v>235525.33600000001</v>
      </c>
      <c r="I257" s="827">
        <v>97207</v>
      </c>
      <c r="J257" s="826">
        <v>1910</v>
      </c>
      <c r="K257" s="826">
        <v>185665.37</v>
      </c>
      <c r="L257" s="827">
        <v>547</v>
      </c>
      <c r="M257" s="826">
        <v>1608</v>
      </c>
      <c r="N257" s="826">
        <v>879.57600000000002</v>
      </c>
      <c r="O257" s="828">
        <v>6233</v>
      </c>
      <c r="P257" s="826">
        <v>1523</v>
      </c>
      <c r="Q257" s="826">
        <v>9492.8590000000004</v>
      </c>
      <c r="R257" s="826"/>
      <c r="S257" s="826"/>
      <c r="T257" s="826"/>
      <c r="U257" s="822"/>
      <c r="V257" s="822"/>
      <c r="W257" s="822"/>
      <c r="X257" s="829">
        <v>439227</v>
      </c>
      <c r="Y257" s="829">
        <v>624871.38500000001</v>
      </c>
    </row>
    <row r="258" spans="1:25" hidden="1" x14ac:dyDescent="0.25">
      <c r="A258" s="889" t="s">
        <v>161</v>
      </c>
      <c r="B258" s="850" t="s">
        <v>264</v>
      </c>
      <c r="C258" s="826">
        <v>181421</v>
      </c>
      <c r="D258" s="935">
        <v>502.55833333333328</v>
      </c>
      <c r="E258" s="826">
        <v>91174.635391666656</v>
      </c>
      <c r="F258" s="827">
        <v>39504</v>
      </c>
      <c r="G258" s="826">
        <v>4888.7</v>
      </c>
      <c r="H258" s="826">
        <v>193123.20479999998</v>
      </c>
      <c r="I258" s="827"/>
      <c r="J258" s="826"/>
      <c r="K258" s="826">
        <v>0</v>
      </c>
      <c r="L258" s="827"/>
      <c r="M258" s="826"/>
      <c r="N258" s="826">
        <v>0</v>
      </c>
      <c r="O258" s="828">
        <v>32</v>
      </c>
      <c r="P258" s="826">
        <v>700</v>
      </c>
      <c r="Q258" s="826">
        <v>22.4</v>
      </c>
      <c r="R258" s="826"/>
      <c r="S258" s="826"/>
      <c r="T258" s="826"/>
      <c r="U258" s="822"/>
      <c r="V258" s="822"/>
      <c r="W258" s="822"/>
      <c r="X258" s="829">
        <v>220957</v>
      </c>
      <c r="Y258" s="829">
        <v>284320.24019166664</v>
      </c>
    </row>
    <row r="259" spans="1:25" hidden="1" x14ac:dyDescent="0.25">
      <c r="A259" s="923" t="s">
        <v>135</v>
      </c>
      <c r="B259" s="850" t="s">
        <v>264</v>
      </c>
      <c r="C259" s="827">
        <v>41246</v>
      </c>
      <c r="D259" s="935">
        <v>460.86486486486478</v>
      </c>
      <c r="E259" s="826">
        <v>19008.832216216215</v>
      </c>
      <c r="F259" s="827">
        <v>99826</v>
      </c>
      <c r="G259" s="826">
        <v>432</v>
      </c>
      <c r="H259" s="826">
        <v>43124.832000000002</v>
      </c>
      <c r="I259" s="827">
        <v>9922</v>
      </c>
      <c r="J259" s="826">
        <v>1121</v>
      </c>
      <c r="K259" s="826">
        <v>11122.562</v>
      </c>
      <c r="L259" s="827">
        <v>12321</v>
      </c>
      <c r="M259" s="826">
        <v>906</v>
      </c>
      <c r="N259" s="826">
        <v>11162.825999999999</v>
      </c>
      <c r="O259" s="827"/>
      <c r="P259" s="826"/>
      <c r="Q259" s="826">
        <v>0</v>
      </c>
      <c r="R259" s="826"/>
      <c r="S259" s="826"/>
      <c r="T259" s="826"/>
      <c r="U259" s="822"/>
      <c r="V259" s="822"/>
      <c r="W259" s="822"/>
      <c r="X259" s="829">
        <v>163315</v>
      </c>
      <c r="Y259" s="829">
        <v>84419.052216216223</v>
      </c>
    </row>
    <row r="260" spans="1:25" hidden="1" x14ac:dyDescent="0.25">
      <c r="A260" s="923" t="s">
        <v>136</v>
      </c>
      <c r="B260" s="850" t="s">
        <v>264</v>
      </c>
      <c r="C260" s="827">
        <v>18867</v>
      </c>
      <c r="D260" s="935">
        <v>576</v>
      </c>
      <c r="E260" s="826">
        <v>10867.392</v>
      </c>
      <c r="F260" s="827">
        <v>50802</v>
      </c>
      <c r="G260" s="826">
        <v>953</v>
      </c>
      <c r="H260" s="826">
        <v>48414.305999999997</v>
      </c>
      <c r="I260" s="827">
        <v>8658</v>
      </c>
      <c r="J260" s="826">
        <v>2353</v>
      </c>
      <c r="K260" s="826">
        <v>20372.274000000001</v>
      </c>
      <c r="L260" s="827">
        <v>27249</v>
      </c>
      <c r="M260" s="826">
        <v>2328</v>
      </c>
      <c r="N260" s="826">
        <v>63435.671999999999</v>
      </c>
      <c r="O260" s="827">
        <v>76331</v>
      </c>
      <c r="P260" s="826">
        <v>545</v>
      </c>
      <c r="Q260" s="826">
        <v>41600.394999999997</v>
      </c>
      <c r="R260" s="826"/>
      <c r="S260" s="826"/>
      <c r="T260" s="826"/>
      <c r="U260" s="822"/>
      <c r="V260" s="822"/>
      <c r="W260" s="822"/>
      <c r="X260" s="829">
        <v>181907</v>
      </c>
      <c r="Y260" s="829">
        <v>184690.03899999999</v>
      </c>
    </row>
    <row r="261" spans="1:25" hidden="1" x14ac:dyDescent="0.25">
      <c r="A261" s="923" t="s">
        <v>137</v>
      </c>
      <c r="B261" s="850" t="s">
        <v>264</v>
      </c>
      <c r="C261" s="827">
        <v>5763</v>
      </c>
      <c r="D261" s="935">
        <v>491</v>
      </c>
      <c r="E261" s="826">
        <v>2829.6329999999998</v>
      </c>
      <c r="F261" s="827">
        <v>69738</v>
      </c>
      <c r="G261" s="826">
        <v>760</v>
      </c>
      <c r="H261" s="826">
        <v>53000.88</v>
      </c>
      <c r="I261" s="827">
        <v>37851</v>
      </c>
      <c r="J261" s="826">
        <v>762</v>
      </c>
      <c r="K261" s="826">
        <v>28842.462</v>
      </c>
      <c r="L261" s="827">
        <v>6925</v>
      </c>
      <c r="M261" s="826">
        <v>2610</v>
      </c>
      <c r="N261" s="826">
        <v>18074.25</v>
      </c>
      <c r="O261" s="827">
        <v>10761</v>
      </c>
      <c r="P261" s="826">
        <v>732</v>
      </c>
      <c r="Q261" s="826">
        <v>7877.0519999999997</v>
      </c>
      <c r="R261" s="826"/>
      <c r="S261" s="826"/>
      <c r="T261" s="826"/>
      <c r="U261" s="822"/>
      <c r="V261" s="822"/>
      <c r="W261" s="822"/>
      <c r="X261" s="829">
        <v>131038</v>
      </c>
      <c r="Y261" s="829">
        <v>110624.277</v>
      </c>
    </row>
    <row r="262" spans="1:25" hidden="1" x14ac:dyDescent="0.25">
      <c r="A262" s="864" t="s">
        <v>52</v>
      </c>
      <c r="B262" s="850" t="s">
        <v>264</v>
      </c>
      <c r="C262" s="827">
        <v>27532</v>
      </c>
      <c r="D262" s="935">
        <v>534</v>
      </c>
      <c r="E262" s="826">
        <v>14702.088</v>
      </c>
      <c r="F262" s="827">
        <v>53221</v>
      </c>
      <c r="G262" s="826">
        <v>777</v>
      </c>
      <c r="H262" s="826">
        <v>41352.716999999997</v>
      </c>
      <c r="I262" s="827">
        <v>9357</v>
      </c>
      <c r="J262" s="826">
        <v>367</v>
      </c>
      <c r="K262" s="826">
        <v>3434.0189999999998</v>
      </c>
      <c r="L262" s="827">
        <v>2230</v>
      </c>
      <c r="M262" s="826">
        <v>1590</v>
      </c>
      <c r="N262" s="826">
        <v>3545.7</v>
      </c>
      <c r="O262" s="827">
        <v>675</v>
      </c>
      <c r="P262" s="826">
        <v>9130</v>
      </c>
      <c r="Q262" s="826">
        <v>6162.75</v>
      </c>
      <c r="R262" s="826"/>
      <c r="S262" s="826"/>
      <c r="T262" s="826"/>
      <c r="U262" s="822"/>
      <c r="V262" s="822"/>
      <c r="W262" s="822"/>
      <c r="X262" s="829">
        <v>93015</v>
      </c>
      <c r="Y262" s="829">
        <v>69197.274000000005</v>
      </c>
    </row>
    <row r="263" spans="1:25" hidden="1" x14ac:dyDescent="0.25">
      <c r="A263" s="819" t="s">
        <v>50</v>
      </c>
      <c r="B263" s="850" t="s">
        <v>264</v>
      </c>
      <c r="C263" s="827">
        <v>22755</v>
      </c>
      <c r="D263" s="935">
        <v>533.57142857142856</v>
      </c>
      <c r="E263" s="826">
        <v>12141.417857142857</v>
      </c>
      <c r="F263" s="827">
        <v>49478</v>
      </c>
      <c r="G263" s="826">
        <v>380</v>
      </c>
      <c r="H263" s="826">
        <v>18801.64</v>
      </c>
      <c r="I263" s="827">
        <v>13911</v>
      </c>
      <c r="J263" s="826">
        <v>800</v>
      </c>
      <c r="K263" s="826">
        <v>11128.8</v>
      </c>
      <c r="L263" s="827">
        <v>14256</v>
      </c>
      <c r="M263" s="826">
        <v>750</v>
      </c>
      <c r="N263" s="826">
        <v>10692</v>
      </c>
      <c r="O263" s="827"/>
      <c r="P263" s="826"/>
      <c r="Q263" s="826">
        <v>0</v>
      </c>
      <c r="R263" s="826"/>
      <c r="S263" s="826"/>
      <c r="T263" s="826"/>
      <c r="U263" s="822"/>
      <c r="V263" s="822"/>
      <c r="W263" s="822"/>
      <c r="X263" s="829">
        <v>100400</v>
      </c>
      <c r="Y263" s="829">
        <v>52763.857857142859</v>
      </c>
    </row>
    <row r="264" spans="1:25" hidden="1" x14ac:dyDescent="0.25">
      <c r="A264" s="923" t="s">
        <v>163</v>
      </c>
      <c r="B264" s="850" t="s">
        <v>264</v>
      </c>
      <c r="C264" s="827">
        <v>26591</v>
      </c>
      <c r="D264" s="935">
        <v>1092</v>
      </c>
      <c r="E264" s="826">
        <v>29037.371999999999</v>
      </c>
      <c r="F264" s="827">
        <v>46933</v>
      </c>
      <c r="G264" s="826">
        <v>1973</v>
      </c>
      <c r="H264" s="826">
        <v>92598.808999999994</v>
      </c>
      <c r="I264" s="827">
        <v>10760</v>
      </c>
      <c r="J264" s="826">
        <v>500</v>
      </c>
      <c r="K264" s="826">
        <v>5380</v>
      </c>
      <c r="L264" s="827">
        <v>22186</v>
      </c>
      <c r="M264" s="826">
        <v>1062</v>
      </c>
      <c r="N264" s="826">
        <v>23561.531999999999</v>
      </c>
      <c r="O264" s="827"/>
      <c r="P264" s="826"/>
      <c r="Q264" s="826">
        <v>0</v>
      </c>
      <c r="R264" s="826"/>
      <c r="S264" s="826"/>
      <c r="T264" s="826"/>
      <c r="U264" s="822"/>
      <c r="V264" s="822"/>
      <c r="W264" s="822"/>
      <c r="X264" s="829">
        <v>106470</v>
      </c>
      <c r="Y264" s="829">
        <v>150577.71299999999</v>
      </c>
    </row>
    <row r="265" spans="1:25" hidden="1" x14ac:dyDescent="0.25">
      <c r="A265" s="923" t="s">
        <v>27</v>
      </c>
      <c r="B265" s="850" t="s">
        <v>264</v>
      </c>
      <c r="C265" s="827">
        <v>36720</v>
      </c>
      <c r="D265" s="935">
        <v>750</v>
      </c>
      <c r="E265" s="826">
        <v>27540</v>
      </c>
      <c r="F265" s="827">
        <v>52349</v>
      </c>
      <c r="G265" s="826">
        <v>750</v>
      </c>
      <c r="H265" s="826">
        <v>39261.75</v>
      </c>
      <c r="I265" s="827">
        <v>4727</v>
      </c>
      <c r="J265" s="826">
        <v>750</v>
      </c>
      <c r="K265" s="826">
        <v>3545.25</v>
      </c>
      <c r="L265" s="827">
        <v>48954</v>
      </c>
      <c r="M265" s="826">
        <v>637</v>
      </c>
      <c r="N265" s="826">
        <v>31183.698</v>
      </c>
      <c r="O265" s="827">
        <v>630</v>
      </c>
      <c r="P265" s="826"/>
      <c r="Q265" s="826">
        <v>0</v>
      </c>
      <c r="R265" s="826"/>
      <c r="S265" s="826"/>
      <c r="T265" s="826"/>
      <c r="U265" s="822"/>
      <c r="V265" s="822"/>
      <c r="W265" s="822"/>
      <c r="X265" s="829">
        <v>143380</v>
      </c>
      <c r="Y265" s="829">
        <v>101530.698</v>
      </c>
    </row>
    <row r="266" spans="1:25" x14ac:dyDescent="0.25">
      <c r="A266" s="874" t="s">
        <v>15</v>
      </c>
      <c r="B266" s="816" t="s">
        <v>265</v>
      </c>
      <c r="C266" s="831">
        <v>117376</v>
      </c>
      <c r="D266" s="831">
        <v>383</v>
      </c>
      <c r="E266" s="831">
        <v>44955.008000000002</v>
      </c>
      <c r="F266" s="831">
        <v>39345</v>
      </c>
      <c r="G266" s="831">
        <v>418</v>
      </c>
      <c r="H266" s="831">
        <v>16446.21</v>
      </c>
      <c r="I266" s="831">
        <v>5</v>
      </c>
      <c r="J266" s="831">
        <v>470</v>
      </c>
      <c r="K266" s="831">
        <v>2.35</v>
      </c>
      <c r="L266" s="831">
        <v>7</v>
      </c>
      <c r="M266" s="831">
        <v>700</v>
      </c>
      <c r="N266" s="831">
        <v>4.9000000000000004</v>
      </c>
      <c r="O266" s="831">
        <v>109100</v>
      </c>
      <c r="P266" s="831">
        <v>630</v>
      </c>
      <c r="Q266" s="831">
        <v>68733</v>
      </c>
      <c r="R266" s="831"/>
      <c r="S266" s="831"/>
      <c r="T266" s="831"/>
      <c r="U266" s="832"/>
      <c r="V266" s="832"/>
      <c r="W266" s="832"/>
      <c r="X266" s="851">
        <v>265833</v>
      </c>
      <c r="Y266" s="839">
        <v>130141.46799999999</v>
      </c>
    </row>
    <row r="267" spans="1:25" x14ac:dyDescent="0.25">
      <c r="A267" s="887" t="s">
        <v>187</v>
      </c>
      <c r="B267" s="816" t="s">
        <v>265</v>
      </c>
      <c r="C267" s="833">
        <v>25719</v>
      </c>
      <c r="D267" s="833">
        <v>338.53529411764703</v>
      </c>
      <c r="E267" s="831">
        <v>8706.7892294117646</v>
      </c>
      <c r="F267" s="833">
        <v>87</v>
      </c>
      <c r="G267" s="833">
        <v>750</v>
      </c>
      <c r="H267" s="831">
        <v>65.25</v>
      </c>
      <c r="I267" s="833">
        <v>3327</v>
      </c>
      <c r="J267" s="833">
        <v>392</v>
      </c>
      <c r="K267" s="831">
        <v>1304.184</v>
      </c>
      <c r="L267" s="833">
        <v>0</v>
      </c>
      <c r="M267" s="833"/>
      <c r="N267" s="831">
        <v>0</v>
      </c>
      <c r="O267" s="833">
        <v>0</v>
      </c>
      <c r="P267" s="833"/>
      <c r="Q267" s="831">
        <v>0</v>
      </c>
      <c r="R267" s="833"/>
      <c r="S267" s="833"/>
      <c r="T267" s="831"/>
      <c r="U267" s="834"/>
      <c r="V267" s="834"/>
      <c r="W267" s="834"/>
      <c r="X267" s="851">
        <v>29133</v>
      </c>
      <c r="Y267" s="839">
        <v>10076.223229411764</v>
      </c>
    </row>
    <row r="268" spans="1:25" x14ac:dyDescent="0.25">
      <c r="A268" s="874" t="s">
        <v>103</v>
      </c>
      <c r="B268" s="816" t="s">
        <v>265</v>
      </c>
      <c r="C268" s="832">
        <v>114713</v>
      </c>
      <c r="D268" s="832">
        <v>639</v>
      </c>
      <c r="E268" s="831">
        <v>73301.607000000004</v>
      </c>
      <c r="F268" s="832">
        <v>121874</v>
      </c>
      <c r="G268" s="832">
        <v>805</v>
      </c>
      <c r="H268" s="831">
        <v>98108.57</v>
      </c>
      <c r="I268" s="832">
        <v>28381</v>
      </c>
      <c r="J268" s="832">
        <v>1081</v>
      </c>
      <c r="K268" s="831">
        <v>30679.861000000001</v>
      </c>
      <c r="L268" s="832">
        <v>4628</v>
      </c>
      <c r="M268" s="832">
        <v>1030</v>
      </c>
      <c r="N268" s="831">
        <v>4766.84</v>
      </c>
      <c r="O268" s="832">
        <v>27633.666666666668</v>
      </c>
      <c r="P268" s="832">
        <v>842</v>
      </c>
      <c r="Q268" s="831">
        <v>23267.547333333336</v>
      </c>
      <c r="R268" s="832"/>
      <c r="S268" s="832"/>
      <c r="T268" s="831"/>
      <c r="U268" s="834"/>
      <c r="V268" s="834"/>
      <c r="W268" s="834"/>
      <c r="X268" s="851">
        <v>297229.66666666669</v>
      </c>
      <c r="Y268" s="839">
        <v>230124.42533333338</v>
      </c>
    </row>
    <row r="269" spans="1:25" x14ac:dyDescent="0.25">
      <c r="A269" s="874" t="s">
        <v>20</v>
      </c>
      <c r="B269" s="816" t="s">
        <v>265</v>
      </c>
      <c r="C269" s="831">
        <v>66867</v>
      </c>
      <c r="D269" s="831">
        <v>458.30238095238099</v>
      </c>
      <c r="E269" s="831">
        <v>30645.305307142862</v>
      </c>
      <c r="F269" s="831">
        <v>111619</v>
      </c>
      <c r="G269" s="831">
        <v>738</v>
      </c>
      <c r="H269" s="831">
        <v>82374.822</v>
      </c>
      <c r="I269" s="831">
        <v>2174</v>
      </c>
      <c r="J269" s="831">
        <v>400</v>
      </c>
      <c r="K269" s="831">
        <v>869.6</v>
      </c>
      <c r="L269" s="831">
        <v>645</v>
      </c>
      <c r="M269" s="831">
        <v>1160</v>
      </c>
      <c r="N269" s="831">
        <v>748.2</v>
      </c>
      <c r="O269" s="831">
        <v>43244</v>
      </c>
      <c r="P269" s="831">
        <v>1210</v>
      </c>
      <c r="Q269" s="831">
        <v>52325.24</v>
      </c>
      <c r="R269" s="831"/>
      <c r="S269" s="831"/>
      <c r="T269" s="831"/>
      <c r="U269" s="834"/>
      <c r="V269" s="834"/>
      <c r="W269" s="834"/>
      <c r="X269" s="851">
        <v>224549</v>
      </c>
      <c r="Y269" s="839">
        <v>166963.16730714287</v>
      </c>
    </row>
    <row r="270" spans="1:25" x14ac:dyDescent="0.25">
      <c r="A270" s="874" t="s">
        <v>133</v>
      </c>
      <c r="B270" s="816" t="s">
        <v>265</v>
      </c>
      <c r="C270" s="834">
        <v>68691</v>
      </c>
      <c r="D270" s="832">
        <v>405.13095238095235</v>
      </c>
      <c r="E270" s="831">
        <v>27828.850249999996</v>
      </c>
      <c r="F270" s="834">
        <v>54230</v>
      </c>
      <c r="G270" s="832">
        <v>566</v>
      </c>
      <c r="H270" s="831">
        <v>30694.18</v>
      </c>
      <c r="I270" s="834">
        <v>26434</v>
      </c>
      <c r="J270" s="832">
        <v>625.92592592592598</v>
      </c>
      <c r="K270" s="831">
        <v>16545.725925925926</v>
      </c>
      <c r="L270" s="834">
        <v>1124</v>
      </c>
      <c r="M270" s="832">
        <v>4875</v>
      </c>
      <c r="N270" s="831">
        <v>5479.5</v>
      </c>
      <c r="O270" s="834">
        <v>7951.666666666667</v>
      </c>
      <c r="P270" s="832">
        <v>670</v>
      </c>
      <c r="Q270" s="831">
        <v>5327.6166666666668</v>
      </c>
      <c r="R270" s="834"/>
      <c r="S270" s="832"/>
      <c r="T270" s="831"/>
      <c r="U270" s="834"/>
      <c r="V270" s="834"/>
      <c r="W270" s="834"/>
      <c r="X270" s="851">
        <v>158430.66666666669</v>
      </c>
      <c r="Y270" s="839">
        <v>85875.872842592595</v>
      </c>
    </row>
    <row r="271" spans="1:25" x14ac:dyDescent="0.25">
      <c r="A271" s="874" t="s">
        <v>21</v>
      </c>
      <c r="B271" s="816" t="s">
        <v>265</v>
      </c>
      <c r="C271" s="835">
        <v>8714</v>
      </c>
      <c r="D271" s="832">
        <v>353</v>
      </c>
      <c r="E271" s="831">
        <v>3076.0419999999999</v>
      </c>
      <c r="F271" s="835">
        <v>0</v>
      </c>
      <c r="G271" s="832"/>
      <c r="H271" s="831">
        <v>0</v>
      </c>
      <c r="I271" s="835">
        <v>861</v>
      </c>
      <c r="J271" s="832">
        <v>460</v>
      </c>
      <c r="K271" s="831">
        <v>396.06</v>
      </c>
      <c r="L271" s="835">
        <v>0</v>
      </c>
      <c r="M271" s="832"/>
      <c r="N271" s="831">
        <v>0</v>
      </c>
      <c r="O271" s="832">
        <v>0</v>
      </c>
      <c r="P271" s="832"/>
      <c r="Q271" s="831">
        <v>0</v>
      </c>
      <c r="R271" s="835"/>
      <c r="S271" s="832"/>
      <c r="T271" s="831"/>
      <c r="U271" s="834"/>
      <c r="V271" s="834"/>
      <c r="W271" s="834"/>
      <c r="X271" s="851">
        <v>9575</v>
      </c>
      <c r="Y271" s="839">
        <v>3472.1019999999999</v>
      </c>
    </row>
    <row r="272" spans="1:25" x14ac:dyDescent="0.25">
      <c r="A272" s="874" t="s">
        <v>22</v>
      </c>
      <c r="B272" s="816" t="s">
        <v>265</v>
      </c>
      <c r="C272" s="832">
        <v>50579</v>
      </c>
      <c r="D272" s="832">
        <v>520</v>
      </c>
      <c r="E272" s="831">
        <v>26301.08</v>
      </c>
      <c r="F272" s="832">
        <v>97.3</v>
      </c>
      <c r="G272" s="832">
        <v>850</v>
      </c>
      <c r="H272" s="831">
        <v>82.704999999999998</v>
      </c>
      <c r="I272" s="832">
        <v>24123.95</v>
      </c>
      <c r="J272" s="832">
        <v>2412</v>
      </c>
      <c r="K272" s="831">
        <v>58186.967400000001</v>
      </c>
      <c r="L272" s="832">
        <v>218.5</v>
      </c>
      <c r="M272" s="832">
        <v>2800</v>
      </c>
      <c r="N272" s="831">
        <v>611.79999999999995</v>
      </c>
      <c r="O272" s="832">
        <v>630</v>
      </c>
      <c r="P272" s="832"/>
      <c r="Q272" s="831">
        <v>0</v>
      </c>
      <c r="R272" s="832">
        <v>665.4</v>
      </c>
      <c r="S272" s="832">
        <v>2640</v>
      </c>
      <c r="T272" s="831">
        <v>1756.6559999999999</v>
      </c>
      <c r="U272" s="834"/>
      <c r="V272" s="832"/>
      <c r="W272" s="834"/>
      <c r="X272" s="851">
        <v>76314.149999999994</v>
      </c>
      <c r="Y272" s="839">
        <v>86939.208400000003</v>
      </c>
    </row>
    <row r="273" spans="1:25" x14ac:dyDescent="0.25">
      <c r="A273" s="874" t="s">
        <v>23</v>
      </c>
      <c r="B273" s="816" t="s">
        <v>265</v>
      </c>
      <c r="C273" s="832">
        <v>192626</v>
      </c>
      <c r="D273" s="832">
        <v>580</v>
      </c>
      <c r="E273" s="831">
        <v>111723.08</v>
      </c>
      <c r="F273" s="832">
        <v>153401</v>
      </c>
      <c r="G273" s="832">
        <v>571</v>
      </c>
      <c r="H273" s="831">
        <v>87591.971000000005</v>
      </c>
      <c r="I273" s="832">
        <v>680</v>
      </c>
      <c r="J273" s="832">
        <v>708</v>
      </c>
      <c r="K273" s="831">
        <v>481.44</v>
      </c>
      <c r="L273" s="832">
        <v>0</v>
      </c>
      <c r="M273" s="832"/>
      <c r="N273" s="831">
        <v>0</v>
      </c>
      <c r="O273" s="832">
        <v>283.33333333333331</v>
      </c>
      <c r="P273" s="832"/>
      <c r="Q273" s="831">
        <v>0</v>
      </c>
      <c r="R273" s="832"/>
      <c r="S273" s="832"/>
      <c r="T273" s="831"/>
      <c r="U273" s="834"/>
      <c r="V273" s="832"/>
      <c r="W273" s="834"/>
      <c r="X273" s="851">
        <v>346990.33333333337</v>
      </c>
      <c r="Y273" s="839">
        <v>199796.49100000001</v>
      </c>
    </row>
    <row r="274" spans="1:25" x14ac:dyDescent="0.25">
      <c r="A274" s="874" t="s">
        <v>24</v>
      </c>
      <c r="B274" s="816" t="s">
        <v>265</v>
      </c>
      <c r="C274" s="831">
        <v>9033</v>
      </c>
      <c r="D274" s="831">
        <v>720</v>
      </c>
      <c r="E274" s="831">
        <v>6503.76</v>
      </c>
      <c r="F274" s="831">
        <v>24749</v>
      </c>
      <c r="G274" s="831">
        <v>940</v>
      </c>
      <c r="H274" s="831">
        <v>23264.06</v>
      </c>
      <c r="I274" s="831">
        <v>38848</v>
      </c>
      <c r="J274" s="831">
        <v>1196</v>
      </c>
      <c r="K274" s="831">
        <v>46462.207999999999</v>
      </c>
      <c r="L274" s="831">
        <v>5872</v>
      </c>
      <c r="M274" s="831">
        <v>3490</v>
      </c>
      <c r="N274" s="831">
        <v>20493.28</v>
      </c>
      <c r="O274" s="832">
        <v>169232</v>
      </c>
      <c r="P274" s="832">
        <v>1270</v>
      </c>
      <c r="Q274" s="831">
        <v>214924.64</v>
      </c>
      <c r="R274" s="834"/>
      <c r="S274" s="834"/>
      <c r="T274" s="831"/>
      <c r="U274" s="834"/>
      <c r="V274" s="834"/>
      <c r="W274" s="834"/>
      <c r="X274" s="851">
        <v>247734</v>
      </c>
      <c r="Y274" s="839">
        <v>311647.94800000003</v>
      </c>
    </row>
    <row r="275" spans="1:25" x14ac:dyDescent="0.25">
      <c r="A275" s="874" t="s">
        <v>134</v>
      </c>
      <c r="B275" s="816" t="s">
        <v>265</v>
      </c>
      <c r="C275" s="832">
        <v>97935</v>
      </c>
      <c r="D275" s="832">
        <v>600</v>
      </c>
      <c r="E275" s="831">
        <v>58761</v>
      </c>
      <c r="F275" s="832">
        <v>151035</v>
      </c>
      <c r="G275" s="832">
        <v>777</v>
      </c>
      <c r="H275" s="831">
        <v>117354.19500000001</v>
      </c>
      <c r="I275" s="832">
        <v>87103</v>
      </c>
      <c r="J275" s="832">
        <v>1387.0000000000002</v>
      </c>
      <c r="K275" s="831">
        <v>120811.86100000002</v>
      </c>
      <c r="L275" s="832">
        <v>81</v>
      </c>
      <c r="M275" s="832">
        <v>946</v>
      </c>
      <c r="N275" s="831">
        <v>76.626000000000005</v>
      </c>
      <c r="O275" s="832">
        <v>26077.666666666668</v>
      </c>
      <c r="P275" s="832">
        <v>900</v>
      </c>
      <c r="Q275" s="831">
        <v>23469.9</v>
      </c>
      <c r="R275" s="834"/>
      <c r="S275" s="834"/>
      <c r="T275" s="831"/>
      <c r="U275" s="834"/>
      <c r="V275" s="834"/>
      <c r="W275" s="834"/>
      <c r="X275" s="851">
        <v>362231.66666666669</v>
      </c>
      <c r="Y275" s="839">
        <v>320473.58200000005</v>
      </c>
    </row>
    <row r="276" spans="1:25" x14ac:dyDescent="0.25">
      <c r="A276" s="874" t="s">
        <v>161</v>
      </c>
      <c r="B276" s="816" t="s">
        <v>265</v>
      </c>
      <c r="C276" s="832">
        <v>94715</v>
      </c>
      <c r="D276" s="832">
        <v>400</v>
      </c>
      <c r="E276" s="831">
        <v>37886</v>
      </c>
      <c r="F276" s="832">
        <v>23460</v>
      </c>
      <c r="G276" s="832">
        <v>480</v>
      </c>
      <c r="H276" s="831">
        <v>11260.8</v>
      </c>
      <c r="I276" s="832">
        <v>0</v>
      </c>
      <c r="J276" s="832"/>
      <c r="K276" s="831">
        <v>0</v>
      </c>
      <c r="L276" s="832">
        <v>0</v>
      </c>
      <c r="M276" s="832"/>
      <c r="N276" s="831">
        <v>0</v>
      </c>
      <c r="O276" s="832">
        <v>0</v>
      </c>
      <c r="P276" s="832"/>
      <c r="Q276" s="831">
        <v>0</v>
      </c>
      <c r="R276" s="834"/>
      <c r="S276" s="834"/>
      <c r="T276" s="831"/>
      <c r="U276" s="834"/>
      <c r="V276" s="834"/>
      <c r="W276" s="834"/>
      <c r="X276" s="851">
        <v>118175</v>
      </c>
      <c r="Y276" s="839">
        <v>49146.8</v>
      </c>
    </row>
    <row r="277" spans="1:25" x14ac:dyDescent="0.25">
      <c r="A277" s="874" t="s">
        <v>135</v>
      </c>
      <c r="B277" s="816" t="s">
        <v>265</v>
      </c>
      <c r="C277" s="836">
        <v>88076.2</v>
      </c>
      <c r="D277" s="930">
        <v>483.98965517241385</v>
      </c>
      <c r="E277" s="839">
        <v>42627.969666896555</v>
      </c>
      <c r="F277" s="836">
        <v>34405.67</v>
      </c>
      <c r="G277" s="836">
        <v>614</v>
      </c>
      <c r="H277" s="839">
        <v>21125.08138</v>
      </c>
      <c r="I277" s="836">
        <v>11690</v>
      </c>
      <c r="J277" s="836">
        <v>926</v>
      </c>
      <c r="K277" s="839">
        <v>10824.94</v>
      </c>
      <c r="L277" s="836">
        <v>18473</v>
      </c>
      <c r="M277" s="836">
        <v>1614</v>
      </c>
      <c r="N277" s="839">
        <v>29815.421999999999</v>
      </c>
      <c r="O277" s="836">
        <v>0</v>
      </c>
      <c r="P277" s="836"/>
      <c r="Q277" s="839">
        <v>0</v>
      </c>
      <c r="R277" s="836"/>
      <c r="S277" s="836"/>
      <c r="T277" s="836"/>
      <c r="U277" s="836"/>
      <c r="V277" s="836"/>
      <c r="W277" s="836"/>
      <c r="X277" s="851">
        <v>152644.87</v>
      </c>
      <c r="Y277" s="839">
        <v>104393.41304689654</v>
      </c>
    </row>
    <row r="278" spans="1:25" x14ac:dyDescent="0.25">
      <c r="A278" s="874" t="s">
        <v>136</v>
      </c>
      <c r="B278" s="816" t="s">
        <v>265</v>
      </c>
      <c r="C278" s="836">
        <v>34029</v>
      </c>
      <c r="D278" s="930">
        <v>550</v>
      </c>
      <c r="E278" s="839">
        <v>18715.95</v>
      </c>
      <c r="F278" s="836">
        <v>78772</v>
      </c>
      <c r="G278" s="836">
        <v>962.40173913042997</v>
      </c>
      <c r="H278" s="839">
        <v>75810.309794782239</v>
      </c>
      <c r="I278" s="836">
        <v>20058</v>
      </c>
      <c r="J278" s="836">
        <v>1184.83157894737</v>
      </c>
      <c r="K278" s="839">
        <v>23765.351810526347</v>
      </c>
      <c r="L278" s="836">
        <v>59283</v>
      </c>
      <c r="M278" s="836">
        <v>2086.91489361702</v>
      </c>
      <c r="N278" s="839">
        <v>123718.5756382978</v>
      </c>
      <c r="O278" s="836">
        <v>59625.333333333336</v>
      </c>
      <c r="P278" s="836">
        <v>1010</v>
      </c>
      <c r="Q278" s="839">
        <v>60221.58666666667</v>
      </c>
      <c r="R278" s="837"/>
      <c r="S278" s="836"/>
      <c r="T278" s="837"/>
      <c r="U278" s="837"/>
      <c r="V278" s="837"/>
      <c r="W278" s="837"/>
      <c r="X278" s="851">
        <v>251767.33333333334</v>
      </c>
      <c r="Y278" s="839">
        <v>302231.77391027304</v>
      </c>
    </row>
    <row r="279" spans="1:25" x14ac:dyDescent="0.25">
      <c r="A279" s="874" t="s">
        <v>137</v>
      </c>
      <c r="B279" s="816" t="s">
        <v>265</v>
      </c>
      <c r="C279" s="836">
        <v>4576</v>
      </c>
      <c r="D279" s="930">
        <v>500</v>
      </c>
      <c r="E279" s="839">
        <v>2288</v>
      </c>
      <c r="F279" s="836">
        <v>48163</v>
      </c>
      <c r="G279" s="836">
        <v>826</v>
      </c>
      <c r="H279" s="839">
        <v>39782.637999999999</v>
      </c>
      <c r="I279" s="836">
        <v>53055</v>
      </c>
      <c r="J279" s="836">
        <v>1210.87083333333</v>
      </c>
      <c r="K279" s="839">
        <v>64242.752062499821</v>
      </c>
      <c r="L279" s="836">
        <v>8698</v>
      </c>
      <c r="M279" s="836">
        <v>941</v>
      </c>
      <c r="N279" s="839">
        <v>8184.8180000000002</v>
      </c>
      <c r="O279" s="836">
        <v>13638.666666666666</v>
      </c>
      <c r="P279" s="836">
        <v>1108</v>
      </c>
      <c r="Q279" s="839">
        <v>15111.642666666667</v>
      </c>
      <c r="R279" s="837"/>
      <c r="S279" s="837"/>
      <c r="T279" s="837"/>
      <c r="U279" s="837"/>
      <c r="V279" s="837"/>
      <c r="W279" s="837"/>
      <c r="X279" s="851">
        <v>128130.66666666666</v>
      </c>
      <c r="Y279" s="839">
        <v>129609.8507291665</v>
      </c>
    </row>
    <row r="280" spans="1:25" x14ac:dyDescent="0.25">
      <c r="A280" s="864" t="s">
        <v>52</v>
      </c>
      <c r="B280" s="816" t="s">
        <v>265</v>
      </c>
      <c r="C280" s="836">
        <v>23392</v>
      </c>
      <c r="D280" s="930">
        <v>707</v>
      </c>
      <c r="E280" s="839">
        <v>16538.144</v>
      </c>
      <c r="F280" s="836">
        <v>52836</v>
      </c>
      <c r="G280" s="836">
        <v>948</v>
      </c>
      <c r="H280" s="839">
        <v>50088.527999999998</v>
      </c>
      <c r="I280" s="836">
        <v>8135</v>
      </c>
      <c r="J280" s="836">
        <v>1298</v>
      </c>
      <c r="K280" s="839">
        <v>10559.23</v>
      </c>
      <c r="L280" s="836">
        <v>3940</v>
      </c>
      <c r="M280" s="836">
        <v>1413</v>
      </c>
      <c r="N280" s="839">
        <v>5567.22</v>
      </c>
      <c r="O280" s="836">
        <v>3279.3333333333335</v>
      </c>
      <c r="P280" s="836">
        <v>1092</v>
      </c>
      <c r="Q280" s="839">
        <v>3581.0320000000002</v>
      </c>
      <c r="R280" s="837"/>
      <c r="S280" s="837"/>
      <c r="T280" s="837"/>
      <c r="U280" s="837"/>
      <c r="V280" s="837"/>
      <c r="W280" s="837"/>
      <c r="X280" s="851">
        <v>91582.333333333328</v>
      </c>
      <c r="Y280" s="839">
        <v>86334.153999999995</v>
      </c>
    </row>
    <row r="281" spans="1:25" x14ac:dyDescent="0.25">
      <c r="A281" s="819" t="s">
        <v>50</v>
      </c>
      <c r="B281" s="816" t="s">
        <v>265</v>
      </c>
      <c r="C281" s="836">
        <v>23599</v>
      </c>
      <c r="D281" s="930">
        <v>509.51612903225811</v>
      </c>
      <c r="E281" s="839">
        <v>12024.07112903226</v>
      </c>
      <c r="F281" s="836">
        <v>80694</v>
      </c>
      <c r="G281" s="836">
        <v>600</v>
      </c>
      <c r="H281" s="839">
        <v>48416.4</v>
      </c>
      <c r="I281" s="836">
        <v>8425</v>
      </c>
      <c r="J281" s="836">
        <v>1076.8599999999999</v>
      </c>
      <c r="K281" s="839">
        <v>9072.5455000000002</v>
      </c>
      <c r="L281" s="836">
        <v>14838</v>
      </c>
      <c r="M281" s="836">
        <v>1355</v>
      </c>
      <c r="N281" s="839">
        <v>20105.490000000002</v>
      </c>
      <c r="O281" s="836">
        <v>0</v>
      </c>
      <c r="P281" s="836"/>
      <c r="Q281" s="839">
        <v>0</v>
      </c>
      <c r="R281" s="837"/>
      <c r="S281" s="837"/>
      <c r="T281" s="837"/>
      <c r="U281" s="837"/>
      <c r="V281" s="837"/>
      <c r="W281" s="837"/>
      <c r="X281" s="851">
        <v>127556</v>
      </c>
      <c r="Y281" s="839">
        <v>89618.506629032272</v>
      </c>
    </row>
    <row r="282" spans="1:25" x14ac:dyDescent="0.25">
      <c r="A282" s="874" t="s">
        <v>163</v>
      </c>
      <c r="B282" s="816" t="s">
        <v>265</v>
      </c>
      <c r="C282" s="836">
        <v>22926</v>
      </c>
      <c r="D282" s="930">
        <v>725</v>
      </c>
      <c r="E282" s="839">
        <v>16621.349999999999</v>
      </c>
      <c r="F282" s="836">
        <v>69697</v>
      </c>
      <c r="G282" s="836">
        <v>830</v>
      </c>
      <c r="H282" s="839">
        <v>57848.51</v>
      </c>
      <c r="I282" s="836">
        <v>15506</v>
      </c>
      <c r="J282" s="836">
        <v>1230</v>
      </c>
      <c r="K282" s="839">
        <v>19072.38</v>
      </c>
      <c r="L282" s="836">
        <v>19435</v>
      </c>
      <c r="M282" s="836">
        <v>1338</v>
      </c>
      <c r="N282" s="839">
        <v>26004.03</v>
      </c>
      <c r="O282" s="836">
        <v>0</v>
      </c>
      <c r="P282" s="836"/>
      <c r="Q282" s="839">
        <v>0</v>
      </c>
      <c r="R282" s="837"/>
      <c r="S282" s="837"/>
      <c r="T282" s="837"/>
      <c r="U282" s="837"/>
      <c r="V282" s="837"/>
      <c r="W282" s="837"/>
      <c r="X282" s="851">
        <v>127564</v>
      </c>
      <c r="Y282" s="839">
        <v>119546.27000000002</v>
      </c>
    </row>
    <row r="283" spans="1:25" x14ac:dyDescent="0.25">
      <c r="A283" s="874" t="s">
        <v>27</v>
      </c>
      <c r="B283" s="816" t="s">
        <v>265</v>
      </c>
      <c r="C283" s="836">
        <v>27578</v>
      </c>
      <c r="D283" s="930">
        <v>619.29999999999995</v>
      </c>
      <c r="E283" s="839">
        <v>17079.055399999997</v>
      </c>
      <c r="F283" s="836">
        <v>49899</v>
      </c>
      <c r="G283" s="836">
        <v>780</v>
      </c>
      <c r="H283" s="839">
        <v>38921.22</v>
      </c>
      <c r="I283" s="836">
        <v>4859</v>
      </c>
      <c r="J283" s="836">
        <v>969</v>
      </c>
      <c r="K283" s="839">
        <v>4708.3710000000001</v>
      </c>
      <c r="L283" s="836">
        <v>77903</v>
      </c>
      <c r="M283" s="836">
        <v>1703</v>
      </c>
      <c r="N283" s="839">
        <v>132668.80900000001</v>
      </c>
      <c r="O283" s="836">
        <v>3415</v>
      </c>
      <c r="P283" s="836">
        <v>760</v>
      </c>
      <c r="Q283" s="839">
        <v>2595.4</v>
      </c>
      <c r="R283" s="837"/>
      <c r="S283" s="837"/>
      <c r="T283" s="837"/>
      <c r="U283" s="837"/>
      <c r="V283" s="837"/>
      <c r="W283" s="837"/>
      <c r="X283" s="851">
        <v>163654</v>
      </c>
      <c r="Y283" s="839">
        <v>195972.8554</v>
      </c>
    </row>
    <row r="284" spans="1:25" x14ac:dyDescent="0.25">
      <c r="A284" s="887" t="s">
        <v>15</v>
      </c>
      <c r="B284" s="847" t="s">
        <v>266</v>
      </c>
      <c r="C284" s="838">
        <v>156659</v>
      </c>
      <c r="D284" s="931">
        <v>512</v>
      </c>
      <c r="E284" s="838">
        <v>80209.407999999996</v>
      </c>
      <c r="F284" s="827">
        <v>63809</v>
      </c>
      <c r="G284" s="837">
        <v>867</v>
      </c>
      <c r="H284" s="838">
        <v>55322.402999999998</v>
      </c>
      <c r="I284" s="827">
        <v>0</v>
      </c>
      <c r="J284" s="837"/>
      <c r="K284" s="838">
        <v>0</v>
      </c>
      <c r="L284" s="827">
        <v>0</v>
      </c>
      <c r="M284" s="837"/>
      <c r="N284" s="838">
        <v>0</v>
      </c>
      <c r="O284" s="839">
        <v>166891</v>
      </c>
      <c r="P284" s="837">
        <v>500</v>
      </c>
      <c r="Q284" s="838">
        <v>83445.5</v>
      </c>
      <c r="R284" s="838"/>
      <c r="S284" s="838"/>
      <c r="T284" s="838"/>
      <c r="U284" s="822"/>
      <c r="V284" s="822"/>
      <c r="W284" s="822"/>
      <c r="X284" s="840">
        <v>387359</v>
      </c>
      <c r="Y284" s="841">
        <v>218977.31099999999</v>
      </c>
    </row>
    <row r="285" spans="1:25" x14ac:dyDescent="0.25">
      <c r="A285" s="887" t="s">
        <v>187</v>
      </c>
      <c r="B285" s="847" t="s">
        <v>266</v>
      </c>
      <c r="C285" s="838">
        <v>38796</v>
      </c>
      <c r="D285" s="931">
        <v>398</v>
      </c>
      <c r="E285" s="838">
        <v>15440.808000000001</v>
      </c>
      <c r="F285" s="827">
        <v>88</v>
      </c>
      <c r="G285" s="837">
        <v>431</v>
      </c>
      <c r="H285" s="838">
        <v>37.927999999999997</v>
      </c>
      <c r="I285" s="827">
        <v>2324</v>
      </c>
      <c r="J285" s="837">
        <v>760</v>
      </c>
      <c r="K285" s="838">
        <v>1766.24</v>
      </c>
      <c r="L285" s="827">
        <v>0</v>
      </c>
      <c r="M285" s="837"/>
      <c r="N285" s="838">
        <v>0</v>
      </c>
      <c r="O285" s="839">
        <v>0</v>
      </c>
      <c r="P285" s="837"/>
      <c r="Q285" s="838">
        <v>0</v>
      </c>
      <c r="R285" s="838"/>
      <c r="S285" s="838"/>
      <c r="T285" s="838"/>
      <c r="U285" s="822"/>
      <c r="V285" s="822"/>
      <c r="W285" s="822"/>
      <c r="X285" s="840">
        <v>41208</v>
      </c>
      <c r="Y285" s="841">
        <v>17244.976000000002</v>
      </c>
    </row>
    <row r="286" spans="1:25" x14ac:dyDescent="0.25">
      <c r="A286" s="887" t="s">
        <v>103</v>
      </c>
      <c r="B286" s="847" t="s">
        <v>266</v>
      </c>
      <c r="C286" s="838">
        <v>146299</v>
      </c>
      <c r="D286" s="931">
        <v>739</v>
      </c>
      <c r="E286" s="838">
        <v>108114.961</v>
      </c>
      <c r="F286" s="827">
        <v>191871</v>
      </c>
      <c r="G286" s="837">
        <v>837.33345320553917</v>
      </c>
      <c r="H286" s="838">
        <v>160660.00700000001</v>
      </c>
      <c r="I286" s="827">
        <v>43060</v>
      </c>
      <c r="J286" s="837">
        <v>777.44335810496989</v>
      </c>
      <c r="K286" s="838">
        <v>33476.711000000003</v>
      </c>
      <c r="L286" s="827">
        <v>12814</v>
      </c>
      <c r="M286" s="837">
        <v>1489.7558919931325</v>
      </c>
      <c r="N286" s="838">
        <v>19089.732</v>
      </c>
      <c r="O286" s="839">
        <v>11815</v>
      </c>
      <c r="P286" s="837">
        <v>832.99830723656373</v>
      </c>
      <c r="Q286" s="838">
        <v>9841.875</v>
      </c>
      <c r="R286" s="838"/>
      <c r="S286" s="838"/>
      <c r="T286" s="838"/>
      <c r="U286" s="822"/>
      <c r="V286" s="822"/>
      <c r="W286" s="822"/>
      <c r="X286" s="840">
        <v>405859</v>
      </c>
      <c r="Y286" s="841">
        <v>331183.28600000002</v>
      </c>
    </row>
    <row r="287" spans="1:25" x14ac:dyDescent="0.25">
      <c r="A287" s="887" t="s">
        <v>20</v>
      </c>
      <c r="B287" s="847" t="s">
        <v>266</v>
      </c>
      <c r="C287" s="838">
        <v>58652</v>
      </c>
      <c r="D287" s="931">
        <v>514.04951237809496</v>
      </c>
      <c r="E287" s="838">
        <v>30150.032000000025</v>
      </c>
      <c r="F287" s="827">
        <v>91165</v>
      </c>
      <c r="G287" s="837">
        <v>579.98526846925904</v>
      </c>
      <c r="H287" s="838">
        <v>52874.357000000004</v>
      </c>
      <c r="I287" s="827">
        <v>1911</v>
      </c>
      <c r="J287" s="837">
        <v>577.92830978545248</v>
      </c>
      <c r="K287" s="838">
        <v>1104.4209999999998</v>
      </c>
      <c r="L287" s="827">
        <v>324</v>
      </c>
      <c r="M287" s="837">
        <v>354.50617283950618</v>
      </c>
      <c r="N287" s="838">
        <v>114.86</v>
      </c>
      <c r="O287" s="839">
        <v>34831</v>
      </c>
      <c r="P287" s="837">
        <v>540.80302029801044</v>
      </c>
      <c r="Q287" s="838">
        <v>18836.71</v>
      </c>
      <c r="R287" s="838"/>
      <c r="S287" s="838"/>
      <c r="T287" s="838"/>
      <c r="U287" s="822"/>
      <c r="V287" s="822"/>
      <c r="W287" s="822"/>
      <c r="X287" s="840">
        <v>186883</v>
      </c>
      <c r="Y287" s="841">
        <v>103080.38000000003</v>
      </c>
    </row>
    <row r="288" spans="1:25" x14ac:dyDescent="0.25">
      <c r="A288" s="887" t="s">
        <v>133</v>
      </c>
      <c r="B288" s="847" t="s">
        <v>266</v>
      </c>
      <c r="C288" s="838">
        <v>85391</v>
      </c>
      <c r="D288" s="931">
        <v>350</v>
      </c>
      <c r="E288" s="838">
        <v>29886.85</v>
      </c>
      <c r="F288" s="827">
        <v>84723</v>
      </c>
      <c r="G288" s="837">
        <v>500</v>
      </c>
      <c r="H288" s="838">
        <v>42361.5</v>
      </c>
      <c r="I288" s="827">
        <v>19469</v>
      </c>
      <c r="J288" s="837">
        <v>331.06086599208999</v>
      </c>
      <c r="K288" s="838">
        <v>6445.424</v>
      </c>
      <c r="L288" s="827">
        <v>2292</v>
      </c>
      <c r="M288" s="837">
        <v>800</v>
      </c>
      <c r="N288" s="838">
        <v>1833.6</v>
      </c>
      <c r="O288" s="839">
        <v>3985</v>
      </c>
      <c r="P288" s="837">
        <v>500</v>
      </c>
      <c r="Q288" s="838">
        <v>1992.5</v>
      </c>
      <c r="R288" s="838"/>
      <c r="S288" s="838"/>
      <c r="T288" s="838"/>
      <c r="U288" s="822"/>
      <c r="V288" s="822"/>
      <c r="W288" s="822"/>
      <c r="X288" s="840">
        <v>195860</v>
      </c>
      <c r="Y288" s="841">
        <v>82519.874000000011</v>
      </c>
    </row>
    <row r="289" spans="1:25" x14ac:dyDescent="0.25">
      <c r="A289" s="887" t="s">
        <v>21</v>
      </c>
      <c r="B289" s="847" t="s">
        <v>266</v>
      </c>
      <c r="C289" s="838">
        <v>16263</v>
      </c>
      <c r="D289" s="931">
        <v>141</v>
      </c>
      <c r="E289" s="838">
        <v>2293.0830000000001</v>
      </c>
      <c r="F289" s="827">
        <v>0</v>
      </c>
      <c r="G289" s="837"/>
      <c r="H289" s="838">
        <v>0</v>
      </c>
      <c r="I289" s="827">
        <v>409</v>
      </c>
      <c r="J289" s="837">
        <v>934</v>
      </c>
      <c r="K289" s="838">
        <v>382.00599999999997</v>
      </c>
      <c r="L289" s="827">
        <v>0</v>
      </c>
      <c r="M289" s="837"/>
      <c r="N289" s="838">
        <v>0</v>
      </c>
      <c r="O289" s="839">
        <v>0</v>
      </c>
      <c r="P289" s="837"/>
      <c r="Q289" s="838">
        <v>0</v>
      </c>
      <c r="R289" s="838"/>
      <c r="S289" s="838"/>
      <c r="T289" s="838"/>
      <c r="U289" s="822"/>
      <c r="V289" s="822"/>
      <c r="W289" s="822"/>
      <c r="X289" s="840">
        <v>16672</v>
      </c>
      <c r="Y289" s="841">
        <v>2675.0889999999999</v>
      </c>
    </row>
    <row r="290" spans="1:25" x14ac:dyDescent="0.25">
      <c r="A290" s="887" t="s">
        <v>22</v>
      </c>
      <c r="B290" s="847" t="s">
        <v>266</v>
      </c>
      <c r="C290" s="838">
        <v>50922</v>
      </c>
      <c r="D290" s="931">
        <v>500</v>
      </c>
      <c r="E290" s="838">
        <v>25461</v>
      </c>
      <c r="F290" s="827">
        <v>235</v>
      </c>
      <c r="G290" s="837">
        <v>400</v>
      </c>
      <c r="H290" s="838">
        <v>94</v>
      </c>
      <c r="I290" s="827">
        <v>46829</v>
      </c>
      <c r="J290" s="837">
        <v>2100</v>
      </c>
      <c r="K290" s="838">
        <v>98340.9</v>
      </c>
      <c r="L290" s="827">
        <v>259</v>
      </c>
      <c r="M290" s="837">
        <v>3000</v>
      </c>
      <c r="N290" s="838">
        <v>777</v>
      </c>
      <c r="O290" s="839">
        <v>216</v>
      </c>
      <c r="P290" s="837">
        <v>1600</v>
      </c>
      <c r="Q290" s="838">
        <v>345.6</v>
      </c>
      <c r="R290" s="838">
        <v>622.02</v>
      </c>
      <c r="S290" s="838">
        <v>1300</v>
      </c>
      <c r="T290" s="838">
        <v>808.62599999999998</v>
      </c>
      <c r="U290" s="822"/>
      <c r="V290" s="822"/>
      <c r="W290" s="822"/>
      <c r="X290" s="840">
        <v>99083.02</v>
      </c>
      <c r="Y290" s="841">
        <v>125827.126</v>
      </c>
    </row>
    <row r="291" spans="1:25" x14ac:dyDescent="0.25">
      <c r="A291" s="887" t="s">
        <v>23</v>
      </c>
      <c r="B291" s="847" t="s">
        <v>266</v>
      </c>
      <c r="C291" s="838">
        <v>197661</v>
      </c>
      <c r="D291" s="931">
        <v>850</v>
      </c>
      <c r="E291" s="838">
        <v>168011.85</v>
      </c>
      <c r="F291" s="827">
        <v>95523</v>
      </c>
      <c r="G291" s="837">
        <v>900</v>
      </c>
      <c r="H291" s="838">
        <v>85970.7</v>
      </c>
      <c r="I291" s="827">
        <v>867</v>
      </c>
      <c r="J291" s="837">
        <v>1016</v>
      </c>
      <c r="K291" s="838">
        <v>880.87199999999996</v>
      </c>
      <c r="L291" s="827">
        <v>0</v>
      </c>
      <c r="M291" s="837"/>
      <c r="N291" s="838">
        <v>0</v>
      </c>
      <c r="O291" s="839">
        <v>1000</v>
      </c>
      <c r="P291" s="837">
        <v>895</v>
      </c>
      <c r="Q291" s="838">
        <v>895</v>
      </c>
      <c r="R291" s="838"/>
      <c r="S291" s="838"/>
      <c r="T291" s="838"/>
      <c r="U291" s="822"/>
      <c r="V291" s="822"/>
      <c r="W291" s="822"/>
      <c r="X291" s="840">
        <v>295051</v>
      </c>
      <c r="Y291" s="841">
        <v>255758.42199999999</v>
      </c>
    </row>
    <row r="292" spans="1:25" x14ac:dyDescent="0.25">
      <c r="A292" s="887" t="s">
        <v>24</v>
      </c>
      <c r="B292" s="847" t="s">
        <v>266</v>
      </c>
      <c r="C292" s="838">
        <v>6085</v>
      </c>
      <c r="D292" s="931">
        <v>763</v>
      </c>
      <c r="E292" s="838">
        <v>4642.8549999999996</v>
      </c>
      <c r="F292" s="827">
        <v>19374</v>
      </c>
      <c r="G292" s="837">
        <v>1196</v>
      </c>
      <c r="H292" s="838">
        <v>23171.304</v>
      </c>
      <c r="I292" s="827">
        <v>24773</v>
      </c>
      <c r="J292" s="837">
        <v>1393</v>
      </c>
      <c r="K292" s="838">
        <v>34508.788999999997</v>
      </c>
      <c r="L292" s="827">
        <v>4483</v>
      </c>
      <c r="M292" s="837">
        <v>3189</v>
      </c>
      <c r="N292" s="838">
        <v>14296.287</v>
      </c>
      <c r="O292" s="839">
        <v>207068</v>
      </c>
      <c r="P292" s="837">
        <v>1412</v>
      </c>
      <c r="Q292" s="838">
        <v>292380.016</v>
      </c>
      <c r="R292" s="838"/>
      <c r="S292" s="838"/>
      <c r="T292" s="838"/>
      <c r="U292" s="822"/>
      <c r="V292" s="822"/>
      <c r="W292" s="822"/>
      <c r="X292" s="840">
        <v>261783</v>
      </c>
      <c r="Y292" s="841">
        <v>368999.25099999999</v>
      </c>
    </row>
    <row r="293" spans="1:25" x14ac:dyDescent="0.25">
      <c r="A293" s="887" t="s">
        <v>134</v>
      </c>
      <c r="B293" s="847" t="s">
        <v>266</v>
      </c>
      <c r="C293" s="838">
        <v>78444</v>
      </c>
      <c r="D293" s="931">
        <v>703.15702921829586</v>
      </c>
      <c r="E293" s="838">
        <v>55158.45</v>
      </c>
      <c r="F293" s="827">
        <v>103611</v>
      </c>
      <c r="G293" s="837">
        <v>953.34568723398093</v>
      </c>
      <c r="H293" s="838">
        <v>98777.1</v>
      </c>
      <c r="I293" s="827">
        <v>40035</v>
      </c>
      <c r="J293" s="837">
        <v>862</v>
      </c>
      <c r="K293" s="838">
        <v>34510.17</v>
      </c>
      <c r="L293" s="827">
        <v>0</v>
      </c>
      <c r="M293" s="837"/>
      <c r="N293" s="838">
        <v>0</v>
      </c>
      <c r="O293" s="839">
        <v>17700</v>
      </c>
      <c r="P293" s="837">
        <v>1019</v>
      </c>
      <c r="Q293" s="838">
        <v>18036.3</v>
      </c>
      <c r="R293" s="838"/>
      <c r="S293" s="838"/>
      <c r="T293" s="838"/>
      <c r="U293" s="822"/>
      <c r="V293" s="822"/>
      <c r="W293" s="822"/>
      <c r="X293" s="840">
        <v>239790</v>
      </c>
      <c r="Y293" s="841">
        <v>206482.01999999996</v>
      </c>
    </row>
    <row r="294" spans="1:25" x14ac:dyDescent="0.25">
      <c r="A294" s="887" t="s">
        <v>161</v>
      </c>
      <c r="B294" s="847" t="s">
        <v>266</v>
      </c>
      <c r="C294" s="838">
        <v>111871</v>
      </c>
      <c r="D294" s="931">
        <v>625.39424873291568</v>
      </c>
      <c r="E294" s="838">
        <v>69963.48000000001</v>
      </c>
      <c r="F294" s="827">
        <v>12394</v>
      </c>
      <c r="G294" s="837">
        <v>633.01799257705341</v>
      </c>
      <c r="H294" s="838">
        <v>7845.625</v>
      </c>
      <c r="I294" s="827">
        <v>0</v>
      </c>
      <c r="J294" s="837"/>
      <c r="K294" s="838">
        <v>0</v>
      </c>
      <c r="L294" s="827">
        <v>0</v>
      </c>
      <c r="M294" s="837"/>
      <c r="N294" s="838">
        <v>0</v>
      </c>
      <c r="O294" s="839">
        <v>0</v>
      </c>
      <c r="P294" s="837"/>
      <c r="Q294" s="838">
        <v>0</v>
      </c>
      <c r="R294" s="838"/>
      <c r="S294" s="838"/>
      <c r="T294" s="838"/>
      <c r="U294" s="822"/>
      <c r="V294" s="822"/>
      <c r="W294" s="822"/>
      <c r="X294" s="840">
        <v>124265</v>
      </c>
      <c r="Y294" s="841">
        <v>77809.10500000001</v>
      </c>
    </row>
    <row r="295" spans="1:25" x14ac:dyDescent="0.25">
      <c r="A295" s="891" t="s">
        <v>135</v>
      </c>
      <c r="B295" s="847" t="s">
        <v>266</v>
      </c>
      <c r="C295" s="838">
        <v>37615</v>
      </c>
      <c r="D295" s="931">
        <v>592.60845407417253</v>
      </c>
      <c r="E295" s="838">
        <v>22290.967000000001</v>
      </c>
      <c r="F295" s="827">
        <v>84074</v>
      </c>
      <c r="G295" s="837">
        <v>730.40031400908731</v>
      </c>
      <c r="H295" s="838">
        <v>61407.676000000007</v>
      </c>
      <c r="I295" s="827">
        <v>12428</v>
      </c>
      <c r="J295" s="837">
        <v>899.99501126488565</v>
      </c>
      <c r="K295" s="838">
        <v>11185.137999999999</v>
      </c>
      <c r="L295" s="827">
        <v>21793</v>
      </c>
      <c r="M295" s="837">
        <v>1322.1551415592162</v>
      </c>
      <c r="N295" s="838">
        <v>28813.726999999999</v>
      </c>
      <c r="O295" s="839">
        <v>0</v>
      </c>
      <c r="P295" s="837"/>
      <c r="Q295" s="838"/>
      <c r="R295" s="838"/>
      <c r="S295" s="838"/>
      <c r="T295" s="838"/>
      <c r="U295" s="822"/>
      <c r="V295" s="822"/>
      <c r="W295" s="822"/>
      <c r="X295" s="840">
        <v>155910</v>
      </c>
      <c r="Y295" s="841">
        <v>123697.50800000002</v>
      </c>
    </row>
    <row r="296" spans="1:25" x14ac:dyDescent="0.25">
      <c r="A296" s="891" t="s">
        <v>136</v>
      </c>
      <c r="B296" s="847" t="s">
        <v>266</v>
      </c>
      <c r="C296" s="838">
        <v>27856</v>
      </c>
      <c r="D296" s="931">
        <v>651.30230470993672</v>
      </c>
      <c r="E296" s="838">
        <v>18142.676999999996</v>
      </c>
      <c r="F296" s="827">
        <v>71570</v>
      </c>
      <c r="G296" s="837">
        <v>911.28929719156076</v>
      </c>
      <c r="H296" s="838">
        <v>65220.975000000006</v>
      </c>
      <c r="I296" s="827">
        <v>13402</v>
      </c>
      <c r="J296" s="837">
        <v>1320.3163706909418</v>
      </c>
      <c r="K296" s="838">
        <v>17694.88</v>
      </c>
      <c r="L296" s="827">
        <v>40935</v>
      </c>
      <c r="M296" s="837">
        <v>1173.666422376939</v>
      </c>
      <c r="N296" s="838">
        <v>48044.034999999989</v>
      </c>
      <c r="O296" s="839">
        <v>64002</v>
      </c>
      <c r="P296" s="837">
        <v>723.67640073747691</v>
      </c>
      <c r="Q296" s="838">
        <v>46316.737000000001</v>
      </c>
      <c r="R296" s="838"/>
      <c r="S296" s="838"/>
      <c r="T296" s="838"/>
      <c r="U296" s="822"/>
      <c r="V296" s="822"/>
      <c r="W296" s="822"/>
      <c r="X296" s="840">
        <v>217765</v>
      </c>
      <c r="Y296" s="841">
        <v>195419.30399999997</v>
      </c>
    </row>
    <row r="297" spans="1:25" x14ac:dyDescent="0.25">
      <c r="A297" s="891" t="s">
        <v>137</v>
      </c>
      <c r="B297" s="847" t="s">
        <v>266</v>
      </c>
      <c r="C297" s="838">
        <v>10093</v>
      </c>
      <c r="D297" s="931">
        <v>624.61111661547602</v>
      </c>
      <c r="E297" s="838">
        <v>6304.1999999999989</v>
      </c>
      <c r="F297" s="827">
        <v>66304</v>
      </c>
      <c r="G297" s="837">
        <v>981.27214044401546</v>
      </c>
      <c r="H297" s="838">
        <v>65062.267999999996</v>
      </c>
      <c r="I297" s="827">
        <v>30095</v>
      </c>
      <c r="J297" s="837">
        <v>1158.335603920917</v>
      </c>
      <c r="K297" s="838">
        <v>34860.11</v>
      </c>
      <c r="L297" s="827">
        <v>7004</v>
      </c>
      <c r="M297" s="837">
        <v>2145.6784694460307</v>
      </c>
      <c r="N297" s="838">
        <v>15028.331999999999</v>
      </c>
      <c r="O297" s="839">
        <v>10327</v>
      </c>
      <c r="P297" s="837">
        <v>792.04599593299122</v>
      </c>
      <c r="Q297" s="838">
        <v>8179.4589999999998</v>
      </c>
      <c r="R297" s="838"/>
      <c r="S297" s="838"/>
      <c r="T297" s="838"/>
      <c r="U297" s="822"/>
      <c r="V297" s="822"/>
      <c r="W297" s="822"/>
      <c r="X297" s="840">
        <v>123823</v>
      </c>
      <c r="Y297" s="841">
        <v>129434.36899999999</v>
      </c>
    </row>
    <row r="298" spans="1:25" x14ac:dyDescent="0.25">
      <c r="A298" s="864" t="s">
        <v>52</v>
      </c>
      <c r="B298" s="847" t="s">
        <v>266</v>
      </c>
      <c r="C298" s="838">
        <v>14109</v>
      </c>
      <c r="D298" s="931">
        <v>697.1124813948544</v>
      </c>
      <c r="E298" s="838">
        <v>9835.56</v>
      </c>
      <c r="F298" s="827">
        <v>49954</v>
      </c>
      <c r="G298" s="837">
        <v>841.37112143171714</v>
      </c>
      <c r="H298" s="838">
        <v>42029.853000000003</v>
      </c>
      <c r="I298" s="827">
        <v>11440</v>
      </c>
      <c r="J298" s="837">
        <v>881.92674825174822</v>
      </c>
      <c r="K298" s="838">
        <v>10089.242</v>
      </c>
      <c r="L298" s="827">
        <v>11440</v>
      </c>
      <c r="M298" s="837">
        <v>981.20349650349647</v>
      </c>
      <c r="N298" s="838">
        <v>11224.968000000001</v>
      </c>
      <c r="O298" s="839">
        <v>6483</v>
      </c>
      <c r="P298" s="837">
        <v>800</v>
      </c>
      <c r="Q298" s="838">
        <v>5186.3999999999996</v>
      </c>
      <c r="R298" s="838"/>
      <c r="S298" s="838"/>
      <c r="T298" s="838"/>
      <c r="U298" s="822"/>
      <c r="V298" s="822"/>
      <c r="W298" s="822"/>
      <c r="X298" s="840">
        <v>93426</v>
      </c>
      <c r="Y298" s="841">
        <v>78366.022999999986</v>
      </c>
    </row>
    <row r="299" spans="1:25" x14ac:dyDescent="0.25">
      <c r="A299" s="819" t="s">
        <v>50</v>
      </c>
      <c r="B299" s="847" t="s">
        <v>266</v>
      </c>
      <c r="C299" s="838">
        <v>22599</v>
      </c>
      <c r="D299" s="931">
        <v>710.70688968538434</v>
      </c>
      <c r="E299" s="838">
        <v>16061.264999999999</v>
      </c>
      <c r="F299" s="827">
        <v>52402</v>
      </c>
      <c r="G299" s="837">
        <v>1047.752070531659</v>
      </c>
      <c r="H299" s="838">
        <v>54904.303999999989</v>
      </c>
      <c r="I299" s="827">
        <v>12264</v>
      </c>
      <c r="J299" s="837">
        <v>1152.0156555772994</v>
      </c>
      <c r="K299" s="838">
        <v>14128.32</v>
      </c>
      <c r="L299" s="827">
        <v>17262</v>
      </c>
      <c r="M299" s="837">
        <v>1953.6474916000464</v>
      </c>
      <c r="N299" s="838">
        <v>33723.862999999998</v>
      </c>
      <c r="O299" s="839">
        <v>0</v>
      </c>
      <c r="P299" s="837"/>
      <c r="Q299" s="838"/>
      <c r="R299" s="838"/>
      <c r="S299" s="838"/>
      <c r="T299" s="838"/>
      <c r="U299" s="822"/>
      <c r="V299" s="822"/>
      <c r="W299" s="822"/>
      <c r="X299" s="840">
        <v>104527</v>
      </c>
      <c r="Y299" s="841">
        <v>118817.75199999999</v>
      </c>
    </row>
    <row r="300" spans="1:25" x14ac:dyDescent="0.25">
      <c r="A300" s="891" t="s">
        <v>163</v>
      </c>
      <c r="B300" s="847" t="s">
        <v>266</v>
      </c>
      <c r="C300" s="838">
        <v>24534</v>
      </c>
      <c r="D300" s="931">
        <v>684.5178935355018</v>
      </c>
      <c r="E300" s="838">
        <v>16793.962</v>
      </c>
      <c r="F300" s="827">
        <v>72198</v>
      </c>
      <c r="G300" s="837">
        <v>1019.101678716862</v>
      </c>
      <c r="H300" s="838">
        <v>73577.103000000003</v>
      </c>
      <c r="I300" s="827">
        <v>21091</v>
      </c>
      <c r="J300" s="837">
        <v>1370.1698828884357</v>
      </c>
      <c r="K300" s="838">
        <v>28898.252999999997</v>
      </c>
      <c r="L300" s="827">
        <v>26924</v>
      </c>
      <c r="M300" s="837">
        <v>1312.6853365027484</v>
      </c>
      <c r="N300" s="838">
        <v>35342.74</v>
      </c>
      <c r="O300" s="839">
        <v>0</v>
      </c>
      <c r="P300" s="837"/>
      <c r="Q300" s="838"/>
      <c r="R300" s="838"/>
      <c r="S300" s="838"/>
      <c r="T300" s="838"/>
      <c r="U300" s="822"/>
      <c r="V300" s="822"/>
      <c r="W300" s="822"/>
      <c r="X300" s="840">
        <v>144747</v>
      </c>
      <c r="Y300" s="841">
        <v>154612.05799999999</v>
      </c>
    </row>
    <row r="301" spans="1:25" x14ac:dyDescent="0.25">
      <c r="A301" s="891" t="s">
        <v>27</v>
      </c>
      <c r="B301" s="847" t="s">
        <v>266</v>
      </c>
      <c r="C301" s="838">
        <v>19331</v>
      </c>
      <c r="D301" s="931">
        <v>827.14318969530814</v>
      </c>
      <c r="E301" s="838">
        <v>15989.505000000001</v>
      </c>
      <c r="F301" s="827">
        <v>36070</v>
      </c>
      <c r="G301" s="837">
        <v>896.72520099805922</v>
      </c>
      <c r="H301" s="838">
        <v>32344.877999999997</v>
      </c>
      <c r="I301" s="827">
        <v>5596</v>
      </c>
      <c r="J301" s="837">
        <v>825.18995711222306</v>
      </c>
      <c r="K301" s="838">
        <v>4617.7629999999999</v>
      </c>
      <c r="L301" s="827">
        <v>48187</v>
      </c>
      <c r="M301" s="837">
        <v>1988.5550874717248</v>
      </c>
      <c r="N301" s="838">
        <v>95822.504000000001</v>
      </c>
      <c r="O301" s="839">
        <v>8989</v>
      </c>
      <c r="P301" s="837"/>
      <c r="Q301" s="838">
        <v>8989</v>
      </c>
      <c r="R301" s="838"/>
      <c r="S301" s="838"/>
      <c r="T301" s="838"/>
      <c r="U301" s="822"/>
      <c r="V301" s="822"/>
      <c r="W301" s="822"/>
      <c r="X301" s="840">
        <v>118173</v>
      </c>
      <c r="Y301" s="841">
        <v>157763.65</v>
      </c>
    </row>
    <row r="302" spans="1:25" x14ac:dyDescent="0.25">
      <c r="A302" s="888" t="s">
        <v>15</v>
      </c>
      <c r="B302" s="822" t="s">
        <v>199</v>
      </c>
      <c r="C302" s="829">
        <v>147442</v>
      </c>
      <c r="D302" s="844">
        <v>267</v>
      </c>
      <c r="E302" s="829">
        <v>39367.014000000003</v>
      </c>
      <c r="F302" s="829">
        <v>54417</v>
      </c>
      <c r="G302" s="843">
        <v>414</v>
      </c>
      <c r="H302" s="829">
        <v>22528.637999999999</v>
      </c>
      <c r="I302" s="829">
        <v>6</v>
      </c>
      <c r="J302" s="825">
        <v>210</v>
      </c>
      <c r="K302" s="829">
        <v>1.26</v>
      </c>
      <c r="L302" s="829">
        <v>8</v>
      </c>
      <c r="M302" s="842">
        <v>450</v>
      </c>
      <c r="N302" s="829">
        <v>3.6</v>
      </c>
      <c r="O302" s="829">
        <v>61815</v>
      </c>
      <c r="P302" s="842">
        <v>467</v>
      </c>
      <c r="Q302" s="829">
        <v>28867.605</v>
      </c>
      <c r="R302" s="829"/>
      <c r="S302" s="829"/>
      <c r="T302" s="829">
        <v>0</v>
      </c>
      <c r="U302" s="822"/>
      <c r="V302" s="822"/>
      <c r="W302" s="822"/>
      <c r="X302" s="829">
        <v>263688</v>
      </c>
      <c r="Y302" s="829">
        <v>90768.116999999998</v>
      </c>
    </row>
    <row r="303" spans="1:25" x14ac:dyDescent="0.25">
      <c r="A303" s="887" t="s">
        <v>187</v>
      </c>
      <c r="B303" s="822" t="s">
        <v>199</v>
      </c>
      <c r="C303" s="829">
        <v>28911</v>
      </c>
      <c r="D303" s="844">
        <v>290</v>
      </c>
      <c r="E303" s="829">
        <v>8384.19</v>
      </c>
      <c r="F303" s="829">
        <v>96</v>
      </c>
      <c r="G303" s="843">
        <v>460</v>
      </c>
      <c r="H303" s="829">
        <v>44.16</v>
      </c>
      <c r="I303" s="829">
        <v>1725</v>
      </c>
      <c r="J303" s="825">
        <v>860</v>
      </c>
      <c r="K303" s="829">
        <v>1483.5</v>
      </c>
      <c r="L303" s="829"/>
      <c r="M303" s="842"/>
      <c r="N303" s="829">
        <v>0</v>
      </c>
      <c r="O303" s="829">
        <v>0</v>
      </c>
      <c r="P303" s="842"/>
      <c r="Q303" s="829">
        <v>0</v>
      </c>
      <c r="R303" s="829"/>
      <c r="S303" s="829"/>
      <c r="T303" s="829">
        <v>0</v>
      </c>
      <c r="U303" s="822"/>
      <c r="V303" s="822"/>
      <c r="W303" s="822"/>
      <c r="X303" s="829">
        <v>30732</v>
      </c>
      <c r="Y303" s="829">
        <v>9911.85</v>
      </c>
    </row>
    <row r="304" spans="1:25" x14ac:dyDescent="0.25">
      <c r="A304" s="888" t="s">
        <v>103</v>
      </c>
      <c r="B304" s="822" t="s">
        <v>199</v>
      </c>
      <c r="C304" s="829">
        <v>134015</v>
      </c>
      <c r="D304" s="844">
        <v>659</v>
      </c>
      <c r="E304" s="829">
        <v>88315.884999999995</v>
      </c>
      <c r="F304" s="829">
        <v>162111</v>
      </c>
      <c r="G304" s="843">
        <v>797</v>
      </c>
      <c r="H304" s="829">
        <v>129202.467</v>
      </c>
      <c r="I304" s="829">
        <v>43070.1</v>
      </c>
      <c r="J304" s="825">
        <v>797</v>
      </c>
      <c r="K304" s="829">
        <v>34326.869699999996</v>
      </c>
      <c r="L304" s="829">
        <v>14849</v>
      </c>
      <c r="M304" s="842">
        <v>1030</v>
      </c>
      <c r="N304" s="829">
        <v>15294.47</v>
      </c>
      <c r="O304" s="829">
        <v>17036</v>
      </c>
      <c r="P304" s="825">
        <v>842</v>
      </c>
      <c r="Q304" s="829">
        <v>14344.312</v>
      </c>
      <c r="R304" s="829"/>
      <c r="S304" s="829"/>
      <c r="T304" s="829">
        <v>0</v>
      </c>
      <c r="U304" s="822"/>
      <c r="V304" s="822"/>
      <c r="W304" s="822"/>
      <c r="X304" s="829">
        <v>371081.1</v>
      </c>
      <c r="Y304" s="829">
        <v>281484.00369999994</v>
      </c>
    </row>
    <row r="305" spans="1:25" x14ac:dyDescent="0.25">
      <c r="A305" s="888" t="s">
        <v>20</v>
      </c>
      <c r="B305" s="822" t="s">
        <v>199</v>
      </c>
      <c r="C305" s="829">
        <v>59605</v>
      </c>
      <c r="D305" s="844">
        <v>428</v>
      </c>
      <c r="E305" s="829">
        <v>25510.94</v>
      </c>
      <c r="F305" s="829">
        <v>91000</v>
      </c>
      <c r="G305" s="843">
        <v>1048</v>
      </c>
      <c r="H305" s="829">
        <v>95368</v>
      </c>
      <c r="I305" s="829">
        <v>1994</v>
      </c>
      <c r="J305" s="825">
        <v>629</v>
      </c>
      <c r="K305" s="829">
        <v>1254.2260000000001</v>
      </c>
      <c r="L305" s="829">
        <v>304</v>
      </c>
      <c r="M305" s="825">
        <v>850</v>
      </c>
      <c r="N305" s="829">
        <v>258.39999999999998</v>
      </c>
      <c r="O305" s="829">
        <v>27477</v>
      </c>
      <c r="P305" s="825">
        <v>540.80302029801044</v>
      </c>
      <c r="Q305" s="829">
        <v>14859.644588728434</v>
      </c>
      <c r="R305" s="829"/>
      <c r="S305" s="829"/>
      <c r="T305" s="829">
        <v>0</v>
      </c>
      <c r="U305" s="822"/>
      <c r="V305" s="822"/>
      <c r="W305" s="822"/>
      <c r="X305" s="829">
        <v>180380</v>
      </c>
      <c r="Y305" s="829">
        <v>137251.21058872843</v>
      </c>
    </row>
    <row r="306" spans="1:25" x14ac:dyDescent="0.25">
      <c r="A306" s="888" t="s">
        <v>133</v>
      </c>
      <c r="B306" s="822" t="s">
        <v>199</v>
      </c>
      <c r="C306" s="829">
        <v>82160</v>
      </c>
      <c r="D306" s="844">
        <v>329</v>
      </c>
      <c r="E306" s="829">
        <v>27030.639999999999</v>
      </c>
      <c r="F306" s="829">
        <v>89405</v>
      </c>
      <c r="G306" s="844">
        <v>623</v>
      </c>
      <c r="H306" s="829">
        <v>55699.315000000002</v>
      </c>
      <c r="I306" s="829">
        <v>41991</v>
      </c>
      <c r="J306" s="842">
        <v>684</v>
      </c>
      <c r="K306" s="829">
        <v>28721.844000000001</v>
      </c>
      <c r="L306" s="829">
        <v>2292</v>
      </c>
      <c r="M306" s="825">
        <v>2838</v>
      </c>
      <c r="N306" s="829">
        <v>6504.6959999999999</v>
      </c>
      <c r="O306" s="829">
        <v>7712</v>
      </c>
      <c r="P306" s="825">
        <v>670</v>
      </c>
      <c r="Q306" s="829">
        <v>5167.04</v>
      </c>
      <c r="R306" s="829"/>
      <c r="S306" s="829"/>
      <c r="T306" s="829">
        <v>0</v>
      </c>
      <c r="U306" s="822"/>
      <c r="V306" s="822"/>
      <c r="W306" s="822"/>
      <c r="X306" s="829">
        <v>223560</v>
      </c>
      <c r="Y306" s="829">
        <v>123123.53499999999</v>
      </c>
    </row>
    <row r="307" spans="1:25" x14ac:dyDescent="0.25">
      <c r="A307" s="888" t="s">
        <v>21</v>
      </c>
      <c r="B307" s="822" t="s">
        <v>199</v>
      </c>
      <c r="C307" s="829">
        <v>14973</v>
      </c>
      <c r="D307" s="844">
        <v>278</v>
      </c>
      <c r="E307" s="829">
        <v>4162.4939999999997</v>
      </c>
      <c r="F307" s="829">
        <v>0</v>
      </c>
      <c r="G307" s="844"/>
      <c r="H307" s="829">
        <v>0</v>
      </c>
      <c r="I307" s="829">
        <v>401</v>
      </c>
      <c r="J307" s="842">
        <v>523</v>
      </c>
      <c r="K307" s="829">
        <v>209.72300000000001</v>
      </c>
      <c r="L307" s="829">
        <v>0</v>
      </c>
      <c r="M307" s="825">
        <v>0</v>
      </c>
      <c r="N307" s="829">
        <v>0</v>
      </c>
      <c r="O307" s="829">
        <v>0</v>
      </c>
      <c r="P307" s="825"/>
      <c r="Q307" s="829">
        <v>0</v>
      </c>
      <c r="R307" s="829"/>
      <c r="S307" s="829"/>
      <c r="T307" s="829">
        <v>0</v>
      </c>
      <c r="U307" s="822"/>
      <c r="V307" s="822"/>
      <c r="W307" s="822"/>
      <c r="X307" s="829">
        <v>15374</v>
      </c>
      <c r="Y307" s="829">
        <v>4372.2169999999996</v>
      </c>
    </row>
    <row r="308" spans="1:25" x14ac:dyDescent="0.25">
      <c r="A308" s="888" t="s">
        <v>22</v>
      </c>
      <c r="B308" s="822" t="s">
        <v>199</v>
      </c>
      <c r="C308" s="829">
        <v>78947</v>
      </c>
      <c r="D308" s="844">
        <v>600</v>
      </c>
      <c r="E308" s="829">
        <v>47368.2</v>
      </c>
      <c r="F308" s="829">
        <v>147</v>
      </c>
      <c r="G308" s="844">
        <v>800</v>
      </c>
      <c r="H308" s="829">
        <v>117.6</v>
      </c>
      <c r="I308" s="829">
        <v>45021</v>
      </c>
      <c r="J308" s="842">
        <v>2300</v>
      </c>
      <c r="K308" s="829">
        <v>103548.3</v>
      </c>
      <c r="L308" s="829">
        <v>382</v>
      </c>
      <c r="M308" s="825">
        <v>4000</v>
      </c>
      <c r="N308" s="829">
        <v>1528</v>
      </c>
      <c r="O308" s="829">
        <v>310</v>
      </c>
      <c r="P308" s="825">
        <v>1500</v>
      </c>
      <c r="Q308" s="829">
        <v>465</v>
      </c>
      <c r="R308" s="829">
        <v>689</v>
      </c>
      <c r="S308" s="829">
        <v>1400</v>
      </c>
      <c r="T308" s="829">
        <v>964.6</v>
      </c>
      <c r="U308" s="822"/>
      <c r="V308" s="822"/>
      <c r="W308" s="822"/>
      <c r="X308" s="829">
        <v>125496</v>
      </c>
      <c r="Y308" s="829">
        <v>153991.70000000001</v>
      </c>
    </row>
    <row r="309" spans="1:25" x14ac:dyDescent="0.25">
      <c r="A309" s="888" t="s">
        <v>23</v>
      </c>
      <c r="B309" s="822" t="s">
        <v>199</v>
      </c>
      <c r="C309" s="829">
        <v>178862</v>
      </c>
      <c r="D309" s="844">
        <v>647</v>
      </c>
      <c r="E309" s="829">
        <v>115723.71400000001</v>
      </c>
      <c r="F309" s="829">
        <v>95069</v>
      </c>
      <c r="G309" s="844">
        <v>571</v>
      </c>
      <c r="H309" s="829">
        <v>54284.398999999998</v>
      </c>
      <c r="I309" s="829">
        <v>887</v>
      </c>
      <c r="J309" s="842">
        <v>708</v>
      </c>
      <c r="K309" s="829">
        <v>627.99599999999998</v>
      </c>
      <c r="L309" s="829">
        <v>0</v>
      </c>
      <c r="M309" s="825"/>
      <c r="N309" s="829">
        <v>0</v>
      </c>
      <c r="O309" s="829">
        <v>283</v>
      </c>
      <c r="P309" s="825">
        <v>615</v>
      </c>
      <c r="Q309" s="829">
        <v>174.04499999999999</v>
      </c>
      <c r="R309" s="829">
        <v>0</v>
      </c>
      <c r="S309" s="829"/>
      <c r="T309" s="829">
        <v>0</v>
      </c>
      <c r="U309" s="822"/>
      <c r="V309" s="822"/>
      <c r="W309" s="822"/>
      <c r="X309" s="829">
        <v>275101</v>
      </c>
      <c r="Y309" s="829">
        <v>170810.15400000004</v>
      </c>
    </row>
    <row r="310" spans="1:25" x14ac:dyDescent="0.25">
      <c r="A310" s="888" t="s">
        <v>24</v>
      </c>
      <c r="B310" s="822" t="s">
        <v>199</v>
      </c>
      <c r="C310" s="829">
        <v>5930</v>
      </c>
      <c r="D310" s="844">
        <v>731</v>
      </c>
      <c r="E310" s="829">
        <v>4334.83</v>
      </c>
      <c r="F310" s="829">
        <v>19804</v>
      </c>
      <c r="G310" s="844">
        <v>1147</v>
      </c>
      <c r="H310" s="829">
        <v>22715.187999999998</v>
      </c>
      <c r="I310" s="829">
        <v>27982</v>
      </c>
      <c r="J310" s="842">
        <v>1326</v>
      </c>
      <c r="K310" s="829">
        <v>37104.131999999998</v>
      </c>
      <c r="L310" s="829">
        <v>5281</v>
      </c>
      <c r="M310" s="825">
        <v>2688</v>
      </c>
      <c r="N310" s="829">
        <v>14195.328</v>
      </c>
      <c r="O310" s="829">
        <v>201226</v>
      </c>
      <c r="P310" s="825">
        <v>1480</v>
      </c>
      <c r="Q310" s="829">
        <v>297814.48</v>
      </c>
      <c r="R310" s="829"/>
      <c r="S310" s="829"/>
      <c r="T310" s="829">
        <v>0</v>
      </c>
      <c r="U310" s="822"/>
      <c r="V310" s="822"/>
      <c r="W310" s="822"/>
      <c r="X310" s="829">
        <v>260223</v>
      </c>
      <c r="Y310" s="829">
        <v>376163.95799999998</v>
      </c>
    </row>
    <row r="311" spans="1:25" x14ac:dyDescent="0.25">
      <c r="A311" s="888" t="s">
        <v>134</v>
      </c>
      <c r="B311" s="822" t="s">
        <v>199</v>
      </c>
      <c r="C311" s="829">
        <v>100876</v>
      </c>
      <c r="D311" s="844">
        <v>835</v>
      </c>
      <c r="E311" s="829">
        <v>84231.46</v>
      </c>
      <c r="F311" s="829">
        <v>134284</v>
      </c>
      <c r="G311" s="844">
        <v>915</v>
      </c>
      <c r="H311" s="829">
        <v>122869.86</v>
      </c>
      <c r="I311" s="829">
        <v>40035</v>
      </c>
      <c r="J311" s="842">
        <v>1231</v>
      </c>
      <c r="K311" s="829">
        <v>49283.084999999999</v>
      </c>
      <c r="L311" s="829">
        <v>213</v>
      </c>
      <c r="M311" s="825">
        <v>850</v>
      </c>
      <c r="N311" s="829">
        <v>181.05</v>
      </c>
      <c r="O311" s="829">
        <v>6432</v>
      </c>
      <c r="P311" s="825">
        <v>1019</v>
      </c>
      <c r="Q311" s="829">
        <v>6554.2079999999996</v>
      </c>
      <c r="R311" s="829">
        <v>0</v>
      </c>
      <c r="S311" s="829"/>
      <c r="T311" s="829">
        <v>0</v>
      </c>
      <c r="U311" s="822"/>
      <c r="V311" s="822"/>
      <c r="W311" s="822"/>
      <c r="X311" s="829">
        <v>281840</v>
      </c>
      <c r="Y311" s="829">
        <v>263119.663</v>
      </c>
    </row>
    <row r="312" spans="1:25" x14ac:dyDescent="0.25">
      <c r="A312" s="888" t="s">
        <v>161</v>
      </c>
      <c r="B312" s="822" t="s">
        <v>199</v>
      </c>
      <c r="C312" s="829">
        <v>106564</v>
      </c>
      <c r="D312" s="846">
        <v>358</v>
      </c>
      <c r="E312" s="829">
        <v>38149.911999999997</v>
      </c>
      <c r="F312" s="829">
        <v>21848</v>
      </c>
      <c r="G312" s="846">
        <v>480</v>
      </c>
      <c r="H312" s="829">
        <v>10487.04</v>
      </c>
      <c r="I312" s="829">
        <v>0</v>
      </c>
      <c r="J312" s="845"/>
      <c r="K312" s="829">
        <v>0</v>
      </c>
      <c r="L312" s="829"/>
      <c r="M312" s="845"/>
      <c r="N312" s="829">
        <v>0</v>
      </c>
      <c r="O312" s="829"/>
      <c r="P312" s="825"/>
      <c r="Q312" s="829">
        <v>0</v>
      </c>
      <c r="R312" s="829">
        <v>0</v>
      </c>
      <c r="S312" s="829"/>
      <c r="T312" s="829">
        <v>0</v>
      </c>
      <c r="U312" s="822"/>
      <c r="V312" s="822"/>
      <c r="W312" s="822"/>
      <c r="X312" s="829">
        <v>128412</v>
      </c>
      <c r="Y312" s="829">
        <v>48636.951999999997</v>
      </c>
    </row>
    <row r="313" spans="1:25" x14ac:dyDescent="0.25">
      <c r="A313" s="888" t="s">
        <v>135</v>
      </c>
      <c r="B313" s="822" t="s">
        <v>199</v>
      </c>
      <c r="C313" s="829">
        <v>42804</v>
      </c>
      <c r="D313" s="844">
        <v>689</v>
      </c>
      <c r="E313" s="829">
        <v>29491.955999999998</v>
      </c>
      <c r="F313" s="829">
        <v>78462</v>
      </c>
      <c r="G313" s="844">
        <v>614</v>
      </c>
      <c r="H313" s="829">
        <v>48175.667999999998</v>
      </c>
      <c r="I313" s="829">
        <v>9905.5</v>
      </c>
      <c r="J313" s="842">
        <v>954</v>
      </c>
      <c r="K313" s="829">
        <v>9449.8469999999998</v>
      </c>
      <c r="L313" s="829">
        <v>12480</v>
      </c>
      <c r="M313" s="825">
        <v>1000</v>
      </c>
      <c r="N313" s="829">
        <v>12480</v>
      </c>
      <c r="O313" s="829"/>
      <c r="P313" s="825"/>
      <c r="Q313" s="829">
        <v>0</v>
      </c>
      <c r="R313" s="829"/>
      <c r="S313" s="829"/>
      <c r="T313" s="829">
        <v>0</v>
      </c>
      <c r="U313" s="822"/>
      <c r="V313" s="822"/>
      <c r="W313" s="822"/>
      <c r="X313" s="829">
        <v>143651.5</v>
      </c>
      <c r="Y313" s="829">
        <v>99597.47099999999</v>
      </c>
    </row>
    <row r="314" spans="1:25" x14ac:dyDescent="0.25">
      <c r="A314" s="888" t="s">
        <v>136</v>
      </c>
      <c r="B314" s="822" t="s">
        <v>199</v>
      </c>
      <c r="C314" s="829">
        <v>23656</v>
      </c>
      <c r="D314" s="844">
        <v>592</v>
      </c>
      <c r="E314" s="829">
        <v>14004.352000000001</v>
      </c>
      <c r="F314" s="829">
        <v>64316</v>
      </c>
      <c r="G314" s="844">
        <v>639</v>
      </c>
      <c r="H314" s="829">
        <v>41097.923999999999</v>
      </c>
      <c r="I314" s="829">
        <v>7613.5</v>
      </c>
      <c r="J314" s="842">
        <v>1050</v>
      </c>
      <c r="K314" s="829">
        <v>7994.1750000000002</v>
      </c>
      <c r="L314" s="829">
        <v>34850</v>
      </c>
      <c r="M314" s="825">
        <v>2086.91489361702</v>
      </c>
      <c r="N314" s="829">
        <v>72728.984042553144</v>
      </c>
      <c r="O314" s="829">
        <v>66347</v>
      </c>
      <c r="P314" s="825">
        <v>723.67640073747691</v>
      </c>
      <c r="Q314" s="829">
        <v>48013.758159729383</v>
      </c>
      <c r="R314" s="829"/>
      <c r="S314" s="829"/>
      <c r="T314" s="829">
        <v>0</v>
      </c>
      <c r="U314" s="822"/>
      <c r="V314" s="822"/>
      <c r="W314" s="822"/>
      <c r="X314" s="829">
        <v>196782.5</v>
      </c>
      <c r="Y314" s="829">
        <v>183839.19320228253</v>
      </c>
    </row>
    <row r="315" spans="1:25" x14ac:dyDescent="0.25">
      <c r="A315" s="888" t="s">
        <v>137</v>
      </c>
      <c r="B315" s="822" t="s">
        <v>199</v>
      </c>
      <c r="C315" s="829">
        <v>7517</v>
      </c>
      <c r="D315" s="844">
        <v>609</v>
      </c>
      <c r="E315" s="829">
        <v>4577.8530000000001</v>
      </c>
      <c r="F315" s="829">
        <v>55025</v>
      </c>
      <c r="G315" s="844">
        <v>759</v>
      </c>
      <c r="H315" s="829">
        <v>41763.974999999999</v>
      </c>
      <c r="I315" s="829">
        <v>30371.5</v>
      </c>
      <c r="J315" s="842">
        <v>950</v>
      </c>
      <c r="K315" s="829">
        <v>28852.924999999999</v>
      </c>
      <c r="L315" s="829">
        <v>5799</v>
      </c>
      <c r="M315" s="825">
        <v>1070</v>
      </c>
      <c r="N315" s="829">
        <v>6204.93</v>
      </c>
      <c r="O315" s="829">
        <v>7985</v>
      </c>
      <c r="P315" s="825">
        <v>792.04599593299122</v>
      </c>
      <c r="Q315" s="829">
        <v>6324.4872775249351</v>
      </c>
      <c r="R315" s="829"/>
      <c r="S315" s="829"/>
      <c r="T315" s="829">
        <v>0</v>
      </c>
      <c r="U315" s="822"/>
      <c r="V315" s="822"/>
      <c r="W315" s="822"/>
      <c r="X315" s="829">
        <v>106697.5</v>
      </c>
      <c r="Y315" s="829">
        <v>87724.170277524929</v>
      </c>
    </row>
    <row r="316" spans="1:25" x14ac:dyDescent="0.25">
      <c r="A316" s="864" t="s">
        <v>52</v>
      </c>
      <c r="B316" s="822" t="s">
        <v>199</v>
      </c>
      <c r="C316" s="829">
        <v>19581</v>
      </c>
      <c r="D316" s="844">
        <v>638</v>
      </c>
      <c r="E316" s="829">
        <v>12492.678</v>
      </c>
      <c r="F316" s="829">
        <v>54349</v>
      </c>
      <c r="G316" s="844">
        <v>833</v>
      </c>
      <c r="H316" s="829">
        <v>45272.716999999997</v>
      </c>
      <c r="I316" s="829">
        <v>14763</v>
      </c>
      <c r="J316" s="842">
        <v>854</v>
      </c>
      <c r="K316" s="829">
        <v>12607.602000000001</v>
      </c>
      <c r="L316" s="829">
        <v>4364</v>
      </c>
      <c r="M316" s="825">
        <v>981.20349650349647</v>
      </c>
      <c r="N316" s="829">
        <v>4281.9720587412585</v>
      </c>
      <c r="O316" s="829">
        <v>1505</v>
      </c>
      <c r="P316" s="825">
        <v>800</v>
      </c>
      <c r="Q316" s="829">
        <v>1204</v>
      </c>
      <c r="R316" s="829">
        <v>0</v>
      </c>
      <c r="S316" s="829"/>
      <c r="T316" s="829">
        <v>0</v>
      </c>
      <c r="U316" s="822"/>
      <c r="V316" s="822"/>
      <c r="W316" s="822"/>
      <c r="X316" s="829">
        <v>94562</v>
      </c>
      <c r="Y316" s="829">
        <v>75858.969058741262</v>
      </c>
    </row>
    <row r="317" spans="1:25" x14ac:dyDescent="0.25">
      <c r="A317" s="819" t="s">
        <v>50</v>
      </c>
      <c r="B317" s="822" t="s">
        <v>199</v>
      </c>
      <c r="C317" s="829">
        <v>18219</v>
      </c>
      <c r="D317" s="844">
        <v>561</v>
      </c>
      <c r="E317" s="829">
        <v>10220.859</v>
      </c>
      <c r="F317" s="829">
        <v>47382</v>
      </c>
      <c r="G317" s="844">
        <v>740</v>
      </c>
      <c r="H317" s="829">
        <v>35062.68</v>
      </c>
      <c r="I317" s="829">
        <v>11490</v>
      </c>
      <c r="J317" s="842">
        <v>748</v>
      </c>
      <c r="K317" s="829">
        <v>8594.52</v>
      </c>
      <c r="L317" s="829">
        <v>16477</v>
      </c>
      <c r="M317" s="825">
        <v>1277.5678949381613</v>
      </c>
      <c r="N317" s="829">
        <v>21050.486204896086</v>
      </c>
      <c r="O317" s="829">
        <v>0</v>
      </c>
      <c r="P317" s="825"/>
      <c r="Q317" s="829">
        <v>0</v>
      </c>
      <c r="R317" s="829"/>
      <c r="S317" s="829"/>
      <c r="T317" s="829">
        <v>0</v>
      </c>
      <c r="U317" s="822"/>
      <c r="V317" s="822"/>
      <c r="W317" s="822"/>
      <c r="X317" s="829">
        <v>93568</v>
      </c>
      <c r="Y317" s="829">
        <v>74928.545204896101</v>
      </c>
    </row>
    <row r="318" spans="1:25" x14ac:dyDescent="0.25">
      <c r="A318" s="888" t="s">
        <v>163</v>
      </c>
      <c r="B318" s="822" t="s">
        <v>199</v>
      </c>
      <c r="C318" s="829">
        <v>20069</v>
      </c>
      <c r="D318" s="844">
        <v>959</v>
      </c>
      <c r="E318" s="829">
        <v>19246.170999999998</v>
      </c>
      <c r="F318" s="829">
        <v>61169</v>
      </c>
      <c r="G318" s="844">
        <v>1248</v>
      </c>
      <c r="H318" s="829">
        <v>76338.911999999997</v>
      </c>
      <c r="I318" s="829">
        <v>20899</v>
      </c>
      <c r="J318" s="842">
        <v>951</v>
      </c>
      <c r="K318" s="829">
        <v>19874.949000000001</v>
      </c>
      <c r="L318" s="829">
        <v>21621</v>
      </c>
      <c r="M318" s="825">
        <v>1235</v>
      </c>
      <c r="N318" s="829">
        <v>26701.935000000001</v>
      </c>
      <c r="O318" s="829">
        <v>0</v>
      </c>
      <c r="P318" s="825"/>
      <c r="Q318" s="829">
        <v>0</v>
      </c>
      <c r="R318" s="829"/>
      <c r="S318" s="829"/>
      <c r="T318" s="829">
        <v>0</v>
      </c>
      <c r="U318" s="822"/>
      <c r="V318" s="822"/>
      <c r="W318" s="822"/>
      <c r="X318" s="829">
        <v>123758</v>
      </c>
      <c r="Y318" s="829">
        <v>142161.967</v>
      </c>
    </row>
    <row r="319" spans="1:25" x14ac:dyDescent="0.25">
      <c r="A319" s="888" t="s">
        <v>27</v>
      </c>
      <c r="B319" s="822" t="s">
        <v>199</v>
      </c>
      <c r="C319" s="829">
        <v>28235</v>
      </c>
      <c r="D319" s="844">
        <v>691</v>
      </c>
      <c r="E319" s="829">
        <v>19510.384999999998</v>
      </c>
      <c r="F319" s="829">
        <v>45472</v>
      </c>
      <c r="G319" s="844">
        <v>756</v>
      </c>
      <c r="H319" s="829">
        <v>34376.832000000002</v>
      </c>
      <c r="I319" s="829">
        <v>6787</v>
      </c>
      <c r="J319" s="842">
        <v>820</v>
      </c>
      <c r="K319" s="829">
        <v>5565.34</v>
      </c>
      <c r="L319" s="829">
        <v>53092</v>
      </c>
      <c r="M319" s="825">
        <v>1169</v>
      </c>
      <c r="N319" s="829">
        <v>62064.548000000003</v>
      </c>
      <c r="O319" s="829">
        <v>9955</v>
      </c>
      <c r="P319" s="825">
        <v>730</v>
      </c>
      <c r="Q319" s="829">
        <v>7267.15</v>
      </c>
      <c r="R319" s="829"/>
      <c r="S319" s="829"/>
      <c r="T319" s="829">
        <v>0</v>
      </c>
      <c r="U319" s="822"/>
      <c r="V319" s="822"/>
      <c r="W319" s="822"/>
      <c r="X319" s="829">
        <v>143541</v>
      </c>
      <c r="Y319" s="829">
        <v>128784.255</v>
      </c>
    </row>
    <row r="320" spans="1:25" x14ac:dyDescent="0.25">
      <c r="A320" s="888" t="s">
        <v>15</v>
      </c>
      <c r="B320" s="822" t="s">
        <v>223</v>
      </c>
      <c r="C320" s="867">
        <v>143695.6</v>
      </c>
      <c r="D320" s="932">
        <v>352.21305768762232</v>
      </c>
      <c r="E320" s="867">
        <v>50611.466652257499</v>
      </c>
      <c r="F320" s="867">
        <v>55080</v>
      </c>
      <c r="G320" s="867">
        <v>475.7548629637003</v>
      </c>
      <c r="H320" s="867">
        <v>26204.577852040613</v>
      </c>
      <c r="I320" s="867">
        <v>60</v>
      </c>
      <c r="J320" s="867">
        <v>357</v>
      </c>
      <c r="K320" s="867">
        <v>21.42</v>
      </c>
      <c r="L320" s="867">
        <v>2</v>
      </c>
      <c r="M320" s="867">
        <v>827.75000000000011</v>
      </c>
      <c r="N320" s="867">
        <v>1.6555000000000002</v>
      </c>
      <c r="O320" s="867">
        <v>109100</v>
      </c>
      <c r="P320" s="867">
        <v>582.12</v>
      </c>
      <c r="Q320" s="867">
        <v>63509.292000000001</v>
      </c>
      <c r="R320" s="867"/>
      <c r="S320" s="867"/>
      <c r="T320" s="867"/>
      <c r="U320" s="821"/>
      <c r="V320" s="821"/>
      <c r="W320" s="821"/>
      <c r="X320" s="821">
        <v>307937.59999999998</v>
      </c>
      <c r="Y320" s="821">
        <v>140348.41200429812</v>
      </c>
    </row>
    <row r="321" spans="1:25" x14ac:dyDescent="0.25">
      <c r="A321" s="887" t="s">
        <v>187</v>
      </c>
      <c r="B321" s="822" t="s">
        <v>223</v>
      </c>
      <c r="C321" s="867">
        <v>29098</v>
      </c>
      <c r="D321" s="932">
        <v>383.25</v>
      </c>
      <c r="E321" s="867">
        <v>11151.808499999999</v>
      </c>
      <c r="F321" s="867">
        <v>102</v>
      </c>
      <c r="G321" s="867">
        <v>596.61000000000013</v>
      </c>
      <c r="H321" s="867">
        <v>60.854220000000012</v>
      </c>
      <c r="I321" s="867">
        <v>2175</v>
      </c>
      <c r="J321" s="867">
        <v>632.52</v>
      </c>
      <c r="K321" s="867">
        <v>1375.731</v>
      </c>
      <c r="L321" s="867"/>
      <c r="M321" s="867"/>
      <c r="N321" s="867">
        <v>0</v>
      </c>
      <c r="O321" s="867"/>
      <c r="P321" s="867"/>
      <c r="Q321" s="867">
        <v>0</v>
      </c>
      <c r="R321" s="867"/>
      <c r="S321" s="867"/>
      <c r="T321" s="867"/>
      <c r="U321" s="821"/>
      <c r="V321" s="821"/>
      <c r="W321" s="821"/>
      <c r="X321" s="821">
        <v>31375</v>
      </c>
      <c r="Y321" s="821">
        <v>12588.39372</v>
      </c>
    </row>
    <row r="322" spans="1:25" x14ac:dyDescent="0.25">
      <c r="A322" s="888" t="s">
        <v>103</v>
      </c>
      <c r="B322" s="822" t="s">
        <v>223</v>
      </c>
      <c r="C322" s="867">
        <v>129240</v>
      </c>
      <c r="D322" s="932">
        <v>651</v>
      </c>
      <c r="E322" s="867">
        <v>84135.24</v>
      </c>
      <c r="F322" s="867">
        <v>156940.20000000001</v>
      </c>
      <c r="G322" s="867">
        <v>787.5</v>
      </c>
      <c r="H322" s="867">
        <v>123590.40750000002</v>
      </c>
      <c r="I322" s="867">
        <v>39544.960000000006</v>
      </c>
      <c r="J322" s="867">
        <v>800.1</v>
      </c>
      <c r="K322" s="867">
        <v>31639.922496000007</v>
      </c>
      <c r="L322" s="867">
        <v>15544</v>
      </c>
      <c r="M322" s="867">
        <v>1602.4984216481973</v>
      </c>
      <c r="N322" s="867">
        <v>24909.235466099581</v>
      </c>
      <c r="O322" s="867">
        <v>27634</v>
      </c>
      <c r="P322" s="867">
        <v>1133.3407032850021</v>
      </c>
      <c r="Q322" s="867">
        <v>31318.736994577746</v>
      </c>
      <c r="R322" s="867"/>
      <c r="S322" s="867"/>
      <c r="T322" s="867"/>
      <c r="U322" s="821"/>
      <c r="V322" s="821"/>
      <c r="W322" s="821"/>
      <c r="X322" s="821">
        <v>368903.16000000003</v>
      </c>
      <c r="Y322" s="821">
        <v>295593.54245667736</v>
      </c>
    </row>
    <row r="323" spans="1:25" x14ac:dyDescent="0.25">
      <c r="A323" s="888" t="s">
        <v>20</v>
      </c>
      <c r="B323" s="822" t="s">
        <v>223</v>
      </c>
      <c r="C323" s="867">
        <v>68103</v>
      </c>
      <c r="D323" s="932">
        <v>605.85</v>
      </c>
      <c r="E323" s="867">
        <v>41260.202550000002</v>
      </c>
      <c r="F323" s="867">
        <v>112476</v>
      </c>
      <c r="G323" s="867">
        <v>945</v>
      </c>
      <c r="H323" s="867">
        <v>106289.82</v>
      </c>
      <c r="I323" s="867">
        <v>2771</v>
      </c>
      <c r="J323" s="867">
        <v>617.4</v>
      </c>
      <c r="K323" s="867">
        <v>1710.8154</v>
      </c>
      <c r="L323" s="867">
        <v>210</v>
      </c>
      <c r="M323" s="867">
        <v>960.87962962962979</v>
      </c>
      <c r="N323" s="867">
        <v>201.78472222222226</v>
      </c>
      <c r="O323" s="867">
        <v>26811</v>
      </c>
      <c r="P323" s="867">
        <v>900.90000000000009</v>
      </c>
      <c r="Q323" s="867">
        <v>24154.029900000001</v>
      </c>
      <c r="R323" s="867"/>
      <c r="S323" s="867"/>
      <c r="T323" s="867"/>
      <c r="U323" s="821"/>
      <c r="V323" s="821"/>
      <c r="W323" s="821"/>
      <c r="X323" s="821">
        <v>210371</v>
      </c>
      <c r="Y323" s="821">
        <v>173616.65257222223</v>
      </c>
    </row>
    <row r="324" spans="1:25" x14ac:dyDescent="0.25">
      <c r="A324" s="888" t="s">
        <v>133</v>
      </c>
      <c r="B324" s="822" t="s">
        <v>223</v>
      </c>
      <c r="C324" s="867">
        <v>72669.350000000006</v>
      </c>
      <c r="D324" s="932">
        <v>377.90047623746619</v>
      </c>
      <c r="E324" s="867">
        <v>27461.781972867117</v>
      </c>
      <c r="F324" s="867">
        <v>90280</v>
      </c>
      <c r="G324" s="867">
        <v>607.51234996486301</v>
      </c>
      <c r="H324" s="867">
        <v>54846.214954827832</v>
      </c>
      <c r="I324" s="867">
        <v>35678.25</v>
      </c>
      <c r="J324" s="867">
        <v>614.25</v>
      </c>
      <c r="K324" s="867">
        <v>21915.365062500001</v>
      </c>
      <c r="L324" s="867">
        <v>6400</v>
      </c>
      <c r="M324" s="867">
        <v>2625</v>
      </c>
      <c r="N324" s="867">
        <v>16800</v>
      </c>
      <c r="O324" s="867">
        <v>6362</v>
      </c>
      <c r="P324" s="867">
        <v>988.76757085020256</v>
      </c>
      <c r="Q324" s="867">
        <v>6290.5392857489887</v>
      </c>
      <c r="R324" s="867"/>
      <c r="S324" s="867"/>
      <c r="T324" s="867"/>
      <c r="U324" s="821"/>
      <c r="V324" s="821"/>
      <c r="W324" s="821"/>
      <c r="X324" s="821">
        <v>211389.6</v>
      </c>
      <c r="Y324" s="821">
        <v>127313.90127594394</v>
      </c>
    </row>
    <row r="325" spans="1:25" x14ac:dyDescent="0.25">
      <c r="A325" s="888" t="s">
        <v>21</v>
      </c>
      <c r="B325" s="822" t="s">
        <v>223</v>
      </c>
      <c r="C325" s="867">
        <v>20954</v>
      </c>
      <c r="D325" s="932">
        <v>357</v>
      </c>
      <c r="E325" s="867">
        <v>7480.5780000000004</v>
      </c>
      <c r="F325" s="867"/>
      <c r="G325" s="867"/>
      <c r="H325" s="867"/>
      <c r="I325" s="867">
        <v>892</v>
      </c>
      <c r="J325" s="867">
        <v>532.72800000000007</v>
      </c>
      <c r="K325" s="867">
        <v>475.19337600000006</v>
      </c>
      <c r="L325" s="867"/>
      <c r="M325" s="867"/>
      <c r="N325" s="867"/>
      <c r="O325" s="867"/>
      <c r="P325" s="867"/>
      <c r="Q325" s="867"/>
      <c r="R325" s="867"/>
      <c r="S325" s="867"/>
      <c r="T325" s="867"/>
      <c r="U325" s="821"/>
      <c r="V325" s="821"/>
      <c r="W325" s="821"/>
      <c r="X325" s="821">
        <v>21846</v>
      </c>
      <c r="Y325" s="821">
        <v>7955.7713760000006</v>
      </c>
    </row>
    <row r="326" spans="1:25" x14ac:dyDescent="0.25">
      <c r="A326" s="888" t="s">
        <v>22</v>
      </c>
      <c r="B326" s="822" t="s">
        <v>223</v>
      </c>
      <c r="C326" s="867">
        <v>76759</v>
      </c>
      <c r="D326" s="932">
        <v>559.71090000000004</v>
      </c>
      <c r="E326" s="867">
        <v>42962.848973100008</v>
      </c>
      <c r="F326" s="867">
        <v>323</v>
      </c>
      <c r="G326" s="867">
        <v>976.29</v>
      </c>
      <c r="H326" s="867">
        <v>315.34166999999997</v>
      </c>
      <c r="I326" s="867">
        <v>31465</v>
      </c>
      <c r="J326" s="867">
        <v>2348.85</v>
      </c>
      <c r="K326" s="867">
        <v>73906.56525</v>
      </c>
      <c r="L326" s="867">
        <v>440</v>
      </c>
      <c r="M326" s="867">
        <v>2913.2249999999999</v>
      </c>
      <c r="N326" s="867">
        <v>1281.819</v>
      </c>
      <c r="O326" s="867">
        <v>600</v>
      </c>
      <c r="P326" s="867">
        <v>1410.9375</v>
      </c>
      <c r="Q326" s="867">
        <v>846.5625</v>
      </c>
      <c r="R326" s="867">
        <v>1800</v>
      </c>
      <c r="S326" s="867">
        <v>1400</v>
      </c>
      <c r="T326" s="867">
        <v>2520</v>
      </c>
      <c r="U326" s="821"/>
      <c r="V326" s="821"/>
      <c r="W326" s="821"/>
      <c r="X326" s="821">
        <v>111387</v>
      </c>
      <c r="Y326" s="821">
        <v>121833.13739310001</v>
      </c>
    </row>
    <row r="327" spans="1:25" x14ac:dyDescent="0.25">
      <c r="A327" s="888" t="s">
        <v>23</v>
      </c>
      <c r="B327" s="822" t="s">
        <v>223</v>
      </c>
      <c r="C327" s="867">
        <v>222721.84</v>
      </c>
      <c r="D327" s="932">
        <v>611.1</v>
      </c>
      <c r="E327" s="867">
        <v>136105.31642399999</v>
      </c>
      <c r="F327" s="867">
        <v>152897</v>
      </c>
      <c r="G327" s="867">
        <v>606.375</v>
      </c>
      <c r="H327" s="867">
        <v>92712.918374999994</v>
      </c>
      <c r="I327" s="867">
        <v>961</v>
      </c>
      <c r="J327" s="867">
        <v>559.65</v>
      </c>
      <c r="K327" s="867">
        <v>537.82365000000004</v>
      </c>
      <c r="L327" s="867"/>
      <c r="M327" s="867"/>
      <c r="N327" s="867">
        <v>0</v>
      </c>
      <c r="O327" s="867">
        <v>1250</v>
      </c>
      <c r="P327" s="867">
        <v>540.75</v>
      </c>
      <c r="Q327" s="867">
        <v>675.9375</v>
      </c>
      <c r="R327" s="867"/>
      <c r="S327" s="867"/>
      <c r="T327" s="867"/>
      <c r="U327" s="821"/>
      <c r="V327" s="821"/>
      <c r="W327" s="821"/>
      <c r="X327" s="821">
        <v>377829.83999999997</v>
      </c>
      <c r="Y327" s="821">
        <v>230031.995949</v>
      </c>
    </row>
    <row r="328" spans="1:25" x14ac:dyDescent="0.25">
      <c r="A328" s="888" t="s">
        <v>24</v>
      </c>
      <c r="B328" s="822" t="s">
        <v>223</v>
      </c>
      <c r="C328" s="867">
        <v>7604</v>
      </c>
      <c r="D328" s="932">
        <v>758.93999999999994</v>
      </c>
      <c r="E328" s="867">
        <v>5770.9797600000002</v>
      </c>
      <c r="F328" s="867">
        <v>25153</v>
      </c>
      <c r="G328" s="867">
        <v>952.35</v>
      </c>
      <c r="H328" s="867">
        <v>23954.45955</v>
      </c>
      <c r="I328" s="867">
        <v>29974</v>
      </c>
      <c r="J328" s="867">
        <v>1315.0200000000002</v>
      </c>
      <c r="K328" s="867">
        <v>39416.409480000002</v>
      </c>
      <c r="L328" s="867">
        <v>6352</v>
      </c>
      <c r="M328" s="867">
        <v>3449.25</v>
      </c>
      <c r="N328" s="867">
        <v>21909.635999999999</v>
      </c>
      <c r="O328" s="867">
        <v>211540</v>
      </c>
      <c r="P328" s="867">
        <v>1358.91</v>
      </c>
      <c r="Q328" s="867">
        <v>287463.82140000002</v>
      </c>
      <c r="R328" s="867"/>
      <c r="S328" s="867"/>
      <c r="T328" s="867"/>
      <c r="U328" s="821"/>
      <c r="V328" s="821"/>
      <c r="W328" s="821"/>
      <c r="X328" s="821">
        <v>280623</v>
      </c>
      <c r="Y328" s="821">
        <v>378515.30619000003</v>
      </c>
    </row>
    <row r="329" spans="1:25" x14ac:dyDescent="0.25">
      <c r="A329" s="888" t="s">
        <v>134</v>
      </c>
      <c r="B329" s="822" t="s">
        <v>223</v>
      </c>
      <c r="C329" s="867">
        <v>119536.9</v>
      </c>
      <c r="D329" s="932">
        <v>688.80000000000007</v>
      </c>
      <c r="E329" s="867">
        <v>82337.01672</v>
      </c>
      <c r="F329" s="867">
        <v>131578.4</v>
      </c>
      <c r="G329" s="867">
        <v>891.45</v>
      </c>
      <c r="H329" s="867">
        <v>117295.56468000001</v>
      </c>
      <c r="I329" s="867">
        <v>97207</v>
      </c>
      <c r="J329" s="867">
        <v>1193.8500000000001</v>
      </c>
      <c r="K329" s="867">
        <v>116050.57695000002</v>
      </c>
      <c r="L329" s="867">
        <v>547</v>
      </c>
      <c r="M329" s="867">
        <v>1081.7220430107527</v>
      </c>
      <c r="N329" s="867">
        <v>591.70195752688176</v>
      </c>
      <c r="O329" s="867">
        <v>20078</v>
      </c>
      <c r="P329" s="867">
        <v>1171.0125</v>
      </c>
      <c r="Q329" s="867">
        <v>23511.588975000002</v>
      </c>
      <c r="R329" s="867"/>
      <c r="S329" s="867"/>
      <c r="T329" s="867"/>
      <c r="U329" s="821"/>
      <c r="V329" s="821"/>
      <c r="W329" s="821"/>
      <c r="X329" s="821">
        <v>368947.3</v>
      </c>
      <c r="Y329" s="821">
        <v>339786.44928252691</v>
      </c>
    </row>
    <row r="330" spans="1:25" x14ac:dyDescent="0.25">
      <c r="A330" s="888" t="s">
        <v>161</v>
      </c>
      <c r="B330" s="822" t="s">
        <v>223</v>
      </c>
      <c r="C330" s="867">
        <v>125725</v>
      </c>
      <c r="D330" s="932">
        <v>560.70000000000005</v>
      </c>
      <c r="E330" s="867">
        <v>70494.007500000007</v>
      </c>
      <c r="F330" s="867">
        <v>26535</v>
      </c>
      <c r="G330" s="867">
        <v>911.40000000000009</v>
      </c>
      <c r="H330" s="867">
        <v>24183.999000000003</v>
      </c>
      <c r="I330" s="867"/>
      <c r="J330" s="867"/>
      <c r="K330" s="867"/>
      <c r="L330" s="867"/>
      <c r="M330" s="867"/>
      <c r="N330" s="867"/>
      <c r="O330" s="867"/>
      <c r="P330" s="867"/>
      <c r="Q330" s="867">
        <v>0</v>
      </c>
      <c r="R330" s="867"/>
      <c r="S330" s="867"/>
      <c r="T330" s="867"/>
      <c r="U330" s="821"/>
      <c r="V330" s="821"/>
      <c r="W330" s="821"/>
      <c r="X330" s="821">
        <v>152260</v>
      </c>
      <c r="Y330" s="821">
        <v>94678.006500000018</v>
      </c>
    </row>
    <row r="331" spans="1:25" x14ac:dyDescent="0.25">
      <c r="A331" s="888" t="s">
        <v>135</v>
      </c>
      <c r="B331" s="822" t="s">
        <v>223</v>
      </c>
      <c r="C331" s="867">
        <v>42049</v>
      </c>
      <c r="D331" s="932">
        <v>546.39946603019689</v>
      </c>
      <c r="E331" s="867">
        <v>22975.55114710375</v>
      </c>
      <c r="F331" s="867">
        <v>85366</v>
      </c>
      <c r="G331" s="867">
        <v>651.69813380313587</v>
      </c>
      <c r="H331" s="867">
        <v>55632.862890238495</v>
      </c>
      <c r="I331" s="867">
        <v>13499</v>
      </c>
      <c r="J331" s="867">
        <v>1004.1298750824362</v>
      </c>
      <c r="K331" s="867">
        <v>13554.749183737807</v>
      </c>
      <c r="L331" s="867">
        <v>20520</v>
      </c>
      <c r="M331" s="867">
        <v>1145.6166662123799</v>
      </c>
      <c r="N331" s="867">
        <v>23508.053990678036</v>
      </c>
      <c r="O331" s="867">
        <v>0</v>
      </c>
      <c r="P331" s="867"/>
      <c r="Q331" s="867">
        <v>0</v>
      </c>
      <c r="R331" s="867"/>
      <c r="S331" s="867"/>
      <c r="T331" s="867"/>
      <c r="U331" s="821"/>
      <c r="V331" s="821"/>
      <c r="W331" s="821"/>
      <c r="X331" s="821">
        <v>161434</v>
      </c>
      <c r="Y331" s="821">
        <v>115671.21721175808</v>
      </c>
    </row>
    <row r="332" spans="1:25" x14ac:dyDescent="0.25">
      <c r="A332" s="888" t="s">
        <v>136</v>
      </c>
      <c r="B332" s="822" t="s">
        <v>223</v>
      </c>
      <c r="C332" s="867">
        <v>18827</v>
      </c>
      <c r="D332" s="932">
        <v>628.21315188929441</v>
      </c>
      <c r="E332" s="867">
        <v>11827.369010619746</v>
      </c>
      <c r="F332" s="867">
        <v>62131.049999999996</v>
      </c>
      <c r="G332" s="867">
        <v>992.42376645458478</v>
      </c>
      <c r="H332" s="867">
        <v>61660.330654778125</v>
      </c>
      <c r="I332" s="867">
        <v>11825</v>
      </c>
      <c r="J332" s="867">
        <v>1528.1913527370305</v>
      </c>
      <c r="K332" s="867">
        <v>18070.862746115388</v>
      </c>
      <c r="L332" s="867">
        <v>28022</v>
      </c>
      <c r="M332" s="867">
        <v>1785.6023151684931</v>
      </c>
      <c r="N332" s="867">
        <v>50036.148075651508</v>
      </c>
      <c r="O332" s="867">
        <v>76331</v>
      </c>
      <c r="P332" s="867">
        <v>803.25</v>
      </c>
      <c r="Q332" s="867">
        <v>61312.875749999999</v>
      </c>
      <c r="R332" s="867"/>
      <c r="S332" s="867"/>
      <c r="T332" s="867"/>
      <c r="U332" s="821"/>
      <c r="V332" s="821"/>
      <c r="W332" s="821"/>
      <c r="X332" s="821">
        <v>197136.05</v>
      </c>
      <c r="Y332" s="821">
        <v>202907.5862371648</v>
      </c>
    </row>
    <row r="333" spans="1:25" x14ac:dyDescent="0.25">
      <c r="A333" s="888" t="s">
        <v>137</v>
      </c>
      <c r="B333" s="822" t="s">
        <v>223</v>
      </c>
      <c r="C333" s="867">
        <v>8265.6</v>
      </c>
      <c r="D333" s="932">
        <v>609</v>
      </c>
      <c r="E333" s="867">
        <v>5033.7504000000008</v>
      </c>
      <c r="F333" s="867">
        <v>60378</v>
      </c>
      <c r="G333" s="867">
        <v>920.85</v>
      </c>
      <c r="H333" s="867">
        <v>55599.081300000005</v>
      </c>
      <c r="I333" s="867">
        <v>37422</v>
      </c>
      <c r="J333" s="867">
        <v>1157.3146687289509</v>
      </c>
      <c r="K333" s="867">
        <v>43309.029533174798</v>
      </c>
      <c r="L333" s="867">
        <v>5864</v>
      </c>
      <c r="M333" s="867">
        <v>1476.2513315853466</v>
      </c>
      <c r="N333" s="867">
        <v>8656.737808416472</v>
      </c>
      <c r="O333" s="867">
        <v>13639</v>
      </c>
      <c r="P333" s="867">
        <v>879.354915776133</v>
      </c>
      <c r="Q333" s="867">
        <v>11993.521696270678</v>
      </c>
      <c r="R333" s="867"/>
      <c r="S333" s="867"/>
      <c r="T333" s="867"/>
      <c r="U333" s="821"/>
      <c r="V333" s="821"/>
      <c r="W333" s="821"/>
      <c r="X333" s="821">
        <v>125568.6</v>
      </c>
      <c r="Y333" s="821">
        <v>124592.12073786196</v>
      </c>
    </row>
    <row r="334" spans="1:25" x14ac:dyDescent="0.25">
      <c r="A334" s="864" t="s">
        <v>52</v>
      </c>
      <c r="B334" s="822" t="s">
        <v>223</v>
      </c>
      <c r="C334" s="867">
        <v>23110</v>
      </c>
      <c r="D334" s="932">
        <v>623.70000000000005</v>
      </c>
      <c r="E334" s="867">
        <v>14413.707000000002</v>
      </c>
      <c r="F334" s="867">
        <v>53695</v>
      </c>
      <c r="G334" s="867">
        <v>851.55000000000007</v>
      </c>
      <c r="H334" s="867">
        <v>45723.977250000004</v>
      </c>
      <c r="I334" s="867">
        <v>13947</v>
      </c>
      <c r="J334" s="867">
        <v>880.45110580471157</v>
      </c>
      <c r="K334" s="867">
        <v>12279.651572658311</v>
      </c>
      <c r="L334" s="867">
        <v>3584</v>
      </c>
      <c r="M334" s="867">
        <v>1115.1000000000001</v>
      </c>
      <c r="N334" s="867">
        <v>3996.5184000000004</v>
      </c>
      <c r="O334" s="867">
        <v>3279</v>
      </c>
      <c r="P334" s="867">
        <v>2608.6200000000003</v>
      </c>
      <c r="Q334" s="867">
        <v>8553.6649799999996</v>
      </c>
      <c r="R334" s="867"/>
      <c r="S334" s="867"/>
      <c r="T334" s="867"/>
      <c r="U334" s="821"/>
      <c r="V334" s="821"/>
      <c r="W334" s="821"/>
      <c r="X334" s="821">
        <v>97615</v>
      </c>
      <c r="Y334" s="821">
        <v>84967.519202658325</v>
      </c>
    </row>
    <row r="335" spans="1:25" x14ac:dyDescent="0.25">
      <c r="A335" s="819" t="s">
        <v>50</v>
      </c>
      <c r="B335" s="822" t="s">
        <v>223</v>
      </c>
      <c r="C335" s="867">
        <v>27147</v>
      </c>
      <c r="D335" s="932">
        <v>595.13520370841513</v>
      </c>
      <c r="E335" s="867">
        <v>16156.135375072345</v>
      </c>
      <c r="F335" s="867">
        <v>62516</v>
      </c>
      <c r="G335" s="867">
        <v>906.15000000000009</v>
      </c>
      <c r="H335" s="867">
        <v>56648.873400000004</v>
      </c>
      <c r="I335" s="867">
        <v>19280.359999999997</v>
      </c>
      <c r="J335" s="867">
        <v>889.35</v>
      </c>
      <c r="K335" s="867">
        <v>17146.988165999999</v>
      </c>
      <c r="L335" s="867">
        <v>14137.425000000001</v>
      </c>
      <c r="M335" s="867">
        <v>1250.0050401990338</v>
      </c>
      <c r="N335" s="867">
        <v>17671.852505435829</v>
      </c>
      <c r="O335" s="867"/>
      <c r="P335" s="867"/>
      <c r="Q335" s="867"/>
      <c r="R335" s="867"/>
      <c r="S335" s="867"/>
      <c r="T335" s="867"/>
      <c r="U335" s="821"/>
      <c r="V335" s="821"/>
      <c r="W335" s="821"/>
      <c r="X335" s="821">
        <v>123080.785</v>
      </c>
      <c r="Y335" s="821">
        <v>107623.84944650817</v>
      </c>
    </row>
    <row r="336" spans="1:25" x14ac:dyDescent="0.25">
      <c r="A336" s="888" t="s">
        <v>163</v>
      </c>
      <c r="B336" s="822" t="s">
        <v>223</v>
      </c>
      <c r="C336" s="867">
        <v>29789</v>
      </c>
      <c r="D336" s="932">
        <v>836.66547294963812</v>
      </c>
      <c r="E336" s="867">
        <v>24923.427773696771</v>
      </c>
      <c r="F336" s="867">
        <v>69288</v>
      </c>
      <c r="G336" s="867">
        <v>955.5</v>
      </c>
      <c r="H336" s="867">
        <v>66204.683999999994</v>
      </c>
      <c r="I336" s="867">
        <v>19921</v>
      </c>
      <c r="J336" s="867">
        <v>1019.3239000936206</v>
      </c>
      <c r="K336" s="867">
        <v>20305.951413765019</v>
      </c>
      <c r="L336" s="867">
        <v>22541.5</v>
      </c>
      <c r="M336" s="867">
        <v>1166.6295209259586</v>
      </c>
      <c r="N336" s="867">
        <v>26297.579345952498</v>
      </c>
      <c r="O336" s="867"/>
      <c r="P336" s="867"/>
      <c r="Q336" s="867"/>
      <c r="R336" s="867"/>
      <c r="S336" s="867"/>
      <c r="T336" s="867"/>
      <c r="U336" s="821"/>
      <c r="V336" s="821"/>
      <c r="W336" s="821"/>
      <c r="X336" s="821">
        <v>141539.5</v>
      </c>
      <c r="Y336" s="821">
        <v>137731.64253341427</v>
      </c>
    </row>
    <row r="337" spans="1:25" x14ac:dyDescent="0.25">
      <c r="A337" s="888" t="s">
        <v>27</v>
      </c>
      <c r="B337" s="822" t="s">
        <v>223</v>
      </c>
      <c r="C337" s="867">
        <v>28409</v>
      </c>
      <c r="D337" s="932">
        <v>703.37570776305017</v>
      </c>
      <c r="E337" s="867">
        <v>19982.200481840493</v>
      </c>
      <c r="F337" s="867">
        <v>28248</v>
      </c>
      <c r="G337" s="867">
        <v>793.25259487443998</v>
      </c>
      <c r="H337" s="867">
        <v>22407.799300013179</v>
      </c>
      <c r="I337" s="867">
        <v>7411.2</v>
      </c>
      <c r="J337" s="867">
        <v>857.02807944536255</v>
      </c>
      <c r="K337" s="867">
        <v>6351.6065023854708</v>
      </c>
      <c r="L337" s="867">
        <v>50242.649999999994</v>
      </c>
      <c r="M337" s="867">
        <v>1232.5924569716756</v>
      </c>
      <c r="N337" s="867">
        <v>61928.711408267947</v>
      </c>
      <c r="O337" s="867">
        <v>9955</v>
      </c>
      <c r="P337" s="867">
        <v>745</v>
      </c>
      <c r="Q337" s="867">
        <v>7416.4750000000004</v>
      </c>
      <c r="R337" s="867"/>
      <c r="S337" s="867"/>
      <c r="T337" s="867"/>
      <c r="U337" s="821"/>
      <c r="V337" s="821"/>
      <c r="W337" s="821"/>
      <c r="X337" s="821">
        <v>124265.84999999999</v>
      </c>
      <c r="Y337" s="821">
        <v>118086.79269250711</v>
      </c>
    </row>
    <row r="338" spans="1:25" x14ac:dyDescent="0.25">
      <c r="A338" s="924" t="s">
        <v>15</v>
      </c>
      <c r="B338" s="883" t="s">
        <v>285</v>
      </c>
      <c r="C338" s="884">
        <v>151161.92000000001</v>
      </c>
      <c r="D338" s="884"/>
      <c r="E338" s="884">
        <v>69655.412735999998</v>
      </c>
      <c r="F338" s="884">
        <v>51257.799999999996</v>
      </c>
      <c r="G338" s="884"/>
      <c r="H338" s="884">
        <v>37774.435709999991</v>
      </c>
      <c r="I338" s="884">
        <v>95</v>
      </c>
      <c r="J338" s="884"/>
      <c r="K338" s="884">
        <v>55.575000000000003</v>
      </c>
      <c r="L338" s="884">
        <v>6</v>
      </c>
      <c r="M338" s="884"/>
      <c r="N338" s="884">
        <v>4.8920025000000003</v>
      </c>
      <c r="O338" s="884">
        <v>110972.81841199999</v>
      </c>
      <c r="P338" s="884"/>
      <c r="Q338" s="884">
        <v>76904.163159515985</v>
      </c>
      <c r="R338" s="885"/>
      <c r="S338" s="885"/>
      <c r="T338" s="885">
        <v>0</v>
      </c>
      <c r="U338" s="814"/>
      <c r="V338" s="814"/>
      <c r="W338" s="814"/>
      <c r="X338" s="814"/>
      <c r="Y338" s="814"/>
    </row>
    <row r="339" spans="1:25" x14ac:dyDescent="0.25">
      <c r="A339" s="925" t="s">
        <v>187</v>
      </c>
      <c r="B339" s="883" t="s">
        <v>285</v>
      </c>
      <c r="C339" s="884">
        <v>38226.93</v>
      </c>
      <c r="D339" s="884"/>
      <c r="E339" s="884">
        <v>14604.311904524999</v>
      </c>
      <c r="F339" s="884">
        <v>132.30000000000001</v>
      </c>
      <c r="G339" s="884"/>
      <c r="H339" s="884">
        <v>81.364500000000007</v>
      </c>
      <c r="I339" s="884">
        <v>1579.6000000000001</v>
      </c>
      <c r="J339" s="884"/>
      <c r="K339" s="884">
        <v>1086.7648000000002</v>
      </c>
      <c r="L339" s="884"/>
      <c r="M339" s="884"/>
      <c r="N339" s="884">
        <v>0</v>
      </c>
      <c r="O339" s="884"/>
      <c r="P339" s="884"/>
      <c r="Q339" s="884">
        <v>0</v>
      </c>
      <c r="R339" s="885"/>
      <c r="S339" s="885"/>
      <c r="T339" s="885">
        <v>0</v>
      </c>
      <c r="U339" s="814"/>
      <c r="V339" s="814"/>
      <c r="W339" s="814"/>
      <c r="X339" s="814"/>
      <c r="Y339" s="814"/>
    </row>
    <row r="340" spans="1:25" x14ac:dyDescent="0.25">
      <c r="A340" s="925" t="s">
        <v>103</v>
      </c>
      <c r="B340" s="883" t="s">
        <v>285</v>
      </c>
      <c r="C340" s="884">
        <v>167445.63</v>
      </c>
      <c r="D340" s="884"/>
      <c r="E340" s="884">
        <v>122504.89736430001</v>
      </c>
      <c r="F340" s="884">
        <v>164747</v>
      </c>
      <c r="G340" s="884"/>
      <c r="H340" s="884">
        <v>140707.13790355797</v>
      </c>
      <c r="I340" s="884">
        <v>43480</v>
      </c>
      <c r="J340" s="884"/>
      <c r="K340" s="884">
        <v>39951.597999999998</v>
      </c>
      <c r="L340" s="884">
        <v>9150.9000000000015</v>
      </c>
      <c r="M340" s="884"/>
      <c r="N340" s="884">
        <v>12678.32468859714</v>
      </c>
      <c r="O340" s="884">
        <v>17881.186786666633</v>
      </c>
      <c r="P340" s="884"/>
      <c r="Q340" s="884">
        <v>24521.226938129163</v>
      </c>
      <c r="R340" s="885"/>
      <c r="S340" s="885"/>
      <c r="T340" s="885">
        <v>0</v>
      </c>
      <c r="U340" s="814"/>
      <c r="V340" s="814"/>
      <c r="W340" s="814"/>
      <c r="X340" s="814"/>
      <c r="Y340" s="814"/>
    </row>
    <row r="341" spans="1:25" x14ac:dyDescent="0.25">
      <c r="A341" s="925" t="s">
        <v>20</v>
      </c>
      <c r="B341" s="883" t="s">
        <v>285</v>
      </c>
      <c r="C341" s="884">
        <v>69644.75</v>
      </c>
      <c r="D341" s="884"/>
      <c r="E341" s="884">
        <v>37215.347716574994</v>
      </c>
      <c r="F341" s="884">
        <v>109035.8</v>
      </c>
      <c r="G341" s="884"/>
      <c r="H341" s="884">
        <v>99414.481008000002</v>
      </c>
      <c r="I341" s="884">
        <v>3041</v>
      </c>
      <c r="J341" s="884"/>
      <c r="K341" s="884">
        <v>1912.789</v>
      </c>
      <c r="L341" s="884">
        <v>320.39999999999998</v>
      </c>
      <c r="M341" s="884"/>
      <c r="N341" s="884">
        <v>334.49759999999998</v>
      </c>
      <c r="O341" s="884">
        <v>31609.6479096</v>
      </c>
      <c r="P341" s="884"/>
      <c r="Q341" s="884">
        <v>39012.627450028325</v>
      </c>
      <c r="R341" s="885"/>
      <c r="S341" s="885"/>
      <c r="T341" s="885">
        <v>0</v>
      </c>
      <c r="U341" s="814"/>
      <c r="V341" s="814"/>
      <c r="W341" s="814"/>
      <c r="X341" s="814"/>
      <c r="Y341" s="814"/>
    </row>
    <row r="342" spans="1:25" x14ac:dyDescent="0.25">
      <c r="A342" s="925" t="s">
        <v>133</v>
      </c>
      <c r="B342" s="883" t="s">
        <v>285</v>
      </c>
      <c r="C342" s="884">
        <v>88713.03</v>
      </c>
      <c r="D342" s="884"/>
      <c r="E342" s="884">
        <v>35580.990389174971</v>
      </c>
      <c r="F342" s="884">
        <v>85824.700000000012</v>
      </c>
      <c r="G342" s="884"/>
      <c r="H342" s="884">
        <v>52934.100219000007</v>
      </c>
      <c r="I342" s="884">
        <v>35090.58</v>
      </c>
      <c r="J342" s="884"/>
      <c r="K342" s="884">
        <v>26002.119780000001</v>
      </c>
      <c r="L342" s="884">
        <v>3063.6000000000004</v>
      </c>
      <c r="M342" s="884"/>
      <c r="N342" s="884">
        <v>6422.0715000000009</v>
      </c>
      <c r="O342" s="884">
        <v>6204.7627999999959</v>
      </c>
      <c r="P342" s="884"/>
      <c r="Q342" s="884">
        <v>6202.2808948799957</v>
      </c>
      <c r="R342" s="885"/>
      <c r="S342" s="885"/>
      <c r="T342" s="885">
        <v>0</v>
      </c>
      <c r="U342" s="814"/>
      <c r="V342" s="814"/>
      <c r="W342" s="814"/>
      <c r="X342" s="814"/>
      <c r="Y342" s="814"/>
    </row>
    <row r="343" spans="1:25" x14ac:dyDescent="0.25">
      <c r="A343" s="925" t="s">
        <v>21</v>
      </c>
      <c r="B343" s="883" t="s">
        <v>285</v>
      </c>
      <c r="C343" s="884">
        <v>19110.168000000001</v>
      </c>
      <c r="D343" s="884"/>
      <c r="E343" s="884">
        <v>6714.3605410220744</v>
      </c>
      <c r="F343" s="884"/>
      <c r="G343" s="884"/>
      <c r="H343" s="884">
        <v>0</v>
      </c>
      <c r="I343" s="884">
        <v>893.49</v>
      </c>
      <c r="J343" s="884"/>
      <c r="K343" s="884">
        <v>721.49317500000006</v>
      </c>
      <c r="L343" s="884"/>
      <c r="M343" s="884"/>
      <c r="N343" s="884">
        <v>0</v>
      </c>
      <c r="O343" s="884"/>
      <c r="P343" s="884"/>
      <c r="Q343" s="884">
        <v>0</v>
      </c>
      <c r="R343" s="885"/>
      <c r="S343" s="885"/>
      <c r="T343" s="885">
        <v>0</v>
      </c>
      <c r="U343" s="814"/>
      <c r="V343" s="814"/>
      <c r="W343" s="814"/>
      <c r="X343" s="814"/>
      <c r="Y343" s="814"/>
    </row>
    <row r="344" spans="1:25" x14ac:dyDescent="0.25">
      <c r="A344" s="925" t="s">
        <v>22</v>
      </c>
      <c r="B344" s="883" t="s">
        <v>285</v>
      </c>
      <c r="C344" s="884">
        <v>72775.574199999988</v>
      </c>
      <c r="D344" s="884"/>
      <c r="E344" s="884">
        <v>52793.899147936529</v>
      </c>
      <c r="F344" s="884">
        <v>267.66609999999997</v>
      </c>
      <c r="G344" s="884"/>
      <c r="H344" s="884">
        <v>267.79993304999994</v>
      </c>
      <c r="I344" s="884">
        <v>40647.040000000001</v>
      </c>
      <c r="J344" s="884"/>
      <c r="K344" s="884">
        <v>96079.847270399987</v>
      </c>
      <c r="L344" s="884">
        <v>472.23</v>
      </c>
      <c r="M344" s="884"/>
      <c r="N344" s="884">
        <v>1888.92</v>
      </c>
      <c r="O344" s="884">
        <v>337.41120000000001</v>
      </c>
      <c r="P344" s="884"/>
      <c r="Q344" s="884">
        <v>542.62469183999997</v>
      </c>
      <c r="R344" s="885">
        <v>801.25562000000002</v>
      </c>
      <c r="S344" s="885"/>
      <c r="T344" s="885">
        <v>1798.01761128</v>
      </c>
      <c r="U344" s="814"/>
      <c r="V344" s="814"/>
      <c r="W344" s="814"/>
      <c r="X344" s="814"/>
      <c r="Y344" s="814"/>
    </row>
    <row r="345" spans="1:25" x14ac:dyDescent="0.25">
      <c r="A345" s="925" t="s">
        <v>23</v>
      </c>
      <c r="B345" s="883" t="s">
        <v>285</v>
      </c>
      <c r="C345" s="884">
        <v>207168.72812499999</v>
      </c>
      <c r="D345" s="884"/>
      <c r="E345" s="884">
        <v>142635.66931406251</v>
      </c>
      <c r="F345" s="884">
        <v>121334.22080000001</v>
      </c>
      <c r="G345" s="884"/>
      <c r="H345" s="884">
        <v>99372.72683520001</v>
      </c>
      <c r="I345" s="884">
        <v>913.41000000000008</v>
      </c>
      <c r="J345" s="884"/>
      <c r="K345" s="884">
        <v>779.54063040000005</v>
      </c>
      <c r="L345" s="884"/>
      <c r="M345" s="884"/>
      <c r="N345" s="884">
        <v>0</v>
      </c>
      <c r="O345" s="884">
        <v>680.63114166666708</v>
      </c>
      <c r="P345" s="884"/>
      <c r="Q345" s="884">
        <v>566.52333076625041</v>
      </c>
      <c r="R345" s="885"/>
      <c r="S345" s="885"/>
      <c r="T345" s="885">
        <v>0</v>
      </c>
      <c r="U345" s="814"/>
      <c r="V345" s="814"/>
      <c r="W345" s="814"/>
      <c r="X345" s="814"/>
      <c r="Y345" s="814"/>
    </row>
    <row r="346" spans="1:25" x14ac:dyDescent="0.25">
      <c r="A346" s="925" t="s">
        <v>24</v>
      </c>
      <c r="B346" s="883" t="s">
        <v>285</v>
      </c>
      <c r="C346" s="884">
        <v>7648.9920000000002</v>
      </c>
      <c r="D346" s="884"/>
      <c r="E346" s="884">
        <v>6244.7135587200009</v>
      </c>
      <c r="F346" s="884">
        <v>23729.552000000003</v>
      </c>
      <c r="G346" s="884"/>
      <c r="H346" s="884">
        <v>30083.376843520004</v>
      </c>
      <c r="I346" s="884">
        <v>34359</v>
      </c>
      <c r="J346" s="884"/>
      <c r="K346" s="884">
        <v>45947.603519999997</v>
      </c>
      <c r="L346" s="884">
        <v>6724.5</v>
      </c>
      <c r="M346" s="884"/>
      <c r="N346" s="884">
        <v>23468.505000000001</v>
      </c>
      <c r="O346" s="884">
        <v>227839.64778432</v>
      </c>
      <c r="P346" s="884"/>
      <c r="Q346" s="884">
        <v>339225.89479311835</v>
      </c>
      <c r="R346" s="885"/>
      <c r="S346" s="885"/>
      <c r="T346" s="885">
        <v>0</v>
      </c>
      <c r="U346" s="814"/>
      <c r="V346" s="814"/>
      <c r="W346" s="814"/>
      <c r="X346" s="814"/>
      <c r="Y346" s="814"/>
    </row>
    <row r="347" spans="1:25" x14ac:dyDescent="0.25">
      <c r="A347" s="925" t="s">
        <v>134</v>
      </c>
      <c r="B347" s="883" t="s">
        <v>285</v>
      </c>
      <c r="C347" s="884">
        <v>108002.11200000001</v>
      </c>
      <c r="D347" s="884"/>
      <c r="E347" s="884">
        <v>87476.310614400005</v>
      </c>
      <c r="F347" s="884">
        <v>144899.69999999998</v>
      </c>
      <c r="G347" s="884"/>
      <c r="H347" s="884">
        <v>151796.92571999997</v>
      </c>
      <c r="I347" s="884">
        <v>65509.205999999998</v>
      </c>
      <c r="J347" s="884"/>
      <c r="K347" s="884">
        <v>93587.106783660012</v>
      </c>
      <c r="L347" s="884">
        <v>266.47499999999997</v>
      </c>
      <c r="M347" s="884"/>
      <c r="N347" s="884">
        <v>326.16539999999998</v>
      </c>
      <c r="O347" s="884">
        <v>16575.417988066598</v>
      </c>
      <c r="P347" s="884"/>
      <c r="Q347" s="884">
        <v>23611.682924000874</v>
      </c>
      <c r="R347" s="885"/>
      <c r="S347" s="885"/>
      <c r="T347" s="885">
        <v>0</v>
      </c>
      <c r="U347" s="814"/>
      <c r="V347" s="814"/>
      <c r="W347" s="814"/>
      <c r="X347" s="814"/>
      <c r="Y347" s="814"/>
    </row>
    <row r="348" spans="1:25" x14ac:dyDescent="0.25">
      <c r="A348" s="925" t="s">
        <v>161</v>
      </c>
      <c r="B348" s="883" t="s">
        <v>285</v>
      </c>
      <c r="C348" s="884">
        <v>119264.488</v>
      </c>
      <c r="D348" s="884"/>
      <c r="E348" s="884">
        <v>67128.592385948286</v>
      </c>
      <c r="F348" s="884">
        <v>30692.200000000004</v>
      </c>
      <c r="G348" s="884"/>
      <c r="H348" s="884">
        <v>28616.247114840004</v>
      </c>
      <c r="I348" s="884"/>
      <c r="J348" s="884"/>
      <c r="K348" s="884">
        <v>0</v>
      </c>
      <c r="L348" s="884"/>
      <c r="M348" s="884"/>
      <c r="N348" s="884">
        <v>0</v>
      </c>
      <c r="O348" s="884"/>
      <c r="P348" s="884"/>
      <c r="Q348" s="884">
        <v>0</v>
      </c>
      <c r="R348" s="885"/>
      <c r="S348" s="885"/>
      <c r="T348" s="885">
        <v>0</v>
      </c>
      <c r="U348" s="814"/>
      <c r="V348" s="814"/>
      <c r="W348" s="814"/>
      <c r="X348" s="814"/>
      <c r="Y348" s="814"/>
    </row>
    <row r="349" spans="1:25" x14ac:dyDescent="0.25">
      <c r="A349" s="925" t="s">
        <v>135</v>
      </c>
      <c r="B349" s="883" t="s">
        <v>285</v>
      </c>
      <c r="C349" s="884">
        <v>44758.5</v>
      </c>
      <c r="D349" s="884"/>
      <c r="E349" s="884">
        <v>26079.231496208104</v>
      </c>
      <c r="F349" s="884">
        <v>70191.9375</v>
      </c>
      <c r="G349" s="884"/>
      <c r="H349" s="884">
        <v>50007.891368145698</v>
      </c>
      <c r="I349" s="884">
        <v>10911.599999999999</v>
      </c>
      <c r="J349" s="884"/>
      <c r="K349" s="884">
        <v>13218.65136644718</v>
      </c>
      <c r="L349" s="884">
        <v>15564.419999999998</v>
      </c>
      <c r="M349" s="884"/>
      <c r="N349" s="884">
        <v>15034.799801650619</v>
      </c>
      <c r="O349" s="884"/>
      <c r="P349" s="884"/>
      <c r="Q349" s="884">
        <v>0</v>
      </c>
      <c r="R349" s="885"/>
      <c r="S349" s="885"/>
      <c r="T349" s="885">
        <v>0</v>
      </c>
      <c r="U349" s="814"/>
      <c r="V349" s="814"/>
      <c r="W349" s="814"/>
      <c r="X349" s="814"/>
      <c r="Y349" s="814"/>
    </row>
    <row r="350" spans="1:25" x14ac:dyDescent="0.25">
      <c r="A350" s="925" t="s">
        <v>136</v>
      </c>
      <c r="B350" s="883" t="s">
        <v>285</v>
      </c>
      <c r="C350" s="884">
        <v>26404</v>
      </c>
      <c r="D350" s="884"/>
      <c r="E350" s="884">
        <v>19563.975855556368</v>
      </c>
      <c r="F350" s="884">
        <v>72355.8</v>
      </c>
      <c r="G350" s="884"/>
      <c r="H350" s="884">
        <v>63484.968089840469</v>
      </c>
      <c r="I350" s="884">
        <v>12883.9</v>
      </c>
      <c r="J350" s="884"/>
      <c r="K350" s="884">
        <v>18870.028155501725</v>
      </c>
      <c r="L350" s="884">
        <v>40197.480000000003</v>
      </c>
      <c r="M350" s="884"/>
      <c r="N350" s="884">
        <v>65469.748820244109</v>
      </c>
      <c r="O350" s="884">
        <v>63081.460508733304</v>
      </c>
      <c r="P350" s="884"/>
      <c r="Q350" s="884">
        <v>49582.027959864376</v>
      </c>
      <c r="R350" s="885"/>
      <c r="S350" s="885"/>
      <c r="T350" s="885">
        <v>0</v>
      </c>
      <c r="U350" s="814"/>
      <c r="V350" s="814"/>
      <c r="W350" s="814"/>
      <c r="X350" s="814"/>
      <c r="Y350" s="814"/>
    </row>
    <row r="351" spans="1:25" x14ac:dyDescent="0.25">
      <c r="A351" s="925" t="s">
        <v>137</v>
      </c>
      <c r="B351" s="883" t="s">
        <v>285</v>
      </c>
      <c r="C351" s="884">
        <v>7247.0999999999995</v>
      </c>
      <c r="D351" s="884"/>
      <c r="E351" s="884">
        <v>4083.3575665125609</v>
      </c>
      <c r="F351" s="884">
        <v>59412.12</v>
      </c>
      <c r="G351" s="884"/>
      <c r="H351" s="884">
        <v>51300.595259444432</v>
      </c>
      <c r="I351" s="884">
        <v>38257.14</v>
      </c>
      <c r="J351" s="884"/>
      <c r="K351" s="884">
        <v>47241.794540368152</v>
      </c>
      <c r="L351" s="884">
        <v>6290.41</v>
      </c>
      <c r="M351" s="884"/>
      <c r="N351" s="884">
        <v>8353.8680105348612</v>
      </c>
      <c r="O351" s="884">
        <v>9559.1799333333038</v>
      </c>
      <c r="P351" s="884"/>
      <c r="Q351" s="884">
        <v>8780.5193854698337</v>
      </c>
      <c r="R351" s="885"/>
      <c r="S351" s="885"/>
      <c r="T351" s="885">
        <v>0</v>
      </c>
      <c r="U351" s="814"/>
      <c r="V351" s="814"/>
      <c r="W351" s="814"/>
      <c r="X351" s="814"/>
      <c r="Y351" s="814"/>
    </row>
    <row r="352" spans="1:25" x14ac:dyDescent="0.25">
      <c r="A352" s="925" t="s">
        <v>52</v>
      </c>
      <c r="B352" s="883" t="s">
        <v>285</v>
      </c>
      <c r="C352" s="884">
        <v>18979</v>
      </c>
      <c r="D352" s="884"/>
      <c r="E352" s="884">
        <v>13111.303346091487</v>
      </c>
      <c r="F352" s="884">
        <v>44811.600000000006</v>
      </c>
      <c r="G352" s="884"/>
      <c r="H352" s="884">
        <v>37978.935505595167</v>
      </c>
      <c r="I352" s="884">
        <v>11847</v>
      </c>
      <c r="J352" s="884"/>
      <c r="K352" s="884">
        <v>11489.310894851542</v>
      </c>
      <c r="L352" s="884">
        <v>4349</v>
      </c>
      <c r="M352" s="884"/>
      <c r="N352" s="884">
        <v>4807.0633944167894</v>
      </c>
      <c r="O352" s="884">
        <v>3667.9256666666697</v>
      </c>
      <c r="P352" s="884"/>
      <c r="Q352" s="884">
        <v>4886.2667904472037</v>
      </c>
      <c r="R352" s="885"/>
      <c r="S352" s="885"/>
      <c r="T352" s="885">
        <v>0</v>
      </c>
      <c r="U352" s="814"/>
      <c r="V352" s="814"/>
      <c r="W352" s="814"/>
      <c r="X352" s="814"/>
      <c r="Y352" s="814"/>
    </row>
    <row r="353" spans="1:25" x14ac:dyDescent="0.25">
      <c r="A353" s="925" t="s">
        <v>50</v>
      </c>
      <c r="B353" s="883" t="s">
        <v>285</v>
      </c>
      <c r="C353" s="884">
        <v>23346.524700000002</v>
      </c>
      <c r="D353" s="884"/>
      <c r="E353" s="884">
        <v>14174.583979825764</v>
      </c>
      <c r="F353" s="884">
        <v>58058.549999999996</v>
      </c>
      <c r="G353" s="884"/>
      <c r="H353" s="884">
        <v>42394.425252884823</v>
      </c>
      <c r="I353" s="884">
        <v>14482.439999999999</v>
      </c>
      <c r="J353" s="884"/>
      <c r="K353" s="884">
        <v>13629.170079722422</v>
      </c>
      <c r="L353" s="884">
        <v>15863.4</v>
      </c>
      <c r="M353" s="884"/>
      <c r="N353" s="884">
        <v>18699.396186514063</v>
      </c>
      <c r="O353" s="884"/>
      <c r="P353" s="884"/>
      <c r="Q353" s="884">
        <v>0</v>
      </c>
      <c r="R353" s="885"/>
      <c r="S353" s="885"/>
      <c r="T353" s="885">
        <v>0</v>
      </c>
      <c r="U353" s="814"/>
      <c r="V353" s="814"/>
      <c r="W353" s="814"/>
      <c r="X353" s="814"/>
      <c r="Y353" s="814"/>
    </row>
    <row r="354" spans="1:25" x14ac:dyDescent="0.25">
      <c r="A354" s="925" t="s">
        <v>163</v>
      </c>
      <c r="B354" s="883" t="s">
        <v>285</v>
      </c>
      <c r="C354" s="884">
        <v>24160.6211</v>
      </c>
      <c r="D354" s="884"/>
      <c r="E354" s="884">
        <v>17890.942489592202</v>
      </c>
      <c r="F354" s="884">
        <v>62394.640000000007</v>
      </c>
      <c r="G354" s="884"/>
      <c r="H354" s="884">
        <v>67157.392677082578</v>
      </c>
      <c r="I354" s="884">
        <v>20007.900000000001</v>
      </c>
      <c r="J354" s="884"/>
      <c r="K354" s="884">
        <v>20670.905592059073</v>
      </c>
      <c r="L354" s="884">
        <v>23514.748800000001</v>
      </c>
      <c r="M354" s="884"/>
      <c r="N354" s="884">
        <v>23995.968063382436</v>
      </c>
      <c r="O354" s="884"/>
      <c r="P354" s="884"/>
      <c r="Q354" s="884">
        <v>0</v>
      </c>
      <c r="R354" s="885"/>
      <c r="S354" s="885"/>
      <c r="T354" s="885">
        <v>0</v>
      </c>
      <c r="U354" s="814"/>
      <c r="V354" s="814"/>
      <c r="W354" s="814"/>
      <c r="X354" s="814"/>
      <c r="Y354" s="814"/>
    </row>
    <row r="355" spans="1:25" x14ac:dyDescent="0.25">
      <c r="A355" s="925" t="s">
        <v>27</v>
      </c>
      <c r="B355" s="883" t="s">
        <v>285</v>
      </c>
      <c r="C355" s="884">
        <v>27890</v>
      </c>
      <c r="D355" s="884"/>
      <c r="E355" s="884">
        <v>19158.16717572205</v>
      </c>
      <c r="F355" s="884">
        <v>39641.4</v>
      </c>
      <c r="G355" s="884"/>
      <c r="H355" s="884">
        <v>34185.068217963031</v>
      </c>
      <c r="I355" s="884">
        <v>7873.6</v>
      </c>
      <c r="J355" s="884"/>
      <c r="K355" s="884">
        <v>6654.0440968630201</v>
      </c>
      <c r="L355" s="884">
        <v>60041.659999999996</v>
      </c>
      <c r="M355" s="884"/>
      <c r="N355" s="884">
        <v>78055.633124390602</v>
      </c>
      <c r="O355" s="884">
        <v>6532.61924</v>
      </c>
      <c r="P355" s="884"/>
      <c r="Q355" s="884">
        <v>4726.6031591355504</v>
      </c>
      <c r="R355" s="885"/>
      <c r="S355" s="885"/>
      <c r="T355" s="885">
        <v>0</v>
      </c>
      <c r="U355" s="814"/>
      <c r="V355" s="814"/>
      <c r="W355" s="814"/>
      <c r="X355" s="814"/>
      <c r="Y355" s="814"/>
    </row>
  </sheetData>
  <autoFilter ref="A1:Y355" xr:uid="{D504164C-63FB-458C-A9E4-F6233F125D20}">
    <filterColumn colId="1">
      <filters>
        <filter val="2013/2014"/>
        <filter val="2014/2015"/>
        <filter val="2015/2016"/>
        <filter val="2016/2017"/>
        <filter val="2017/2018"/>
      </filters>
    </filterColumn>
    <filterColumn colId="2" showButton="0"/>
    <filterColumn colId="3" showButton="0"/>
    <filterColumn colId="5" showButton="0"/>
    <filterColumn colId="6" showButton="0"/>
    <filterColumn colId="8" showButton="0"/>
    <filterColumn colId="9" showButton="0"/>
    <filterColumn colId="11" showButton="0"/>
    <filterColumn colId="12" showButton="0"/>
    <filterColumn colId="14" showButton="0"/>
    <filterColumn colId="15" showButton="0"/>
    <filterColumn colId="17" showButton="0"/>
    <filterColumn colId="18" showButton="0"/>
    <filterColumn colId="20" showButton="0"/>
    <filterColumn colId="21" showButton="0"/>
    <filterColumn colId="23" showButton="0"/>
  </autoFilter>
  <mergeCells count="8">
    <mergeCell ref="R1:T1"/>
    <mergeCell ref="U1:W1"/>
    <mergeCell ref="X1:Y1"/>
    <mergeCell ref="C1:E1"/>
    <mergeCell ref="F1:H1"/>
    <mergeCell ref="I1:K1"/>
    <mergeCell ref="L1:N1"/>
    <mergeCell ref="O1:Q1"/>
  </mergeCells>
  <pageMargins left="0.7" right="0.7" top="0.75" bottom="0.75" header="0.3" footer="0.3"/>
  <pageSetup paperSize="9"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531CA1-3A03-4228-AEB1-F2AEB912A2B8}">
  <sheetPr filterMode="1"/>
  <dimension ref="A1:Y354"/>
  <sheetViews>
    <sheetView tabSelected="1" workbookViewId="0">
      <pane xSplit="2" ySplit="2" topLeftCell="P334" activePane="bottomRight" state="frozen"/>
      <selection pane="topRight" activeCell="C1" sqref="C1"/>
      <selection pane="bottomLeft" activeCell="A3" sqref="A3"/>
      <selection pane="bottomRight" sqref="A1:Y1 A265:Y354"/>
    </sheetView>
  </sheetViews>
  <sheetFormatPr baseColWidth="10" defaultRowHeight="15" x14ac:dyDescent="0.25"/>
  <cols>
    <col min="1" max="1" width="16.140625" style="886" bestFit="1" customWidth="1"/>
    <col min="2" max="2" width="10.140625" style="892" bestFit="1" customWidth="1"/>
    <col min="3" max="3" width="10.42578125" style="892" bestFit="1" customWidth="1"/>
    <col min="4" max="4" width="8.7109375" style="892" bestFit="1" customWidth="1"/>
    <col min="5" max="5" width="10.42578125" style="892" bestFit="1" customWidth="1"/>
    <col min="6" max="6" width="9.5703125" style="892" bestFit="1" customWidth="1"/>
    <col min="7" max="7" width="8.7109375" style="892" bestFit="1" customWidth="1"/>
    <col min="8" max="9" width="9.5703125" style="892" bestFit="1" customWidth="1"/>
    <col min="10" max="10" width="8.7109375" style="892" bestFit="1" customWidth="1"/>
    <col min="11" max="11" width="9.5703125" style="892" bestFit="1" customWidth="1"/>
    <col min="12" max="12" width="10.42578125" style="892" bestFit="1" customWidth="1"/>
    <col min="13" max="13" width="8.7109375" style="892" bestFit="1" customWidth="1"/>
    <col min="14" max="14" width="9.5703125" style="892" bestFit="1" customWidth="1"/>
    <col min="15" max="15" width="10.42578125" style="892" bestFit="1" customWidth="1"/>
    <col min="16" max="16" width="9.5703125" style="892" bestFit="1" customWidth="1"/>
    <col min="17" max="18" width="10.42578125" style="892" bestFit="1" customWidth="1"/>
    <col min="19" max="19" width="9.5703125" style="892" bestFit="1" customWidth="1"/>
    <col min="20" max="20" width="10.42578125" style="892" bestFit="1" customWidth="1"/>
    <col min="21" max="21" width="9.5703125" style="892" bestFit="1" customWidth="1"/>
    <col min="22" max="22" width="8.7109375" style="892" bestFit="1" customWidth="1"/>
    <col min="23" max="23" width="9.5703125" style="892" bestFit="1" customWidth="1"/>
    <col min="24" max="25" width="10.42578125" style="922" bestFit="1" customWidth="1"/>
    <col min="26" max="16384" width="11.42578125" style="892"/>
  </cols>
  <sheetData>
    <row r="1" spans="1:25" ht="15" customHeight="1" x14ac:dyDescent="0.25">
      <c r="A1" s="813" t="s">
        <v>2</v>
      </c>
      <c r="B1" s="882" t="s">
        <v>234</v>
      </c>
      <c r="C1" s="988" t="s">
        <v>37</v>
      </c>
      <c r="D1" s="988"/>
      <c r="E1" s="988"/>
      <c r="F1" s="988" t="s">
        <v>38</v>
      </c>
      <c r="G1" s="988"/>
      <c r="H1" s="988"/>
      <c r="I1" s="988" t="s">
        <v>39</v>
      </c>
      <c r="J1" s="988"/>
      <c r="K1" s="988"/>
      <c r="L1" s="988" t="s">
        <v>40</v>
      </c>
      <c r="M1" s="988"/>
      <c r="N1" s="988"/>
      <c r="O1" s="988" t="s">
        <v>41</v>
      </c>
      <c r="P1" s="988"/>
      <c r="Q1" s="988"/>
      <c r="R1" s="988" t="s">
        <v>42</v>
      </c>
      <c r="S1" s="988"/>
      <c r="T1" s="988"/>
      <c r="U1" s="988" t="s">
        <v>43</v>
      </c>
      <c r="V1" s="988"/>
      <c r="W1" s="988"/>
      <c r="X1" s="988" t="s">
        <v>44</v>
      </c>
      <c r="Y1" s="988"/>
    </row>
    <row r="2" spans="1:25" hidden="1" x14ac:dyDescent="0.25">
      <c r="A2" s="813" t="s">
        <v>11</v>
      </c>
      <c r="B2" s="882"/>
      <c r="C2" s="893" t="s">
        <v>286</v>
      </c>
      <c r="D2" s="893" t="s">
        <v>287</v>
      </c>
      <c r="E2" s="893" t="s">
        <v>288</v>
      </c>
      <c r="F2" s="893" t="s">
        <v>286</v>
      </c>
      <c r="G2" s="893" t="s">
        <v>287</v>
      </c>
      <c r="H2" s="893" t="s">
        <v>288</v>
      </c>
      <c r="I2" s="893" t="s">
        <v>286</v>
      </c>
      <c r="J2" s="893" t="s">
        <v>287</v>
      </c>
      <c r="K2" s="893" t="s">
        <v>288</v>
      </c>
      <c r="L2" s="893" t="s">
        <v>286</v>
      </c>
      <c r="M2" s="893" t="s">
        <v>287</v>
      </c>
      <c r="N2" s="893" t="s">
        <v>288</v>
      </c>
      <c r="O2" s="893" t="s">
        <v>286</v>
      </c>
      <c r="P2" s="893" t="s">
        <v>287</v>
      </c>
      <c r="Q2" s="893" t="s">
        <v>288</v>
      </c>
      <c r="R2" s="893" t="s">
        <v>286</v>
      </c>
      <c r="S2" s="893" t="s">
        <v>287</v>
      </c>
      <c r="T2" s="893" t="s">
        <v>288</v>
      </c>
      <c r="U2" s="893" t="s">
        <v>286</v>
      </c>
      <c r="V2" s="893" t="s">
        <v>287</v>
      </c>
      <c r="W2" s="893" t="s">
        <v>288</v>
      </c>
      <c r="X2" s="893" t="s">
        <v>286</v>
      </c>
      <c r="Y2" s="893" t="s">
        <v>288</v>
      </c>
    </row>
    <row r="3" spans="1:25" hidden="1" x14ac:dyDescent="0.25">
      <c r="A3" s="813" t="s">
        <v>15</v>
      </c>
      <c r="B3" s="882" t="s">
        <v>235</v>
      </c>
      <c r="C3" s="848">
        <v>3600</v>
      </c>
      <c r="D3" s="848">
        <v>436</v>
      </c>
      <c r="E3" s="848">
        <v>1570</v>
      </c>
      <c r="F3" s="848">
        <v>14000</v>
      </c>
      <c r="G3" s="848">
        <v>13</v>
      </c>
      <c r="H3" s="848">
        <v>182</v>
      </c>
      <c r="I3" s="848" t="s">
        <v>18</v>
      </c>
      <c r="J3" s="848" t="s">
        <v>18</v>
      </c>
      <c r="K3" s="848" t="s">
        <v>18</v>
      </c>
      <c r="L3" s="848">
        <v>6900</v>
      </c>
      <c r="M3" s="848">
        <v>184</v>
      </c>
      <c r="N3" s="848">
        <v>1270</v>
      </c>
      <c r="O3" s="848" t="s">
        <v>18</v>
      </c>
      <c r="P3" s="848" t="s">
        <v>18</v>
      </c>
      <c r="Q3" s="848" t="s">
        <v>18</v>
      </c>
      <c r="R3" s="848" t="s">
        <v>18</v>
      </c>
      <c r="S3" s="848" t="s">
        <v>18</v>
      </c>
      <c r="T3" s="848" t="s">
        <v>18</v>
      </c>
      <c r="U3" s="848" t="s">
        <v>18</v>
      </c>
      <c r="V3" s="848" t="s">
        <v>18</v>
      </c>
      <c r="W3" s="848" t="s">
        <v>18</v>
      </c>
      <c r="X3" s="882">
        <v>24500</v>
      </c>
      <c r="Y3" s="882">
        <v>3022</v>
      </c>
    </row>
    <row r="4" spans="1:25" hidden="1" x14ac:dyDescent="0.25">
      <c r="A4" s="813" t="s">
        <v>17</v>
      </c>
      <c r="B4" s="882" t="s">
        <v>235</v>
      </c>
      <c r="C4" s="848">
        <v>2245</v>
      </c>
      <c r="D4" s="848">
        <v>116</v>
      </c>
      <c r="E4" s="848">
        <v>260</v>
      </c>
      <c r="F4" s="848">
        <v>1200</v>
      </c>
      <c r="G4" s="848">
        <v>150</v>
      </c>
      <c r="H4" s="848">
        <v>180</v>
      </c>
      <c r="I4" s="848" t="s">
        <v>18</v>
      </c>
      <c r="J4" s="848" t="s">
        <v>18</v>
      </c>
      <c r="K4" s="848" t="s">
        <v>18</v>
      </c>
      <c r="L4" s="848" t="s">
        <v>18</v>
      </c>
      <c r="M4" s="848" t="s">
        <v>18</v>
      </c>
      <c r="N4" s="848" t="s">
        <v>18</v>
      </c>
      <c r="O4" s="848" t="s">
        <v>18</v>
      </c>
      <c r="P4" s="848" t="s">
        <v>18</v>
      </c>
      <c r="Q4" s="848" t="s">
        <v>18</v>
      </c>
      <c r="R4" s="848" t="s">
        <v>18</v>
      </c>
      <c r="S4" s="848" t="s">
        <v>18</v>
      </c>
      <c r="T4" s="848" t="s">
        <v>18</v>
      </c>
      <c r="U4" s="848" t="s">
        <v>18</v>
      </c>
      <c r="V4" s="848" t="s">
        <v>18</v>
      </c>
      <c r="W4" s="848" t="s">
        <v>18</v>
      </c>
      <c r="X4" s="848" t="s">
        <v>18</v>
      </c>
      <c r="Y4" s="848" t="s">
        <v>18</v>
      </c>
    </row>
    <row r="5" spans="1:25" hidden="1" x14ac:dyDescent="0.25">
      <c r="A5" s="812" t="s">
        <v>103</v>
      </c>
      <c r="B5" s="882" t="s">
        <v>235</v>
      </c>
      <c r="C5" s="848">
        <v>41046</v>
      </c>
      <c r="D5" s="848">
        <v>311</v>
      </c>
      <c r="E5" s="848">
        <v>12765</v>
      </c>
      <c r="F5" s="848">
        <v>694</v>
      </c>
      <c r="G5" s="848">
        <v>250</v>
      </c>
      <c r="H5" s="848">
        <v>178</v>
      </c>
      <c r="I5" s="848" t="s">
        <v>18</v>
      </c>
      <c r="J5" s="848" t="s">
        <v>18</v>
      </c>
      <c r="K5" s="848" t="s">
        <v>18</v>
      </c>
      <c r="L5" s="848">
        <v>13179</v>
      </c>
      <c r="M5" s="848">
        <v>405</v>
      </c>
      <c r="N5" s="848">
        <v>5337</v>
      </c>
      <c r="O5" s="848">
        <v>10350</v>
      </c>
      <c r="P5" s="848">
        <v>14137</v>
      </c>
      <c r="Q5" s="848">
        <v>146318</v>
      </c>
      <c r="R5" s="882">
        <v>22425</v>
      </c>
      <c r="S5" s="882">
        <v>25675</v>
      </c>
      <c r="T5" s="882">
        <v>575762</v>
      </c>
      <c r="U5" s="848" t="s">
        <v>18</v>
      </c>
      <c r="V5" s="848" t="s">
        <v>18</v>
      </c>
      <c r="W5" s="848" t="s">
        <v>18</v>
      </c>
      <c r="X5" s="882">
        <v>87694</v>
      </c>
      <c r="Y5" s="882">
        <v>740360</v>
      </c>
    </row>
    <row r="6" spans="1:25" hidden="1" x14ac:dyDescent="0.25">
      <c r="A6" s="813" t="s">
        <v>20</v>
      </c>
      <c r="B6" s="882" t="s">
        <v>235</v>
      </c>
      <c r="C6" s="848">
        <v>10205</v>
      </c>
      <c r="D6" s="848">
        <v>914</v>
      </c>
      <c r="E6" s="848">
        <v>9327</v>
      </c>
      <c r="F6" s="848">
        <v>10083</v>
      </c>
      <c r="G6" s="848">
        <v>443</v>
      </c>
      <c r="H6" s="848">
        <v>4467</v>
      </c>
      <c r="I6" s="848" t="s">
        <v>18</v>
      </c>
      <c r="J6" s="848" t="s">
        <v>18</v>
      </c>
      <c r="K6" s="848" t="s">
        <v>18</v>
      </c>
      <c r="L6" s="848">
        <v>520</v>
      </c>
      <c r="M6" s="848">
        <v>362</v>
      </c>
      <c r="N6" s="848">
        <v>188</v>
      </c>
      <c r="O6" s="848" t="s">
        <v>18</v>
      </c>
      <c r="P6" s="848" t="s">
        <v>18</v>
      </c>
      <c r="Q6" s="848" t="s">
        <v>18</v>
      </c>
      <c r="R6" s="848" t="s">
        <v>18</v>
      </c>
      <c r="S6" s="848" t="s">
        <v>18</v>
      </c>
      <c r="T6" s="848" t="s">
        <v>18</v>
      </c>
      <c r="U6" s="848" t="s">
        <v>18</v>
      </c>
      <c r="V6" s="848" t="s">
        <v>18</v>
      </c>
      <c r="W6" s="848" t="s">
        <v>18</v>
      </c>
      <c r="X6" s="882">
        <v>20808</v>
      </c>
      <c r="Y6" s="882">
        <v>13982</v>
      </c>
    </row>
    <row r="7" spans="1:25" hidden="1" x14ac:dyDescent="0.25">
      <c r="A7" s="813" t="s">
        <v>22</v>
      </c>
      <c r="B7" s="882" t="s">
        <v>235</v>
      </c>
      <c r="C7" s="848">
        <v>66</v>
      </c>
      <c r="D7" s="848">
        <v>1515</v>
      </c>
      <c r="E7" s="848">
        <v>100</v>
      </c>
      <c r="F7" s="848" t="s">
        <v>18</v>
      </c>
      <c r="G7" s="848" t="s">
        <v>18</v>
      </c>
      <c r="H7" s="848" t="s">
        <v>18</v>
      </c>
      <c r="I7" s="848" t="s">
        <v>18</v>
      </c>
      <c r="J7" s="848" t="s">
        <v>18</v>
      </c>
      <c r="K7" s="848" t="s">
        <v>18</v>
      </c>
      <c r="L7" s="848">
        <v>893</v>
      </c>
      <c r="M7" s="848">
        <v>700</v>
      </c>
      <c r="N7" s="848">
        <v>625</v>
      </c>
      <c r="O7" s="848">
        <v>154</v>
      </c>
      <c r="P7" s="848">
        <v>14000</v>
      </c>
      <c r="Q7" s="848">
        <v>2156</v>
      </c>
      <c r="R7" s="848" t="s">
        <v>18</v>
      </c>
      <c r="S7" s="848" t="s">
        <v>18</v>
      </c>
      <c r="T7" s="848" t="s">
        <v>18</v>
      </c>
      <c r="U7" s="848" t="s">
        <v>18</v>
      </c>
      <c r="V7" s="848" t="s">
        <v>18</v>
      </c>
      <c r="W7" s="848" t="s">
        <v>18</v>
      </c>
      <c r="X7" s="882">
        <v>11113</v>
      </c>
      <c r="Y7" s="882">
        <v>2881</v>
      </c>
    </row>
    <row r="8" spans="1:25" hidden="1" x14ac:dyDescent="0.25">
      <c r="A8" s="813" t="s">
        <v>23</v>
      </c>
      <c r="B8" s="882" t="s">
        <v>235</v>
      </c>
      <c r="C8" s="848">
        <v>42080</v>
      </c>
      <c r="D8" s="848">
        <v>1409</v>
      </c>
      <c r="E8" s="848">
        <v>59291</v>
      </c>
      <c r="F8" s="848">
        <v>2750</v>
      </c>
      <c r="G8" s="848">
        <v>386</v>
      </c>
      <c r="H8" s="848">
        <v>1062</v>
      </c>
      <c r="I8" s="848" t="s">
        <v>18</v>
      </c>
      <c r="J8" s="848" t="s">
        <v>18</v>
      </c>
      <c r="K8" s="848" t="s">
        <v>18</v>
      </c>
      <c r="L8" s="848">
        <v>1270</v>
      </c>
      <c r="M8" s="848">
        <v>609</v>
      </c>
      <c r="N8" s="848">
        <v>773</v>
      </c>
      <c r="O8" s="848" t="s">
        <v>18</v>
      </c>
      <c r="P8" s="848" t="s">
        <v>18</v>
      </c>
      <c r="Q8" s="848" t="s">
        <v>18</v>
      </c>
      <c r="R8" s="848" t="s">
        <v>18</v>
      </c>
      <c r="S8" s="848" t="s">
        <v>18</v>
      </c>
      <c r="T8" s="848" t="s">
        <v>18</v>
      </c>
      <c r="U8" s="848" t="s">
        <v>18</v>
      </c>
      <c r="V8" s="848" t="s">
        <v>18</v>
      </c>
      <c r="W8" s="848" t="s">
        <v>18</v>
      </c>
      <c r="X8" s="882">
        <v>46100</v>
      </c>
      <c r="Y8" s="882">
        <v>61126</v>
      </c>
    </row>
    <row r="9" spans="1:25" hidden="1" x14ac:dyDescent="0.25">
      <c r="A9" s="813" t="s">
        <v>24</v>
      </c>
      <c r="B9" s="882" t="s">
        <v>235</v>
      </c>
      <c r="C9" s="848">
        <v>4615</v>
      </c>
      <c r="D9" s="848">
        <v>704</v>
      </c>
      <c r="E9" s="848">
        <v>3249</v>
      </c>
      <c r="F9" s="848">
        <v>880</v>
      </c>
      <c r="G9" s="848">
        <v>259</v>
      </c>
      <c r="H9" s="848">
        <v>228</v>
      </c>
      <c r="I9" s="848" t="s">
        <v>18</v>
      </c>
      <c r="J9" s="848" t="s">
        <v>18</v>
      </c>
      <c r="K9" s="848" t="s">
        <v>18</v>
      </c>
      <c r="L9" s="848">
        <v>409</v>
      </c>
      <c r="M9" s="848">
        <v>442</v>
      </c>
      <c r="N9" s="848">
        <v>181</v>
      </c>
      <c r="O9" s="848" t="s">
        <v>18</v>
      </c>
      <c r="P9" s="848" t="s">
        <v>18</v>
      </c>
      <c r="Q9" s="848" t="s">
        <v>18</v>
      </c>
      <c r="R9" s="848" t="s">
        <v>18</v>
      </c>
      <c r="S9" s="848" t="s">
        <v>18</v>
      </c>
      <c r="T9" s="848" t="s">
        <v>18</v>
      </c>
      <c r="U9" s="848" t="s">
        <v>18</v>
      </c>
      <c r="V9" s="848" t="s">
        <v>18</v>
      </c>
      <c r="W9" s="848" t="s">
        <v>18</v>
      </c>
      <c r="X9" s="882">
        <v>5904</v>
      </c>
      <c r="Y9" s="882">
        <v>3658</v>
      </c>
    </row>
    <row r="10" spans="1:25" hidden="1" x14ac:dyDescent="0.25">
      <c r="A10" s="812" t="s">
        <v>26</v>
      </c>
      <c r="B10" s="882" t="s">
        <v>235</v>
      </c>
      <c r="C10" s="848">
        <v>35386</v>
      </c>
      <c r="D10" s="848">
        <v>1028</v>
      </c>
      <c r="E10" s="848">
        <v>36377</v>
      </c>
      <c r="F10" s="848">
        <v>1022</v>
      </c>
      <c r="G10" s="848">
        <v>292</v>
      </c>
      <c r="H10" s="848">
        <v>298</v>
      </c>
      <c r="I10" s="848">
        <v>4604</v>
      </c>
      <c r="J10" s="848">
        <v>1139</v>
      </c>
      <c r="K10" s="848">
        <v>5244</v>
      </c>
      <c r="L10" s="848">
        <v>665</v>
      </c>
      <c r="M10" s="848">
        <v>734</v>
      </c>
      <c r="N10" s="848">
        <v>488</v>
      </c>
      <c r="O10" s="848">
        <v>73</v>
      </c>
      <c r="P10" s="848">
        <v>14000</v>
      </c>
      <c r="Q10" s="848">
        <v>1088</v>
      </c>
      <c r="R10" s="848" t="s">
        <v>18</v>
      </c>
      <c r="S10" s="848" t="s">
        <v>18</v>
      </c>
      <c r="T10" s="848" t="s">
        <v>18</v>
      </c>
      <c r="U10" s="882">
        <v>4436</v>
      </c>
      <c r="V10" s="882">
        <v>1899</v>
      </c>
      <c r="W10" s="882">
        <v>8424</v>
      </c>
      <c r="X10" s="882">
        <v>46186</v>
      </c>
      <c r="Y10" s="882">
        <v>51919</v>
      </c>
    </row>
    <row r="11" spans="1:25" hidden="1" x14ac:dyDescent="0.25">
      <c r="A11" s="813" t="s">
        <v>27</v>
      </c>
      <c r="B11" s="882" t="s">
        <v>235</v>
      </c>
      <c r="C11" s="848">
        <v>32075</v>
      </c>
      <c r="D11" s="848">
        <v>968</v>
      </c>
      <c r="E11" s="848">
        <v>31049</v>
      </c>
      <c r="F11" s="848">
        <v>1936</v>
      </c>
      <c r="G11" s="848">
        <v>220</v>
      </c>
      <c r="H11" s="848">
        <v>426</v>
      </c>
      <c r="I11" s="848">
        <v>7495</v>
      </c>
      <c r="J11" s="848">
        <v>667</v>
      </c>
      <c r="K11" s="848">
        <v>4999</v>
      </c>
      <c r="L11" s="848">
        <v>42987</v>
      </c>
      <c r="M11" s="848">
        <v>620</v>
      </c>
      <c r="N11" s="848">
        <v>2664</v>
      </c>
      <c r="O11" s="848">
        <v>455</v>
      </c>
      <c r="P11" s="848">
        <v>12000</v>
      </c>
      <c r="Q11" s="848">
        <v>5460</v>
      </c>
      <c r="R11" s="848" t="s">
        <v>18</v>
      </c>
      <c r="S11" s="848" t="s">
        <v>18</v>
      </c>
      <c r="T11" s="848" t="s">
        <v>18</v>
      </c>
      <c r="U11" s="848" t="s">
        <v>18</v>
      </c>
      <c r="V11" s="848" t="s">
        <v>18</v>
      </c>
      <c r="W11" s="848" t="s">
        <v>18</v>
      </c>
      <c r="X11" s="882">
        <v>46258</v>
      </c>
      <c r="Y11" s="882">
        <v>44598</v>
      </c>
    </row>
    <row r="12" spans="1:25" hidden="1" x14ac:dyDescent="0.25">
      <c r="A12" s="812" t="s">
        <v>50</v>
      </c>
      <c r="B12" s="882" t="s">
        <v>235</v>
      </c>
      <c r="C12" s="848">
        <v>59970</v>
      </c>
      <c r="D12" s="848">
        <v>1003</v>
      </c>
      <c r="E12" s="848">
        <v>60150</v>
      </c>
      <c r="F12" s="848">
        <v>8639</v>
      </c>
      <c r="G12" s="848">
        <v>267</v>
      </c>
      <c r="H12" s="848">
        <v>2307</v>
      </c>
      <c r="I12" s="848">
        <v>1147</v>
      </c>
      <c r="J12" s="848">
        <v>852</v>
      </c>
      <c r="K12" s="848">
        <v>977</v>
      </c>
      <c r="L12" s="848">
        <v>2880</v>
      </c>
      <c r="M12" s="848">
        <v>666</v>
      </c>
      <c r="N12" s="848">
        <v>1918</v>
      </c>
      <c r="O12" s="848">
        <v>1363</v>
      </c>
      <c r="P12" s="848">
        <v>13800</v>
      </c>
      <c r="Q12" s="848">
        <v>18809</v>
      </c>
      <c r="R12" s="848" t="s">
        <v>18</v>
      </c>
      <c r="S12" s="848" t="s">
        <v>18</v>
      </c>
      <c r="T12" s="848" t="s">
        <v>18</v>
      </c>
      <c r="U12" s="848" t="s">
        <v>18</v>
      </c>
      <c r="V12" s="848" t="s">
        <v>18</v>
      </c>
      <c r="W12" s="848" t="s">
        <v>18</v>
      </c>
      <c r="X12" s="882">
        <v>73999</v>
      </c>
      <c r="Y12" s="882">
        <v>84161</v>
      </c>
    </row>
    <row r="13" spans="1:25" hidden="1" x14ac:dyDescent="0.25">
      <c r="A13" s="812" t="s">
        <v>163</v>
      </c>
      <c r="B13" s="882" t="s">
        <v>235</v>
      </c>
      <c r="C13" s="848">
        <v>30103</v>
      </c>
      <c r="D13" s="848">
        <v>585</v>
      </c>
      <c r="E13" s="848">
        <v>17610</v>
      </c>
      <c r="F13" s="848">
        <v>3335</v>
      </c>
      <c r="G13" s="848">
        <v>260</v>
      </c>
      <c r="H13" s="848">
        <v>867</v>
      </c>
      <c r="I13" s="848">
        <v>1937</v>
      </c>
      <c r="J13" s="848">
        <v>1086</v>
      </c>
      <c r="K13" s="848">
        <v>2104</v>
      </c>
      <c r="L13" s="848">
        <v>3148</v>
      </c>
      <c r="M13" s="848">
        <v>600</v>
      </c>
      <c r="N13" s="848">
        <v>1889</v>
      </c>
      <c r="O13" s="848">
        <v>1466</v>
      </c>
      <c r="P13" s="848">
        <v>14300</v>
      </c>
      <c r="Q13" s="848">
        <v>20964</v>
      </c>
      <c r="R13" s="848" t="s">
        <v>18</v>
      </c>
      <c r="S13" s="848" t="s">
        <v>18</v>
      </c>
      <c r="T13" s="848" t="s">
        <v>18</v>
      </c>
      <c r="U13" s="848" t="s">
        <v>18</v>
      </c>
      <c r="V13" s="848" t="s">
        <v>18</v>
      </c>
      <c r="W13" s="848" t="s">
        <v>18</v>
      </c>
      <c r="X13" s="882">
        <v>39989</v>
      </c>
      <c r="Y13" s="882">
        <v>43434</v>
      </c>
    </row>
    <row r="14" spans="1:25" hidden="1" x14ac:dyDescent="0.25">
      <c r="A14" s="812" t="s">
        <v>52</v>
      </c>
      <c r="B14" s="882" t="s">
        <v>235</v>
      </c>
      <c r="C14" s="848">
        <v>57282</v>
      </c>
      <c r="D14" s="848">
        <v>1062</v>
      </c>
      <c r="E14" s="848">
        <v>60833</v>
      </c>
      <c r="F14" s="848">
        <v>901</v>
      </c>
      <c r="G14" s="848">
        <v>275</v>
      </c>
      <c r="H14" s="848">
        <v>248</v>
      </c>
      <c r="I14" s="848">
        <v>7606</v>
      </c>
      <c r="J14" s="848">
        <v>793</v>
      </c>
      <c r="K14" s="848">
        <v>6032</v>
      </c>
      <c r="L14" s="848">
        <v>9736</v>
      </c>
      <c r="M14" s="848">
        <v>580</v>
      </c>
      <c r="N14" s="848">
        <v>5647</v>
      </c>
      <c r="O14" s="848">
        <v>4676</v>
      </c>
      <c r="P14" s="848">
        <v>15600</v>
      </c>
      <c r="Q14" s="848">
        <v>72946</v>
      </c>
      <c r="R14" s="848" t="s">
        <v>18</v>
      </c>
      <c r="S14" s="848" t="s">
        <v>18</v>
      </c>
      <c r="T14" s="848" t="s">
        <v>18</v>
      </c>
      <c r="U14" s="848" t="s">
        <v>18</v>
      </c>
      <c r="V14" s="848" t="s">
        <v>18</v>
      </c>
      <c r="W14" s="848" t="s">
        <v>18</v>
      </c>
      <c r="X14" s="882">
        <v>80201</v>
      </c>
      <c r="Y14" s="882">
        <v>145706</v>
      </c>
    </row>
    <row r="15" spans="1:25" hidden="1" x14ac:dyDescent="0.25">
      <c r="A15" s="813" t="s">
        <v>15</v>
      </c>
      <c r="B15" s="894" t="s">
        <v>284</v>
      </c>
      <c r="C15" s="882">
        <v>11710</v>
      </c>
      <c r="D15" s="882">
        <v>247</v>
      </c>
      <c r="E15" s="882">
        <v>2892</v>
      </c>
      <c r="F15" s="882">
        <v>300</v>
      </c>
      <c r="G15" s="882">
        <v>120</v>
      </c>
      <c r="H15" s="882">
        <v>36</v>
      </c>
      <c r="I15" s="848" t="s">
        <v>18</v>
      </c>
      <c r="J15" s="848" t="s">
        <v>18</v>
      </c>
      <c r="K15" s="848" t="s">
        <v>18</v>
      </c>
      <c r="L15" s="882">
        <v>6900</v>
      </c>
      <c r="M15" s="882">
        <v>184</v>
      </c>
      <c r="N15" s="882">
        <v>1270</v>
      </c>
      <c r="O15" s="848" t="s">
        <v>18</v>
      </c>
      <c r="P15" s="848" t="s">
        <v>18</v>
      </c>
      <c r="Q15" s="848" t="s">
        <v>18</v>
      </c>
      <c r="R15" s="848" t="s">
        <v>18</v>
      </c>
      <c r="S15" s="848" t="s">
        <v>18</v>
      </c>
      <c r="T15" s="848" t="s">
        <v>18</v>
      </c>
      <c r="U15" s="848" t="s">
        <v>18</v>
      </c>
      <c r="V15" s="848" t="s">
        <v>18</v>
      </c>
      <c r="W15" s="848" t="s">
        <v>18</v>
      </c>
      <c r="X15" s="882">
        <v>18910</v>
      </c>
      <c r="Y15" s="882">
        <v>4198</v>
      </c>
    </row>
    <row r="16" spans="1:25" hidden="1" x14ac:dyDescent="0.25">
      <c r="A16" s="812" t="s">
        <v>89</v>
      </c>
      <c r="B16" s="894" t="s">
        <v>284</v>
      </c>
      <c r="C16" s="848"/>
      <c r="D16" s="848"/>
      <c r="E16" s="848"/>
      <c r="F16" s="848"/>
      <c r="G16" s="848"/>
      <c r="H16" s="848"/>
      <c r="I16" s="848"/>
      <c r="J16" s="848"/>
      <c r="K16" s="848"/>
      <c r="L16" s="848"/>
      <c r="M16" s="848"/>
      <c r="N16" s="848"/>
      <c r="O16" s="848"/>
      <c r="P16" s="848"/>
      <c r="Q16" s="848"/>
      <c r="R16" s="848"/>
      <c r="S16" s="848"/>
      <c r="T16" s="848"/>
      <c r="U16" s="848"/>
      <c r="V16" s="848"/>
      <c r="W16" s="848"/>
      <c r="X16" s="848"/>
      <c r="Y16" s="848"/>
    </row>
    <row r="17" spans="1:25" hidden="1" x14ac:dyDescent="0.25">
      <c r="A17" s="813" t="s">
        <v>17</v>
      </c>
      <c r="B17" s="894" t="s">
        <v>284</v>
      </c>
      <c r="C17" s="882">
        <v>1290</v>
      </c>
      <c r="D17" s="882">
        <v>90</v>
      </c>
      <c r="E17" s="882">
        <v>116</v>
      </c>
      <c r="F17" s="848" t="s">
        <v>18</v>
      </c>
      <c r="G17" s="848" t="s">
        <v>18</v>
      </c>
      <c r="H17" s="848" t="s">
        <v>18</v>
      </c>
      <c r="I17" s="848" t="s">
        <v>18</v>
      </c>
      <c r="J17" s="848" t="s">
        <v>18</v>
      </c>
      <c r="K17" s="848" t="s">
        <v>18</v>
      </c>
      <c r="L17" s="848" t="s">
        <v>18</v>
      </c>
      <c r="M17" s="848" t="s">
        <v>18</v>
      </c>
      <c r="N17" s="848" t="s">
        <v>18</v>
      </c>
      <c r="O17" s="848" t="s">
        <v>18</v>
      </c>
      <c r="P17" s="848" t="s">
        <v>18</v>
      </c>
      <c r="Q17" s="848" t="s">
        <v>18</v>
      </c>
      <c r="R17" s="848" t="s">
        <v>18</v>
      </c>
      <c r="S17" s="848" t="s">
        <v>18</v>
      </c>
      <c r="T17" s="848" t="s">
        <v>18</v>
      </c>
      <c r="U17" s="848" t="s">
        <v>18</v>
      </c>
      <c r="V17" s="848" t="s">
        <v>18</v>
      </c>
      <c r="W17" s="848" t="s">
        <v>18</v>
      </c>
      <c r="X17" s="882">
        <v>1290</v>
      </c>
      <c r="Y17" s="882">
        <v>116</v>
      </c>
    </row>
    <row r="18" spans="1:25" hidden="1" x14ac:dyDescent="0.25">
      <c r="A18" s="812" t="s">
        <v>103</v>
      </c>
      <c r="B18" s="894" t="s">
        <v>284</v>
      </c>
      <c r="C18" s="882">
        <v>40450</v>
      </c>
      <c r="D18" s="882">
        <v>500</v>
      </c>
      <c r="E18" s="882">
        <v>20225</v>
      </c>
      <c r="F18" s="882">
        <v>400</v>
      </c>
      <c r="G18" s="882">
        <v>270</v>
      </c>
      <c r="H18" s="882">
        <v>108</v>
      </c>
      <c r="I18" s="848" t="s">
        <v>18</v>
      </c>
      <c r="J18" s="848" t="s">
        <v>18</v>
      </c>
      <c r="K18" s="848" t="s">
        <v>18</v>
      </c>
      <c r="L18" s="882">
        <v>13179</v>
      </c>
      <c r="M18" s="882">
        <v>405</v>
      </c>
      <c r="N18" s="882">
        <v>5337</v>
      </c>
      <c r="O18" s="882">
        <v>10350</v>
      </c>
      <c r="P18" s="882">
        <v>14137</v>
      </c>
      <c r="Q18" s="882">
        <v>146318</v>
      </c>
      <c r="R18" s="848">
        <v>22425</v>
      </c>
      <c r="S18" s="848">
        <v>25675</v>
      </c>
      <c r="T18" s="848">
        <v>575762</v>
      </c>
      <c r="U18" s="848" t="s">
        <v>18</v>
      </c>
      <c r="V18" s="848" t="s">
        <v>18</v>
      </c>
      <c r="W18" s="848" t="s">
        <v>18</v>
      </c>
      <c r="X18" s="882">
        <v>102491</v>
      </c>
      <c r="Y18" s="882">
        <v>747751</v>
      </c>
    </row>
    <row r="19" spans="1:25" hidden="1" x14ac:dyDescent="0.25">
      <c r="A19" s="813" t="s">
        <v>20</v>
      </c>
      <c r="B19" s="894" t="s">
        <v>284</v>
      </c>
      <c r="C19" s="882">
        <v>9500</v>
      </c>
      <c r="D19" s="882">
        <v>750</v>
      </c>
      <c r="E19" s="882">
        <v>7125</v>
      </c>
      <c r="F19" s="882">
        <v>8000</v>
      </c>
      <c r="G19" s="882">
        <v>500</v>
      </c>
      <c r="H19" s="882">
        <v>4000</v>
      </c>
      <c r="I19" s="848" t="s">
        <v>18</v>
      </c>
      <c r="J19" s="848" t="s">
        <v>18</v>
      </c>
      <c r="K19" s="848" t="s">
        <v>18</v>
      </c>
      <c r="L19" s="882">
        <v>520</v>
      </c>
      <c r="M19" s="882">
        <v>362</v>
      </c>
      <c r="N19" s="882">
        <v>210</v>
      </c>
      <c r="O19" s="848" t="s">
        <v>18</v>
      </c>
      <c r="P19" s="848" t="s">
        <v>18</v>
      </c>
      <c r="Q19" s="848" t="s">
        <v>18</v>
      </c>
      <c r="R19" s="848" t="s">
        <v>18</v>
      </c>
      <c r="S19" s="848" t="s">
        <v>18</v>
      </c>
      <c r="T19" s="848" t="s">
        <v>18</v>
      </c>
      <c r="U19" s="848" t="s">
        <v>18</v>
      </c>
      <c r="V19" s="848" t="s">
        <v>18</v>
      </c>
      <c r="W19" s="848" t="s">
        <v>18</v>
      </c>
      <c r="X19" s="882">
        <v>18020</v>
      </c>
      <c r="Y19" s="882">
        <v>11335</v>
      </c>
    </row>
    <row r="20" spans="1:25" hidden="1" x14ac:dyDescent="0.25">
      <c r="A20" s="813" t="s">
        <v>21</v>
      </c>
      <c r="B20" s="894" t="s">
        <v>284</v>
      </c>
      <c r="C20" s="848" t="s">
        <v>18</v>
      </c>
      <c r="D20" s="848" t="s">
        <v>18</v>
      </c>
      <c r="E20" s="848" t="s">
        <v>18</v>
      </c>
      <c r="F20" s="848" t="s">
        <v>18</v>
      </c>
      <c r="G20" s="848" t="s">
        <v>18</v>
      </c>
      <c r="H20" s="848" t="s">
        <v>18</v>
      </c>
      <c r="I20" s="848" t="s">
        <v>18</v>
      </c>
      <c r="J20" s="848" t="s">
        <v>18</v>
      </c>
      <c r="K20" s="848" t="s">
        <v>18</v>
      </c>
      <c r="L20" s="848" t="s">
        <v>18</v>
      </c>
      <c r="M20" s="848" t="s">
        <v>18</v>
      </c>
      <c r="N20" s="848" t="s">
        <v>18</v>
      </c>
      <c r="O20" s="848" t="s">
        <v>18</v>
      </c>
      <c r="P20" s="848" t="s">
        <v>18</v>
      </c>
      <c r="Q20" s="848" t="s">
        <v>18</v>
      </c>
      <c r="R20" s="848" t="s">
        <v>18</v>
      </c>
      <c r="S20" s="848" t="s">
        <v>18</v>
      </c>
      <c r="T20" s="848" t="s">
        <v>18</v>
      </c>
      <c r="U20" s="848" t="s">
        <v>18</v>
      </c>
      <c r="V20" s="848" t="s">
        <v>18</v>
      </c>
      <c r="W20" s="848" t="s">
        <v>18</v>
      </c>
      <c r="X20" s="848" t="s">
        <v>18</v>
      </c>
      <c r="Y20" s="848" t="s">
        <v>18</v>
      </c>
    </row>
    <row r="21" spans="1:25" hidden="1" x14ac:dyDescent="0.25">
      <c r="A21" s="813" t="s">
        <v>22</v>
      </c>
      <c r="B21" s="894" t="s">
        <v>284</v>
      </c>
      <c r="C21" s="848" t="s">
        <v>18</v>
      </c>
      <c r="D21" s="848" t="s">
        <v>18</v>
      </c>
      <c r="E21" s="848" t="s">
        <v>18</v>
      </c>
      <c r="F21" s="848" t="s">
        <v>18</v>
      </c>
      <c r="G21" s="848" t="s">
        <v>18</v>
      </c>
      <c r="H21" s="848" t="s">
        <v>18</v>
      </c>
      <c r="I21" s="848" t="s">
        <v>18</v>
      </c>
      <c r="J21" s="848" t="s">
        <v>18</v>
      </c>
      <c r="K21" s="848" t="s">
        <v>18</v>
      </c>
      <c r="L21" s="882">
        <v>893</v>
      </c>
      <c r="M21" s="882">
        <v>700</v>
      </c>
      <c r="N21" s="882">
        <v>625</v>
      </c>
      <c r="O21" s="882">
        <v>154</v>
      </c>
      <c r="P21" s="882">
        <v>14000</v>
      </c>
      <c r="Q21" s="882">
        <v>2156</v>
      </c>
      <c r="R21" s="848" t="s">
        <v>18</v>
      </c>
      <c r="S21" s="848" t="s">
        <v>18</v>
      </c>
      <c r="T21" s="848" t="s">
        <v>18</v>
      </c>
      <c r="U21" s="848" t="s">
        <v>18</v>
      </c>
      <c r="V21" s="848" t="s">
        <v>18</v>
      </c>
      <c r="W21" s="848" t="s">
        <v>18</v>
      </c>
      <c r="X21" s="882">
        <v>1047</v>
      </c>
      <c r="Y21" s="882">
        <v>2781</v>
      </c>
    </row>
    <row r="22" spans="1:25" hidden="1" x14ac:dyDescent="0.25">
      <c r="A22" s="813" t="s">
        <v>23</v>
      </c>
      <c r="B22" s="894" t="s">
        <v>284</v>
      </c>
      <c r="C22" s="882">
        <v>70070</v>
      </c>
      <c r="D22" s="882">
        <v>360</v>
      </c>
      <c r="E22" s="882">
        <v>25225</v>
      </c>
      <c r="F22" s="882">
        <v>9910</v>
      </c>
      <c r="G22" s="882">
        <v>120</v>
      </c>
      <c r="H22" s="882">
        <v>1189</v>
      </c>
      <c r="I22" s="848" t="s">
        <v>18</v>
      </c>
      <c r="J22" s="848" t="s">
        <v>18</v>
      </c>
      <c r="K22" s="848" t="s">
        <v>18</v>
      </c>
      <c r="L22" s="882">
        <v>1270</v>
      </c>
      <c r="M22" s="882">
        <v>609</v>
      </c>
      <c r="N22" s="882">
        <v>773</v>
      </c>
      <c r="O22" s="848" t="s">
        <v>18</v>
      </c>
      <c r="P22" s="848" t="s">
        <v>18</v>
      </c>
      <c r="Q22" s="848" t="s">
        <v>18</v>
      </c>
      <c r="R22" s="848" t="s">
        <v>18</v>
      </c>
      <c r="S22" s="848" t="s">
        <v>18</v>
      </c>
      <c r="T22" s="848" t="s">
        <v>18</v>
      </c>
      <c r="U22" s="848" t="s">
        <v>18</v>
      </c>
      <c r="V22" s="848" t="s">
        <v>18</v>
      </c>
      <c r="W22" s="848" t="s">
        <v>18</v>
      </c>
      <c r="X22" s="882">
        <v>81250</v>
      </c>
      <c r="Y22" s="882">
        <v>27187</v>
      </c>
    </row>
    <row r="23" spans="1:25" hidden="1" x14ac:dyDescent="0.25">
      <c r="A23" s="813" t="s">
        <v>24</v>
      </c>
      <c r="B23" s="894" t="s">
        <v>284</v>
      </c>
      <c r="C23" s="882">
        <v>1860</v>
      </c>
      <c r="D23" s="882">
        <v>750</v>
      </c>
      <c r="E23" s="882">
        <v>1395</v>
      </c>
      <c r="F23" s="882">
        <v>420</v>
      </c>
      <c r="G23" s="882">
        <v>400</v>
      </c>
      <c r="H23" s="882">
        <v>168</v>
      </c>
      <c r="I23" s="848" t="s">
        <v>18</v>
      </c>
      <c r="J23" s="848" t="s">
        <v>18</v>
      </c>
      <c r="K23" s="848" t="s">
        <v>18</v>
      </c>
      <c r="L23" s="882">
        <v>409</v>
      </c>
      <c r="M23" s="882">
        <v>442</v>
      </c>
      <c r="N23" s="882">
        <v>181</v>
      </c>
      <c r="O23" s="848" t="s">
        <v>18</v>
      </c>
      <c r="P23" s="848" t="s">
        <v>18</v>
      </c>
      <c r="Q23" s="848" t="s">
        <v>18</v>
      </c>
      <c r="R23" s="848" t="s">
        <v>18</v>
      </c>
      <c r="S23" s="848" t="s">
        <v>18</v>
      </c>
      <c r="T23" s="848" t="s">
        <v>18</v>
      </c>
      <c r="U23" s="848" t="s">
        <v>18</v>
      </c>
      <c r="V23" s="848" t="s">
        <v>18</v>
      </c>
      <c r="W23" s="848" t="s">
        <v>18</v>
      </c>
      <c r="X23" s="882">
        <v>2689</v>
      </c>
      <c r="Y23" s="882">
        <v>2164</v>
      </c>
    </row>
    <row r="24" spans="1:25" hidden="1" x14ac:dyDescent="0.25">
      <c r="A24" s="812" t="s">
        <v>26</v>
      </c>
      <c r="B24" s="894" t="s">
        <v>284</v>
      </c>
      <c r="C24" s="882">
        <v>76005</v>
      </c>
      <c r="D24" s="882">
        <v>950</v>
      </c>
      <c r="E24" s="882">
        <v>72205</v>
      </c>
      <c r="F24" s="882">
        <v>6426</v>
      </c>
      <c r="G24" s="882">
        <v>300</v>
      </c>
      <c r="H24" s="882">
        <v>1928</v>
      </c>
      <c r="I24" s="882">
        <v>4604</v>
      </c>
      <c r="J24" s="882">
        <v>1139</v>
      </c>
      <c r="K24" s="882">
        <v>5244</v>
      </c>
      <c r="L24" s="882">
        <v>665</v>
      </c>
      <c r="M24" s="882">
        <v>734</v>
      </c>
      <c r="N24" s="882">
        <v>488</v>
      </c>
      <c r="O24" s="882">
        <v>73</v>
      </c>
      <c r="P24" s="882">
        <v>14900</v>
      </c>
      <c r="Q24" s="882">
        <v>1088</v>
      </c>
      <c r="R24" s="848" t="s">
        <v>18</v>
      </c>
      <c r="S24" s="848" t="s">
        <v>18</v>
      </c>
      <c r="T24" s="848" t="s">
        <v>18</v>
      </c>
      <c r="U24" s="848">
        <v>4436</v>
      </c>
      <c r="V24" s="848">
        <v>1899</v>
      </c>
      <c r="W24" s="848">
        <v>8428</v>
      </c>
      <c r="X24" s="882">
        <v>92209</v>
      </c>
      <c r="Y24" s="882">
        <v>85325</v>
      </c>
    </row>
    <row r="25" spans="1:25" hidden="1" x14ac:dyDescent="0.25">
      <c r="A25" s="813" t="s">
        <v>27</v>
      </c>
      <c r="B25" s="894" t="s">
        <v>284</v>
      </c>
      <c r="C25" s="882">
        <v>26200</v>
      </c>
      <c r="D25" s="882">
        <v>800</v>
      </c>
      <c r="E25" s="882">
        <v>20960</v>
      </c>
      <c r="F25" s="882">
        <v>5061</v>
      </c>
      <c r="G25" s="882">
        <v>280</v>
      </c>
      <c r="H25" s="882">
        <v>1417</v>
      </c>
      <c r="I25" s="882">
        <v>7495</v>
      </c>
      <c r="J25" s="882">
        <v>667</v>
      </c>
      <c r="K25" s="882">
        <v>4999</v>
      </c>
      <c r="L25" s="882">
        <v>4297</v>
      </c>
      <c r="M25" s="882">
        <v>620</v>
      </c>
      <c r="N25" s="882">
        <v>2664</v>
      </c>
      <c r="O25" s="882">
        <v>455</v>
      </c>
      <c r="P25" s="882">
        <v>12000</v>
      </c>
      <c r="Q25" s="882">
        <v>5460</v>
      </c>
      <c r="R25" s="848" t="s">
        <v>18</v>
      </c>
      <c r="S25" s="848" t="s">
        <v>18</v>
      </c>
      <c r="T25" s="848" t="s">
        <v>18</v>
      </c>
      <c r="U25" s="848" t="s">
        <v>18</v>
      </c>
      <c r="V25" s="848" t="s">
        <v>18</v>
      </c>
      <c r="W25" s="848" t="s">
        <v>18</v>
      </c>
      <c r="X25" s="882">
        <v>43508</v>
      </c>
      <c r="Y25" s="882">
        <v>35500</v>
      </c>
    </row>
    <row r="26" spans="1:25" hidden="1" x14ac:dyDescent="0.25">
      <c r="A26" s="812" t="s">
        <v>50</v>
      </c>
      <c r="B26" s="894" t="s">
        <v>284</v>
      </c>
      <c r="C26" s="882">
        <v>24510</v>
      </c>
      <c r="D26" s="882">
        <v>900</v>
      </c>
      <c r="E26" s="882">
        <v>22059</v>
      </c>
      <c r="F26" s="882">
        <v>4979</v>
      </c>
      <c r="G26" s="882">
        <v>290</v>
      </c>
      <c r="H26" s="882">
        <v>1444</v>
      </c>
      <c r="I26" s="882">
        <v>1147</v>
      </c>
      <c r="J26" s="882">
        <v>852</v>
      </c>
      <c r="K26" s="882">
        <v>977</v>
      </c>
      <c r="L26" s="882">
        <v>2880</v>
      </c>
      <c r="M26" s="882">
        <v>666</v>
      </c>
      <c r="N26" s="882">
        <v>1918</v>
      </c>
      <c r="O26" s="882">
        <v>1363</v>
      </c>
      <c r="P26" s="882">
        <v>13800</v>
      </c>
      <c r="Q26" s="882">
        <v>18809</v>
      </c>
      <c r="R26" s="848" t="s">
        <v>18</v>
      </c>
      <c r="S26" s="848" t="s">
        <v>18</v>
      </c>
      <c r="T26" s="848" t="s">
        <v>18</v>
      </c>
      <c r="U26" s="848" t="s">
        <v>18</v>
      </c>
      <c r="V26" s="848" t="s">
        <v>18</v>
      </c>
      <c r="W26" s="848" t="s">
        <v>18</v>
      </c>
      <c r="X26" s="882">
        <v>34879</v>
      </c>
      <c r="Y26" s="882">
        <v>45207</v>
      </c>
    </row>
    <row r="27" spans="1:25" hidden="1" x14ac:dyDescent="0.25">
      <c r="A27" s="812" t="s">
        <v>163</v>
      </c>
      <c r="B27" s="894" t="s">
        <v>284</v>
      </c>
      <c r="C27" s="882">
        <v>39167</v>
      </c>
      <c r="D27" s="882">
        <v>950</v>
      </c>
      <c r="E27" s="882">
        <v>37209</v>
      </c>
      <c r="F27" s="882">
        <v>3557</v>
      </c>
      <c r="G27" s="882">
        <v>300</v>
      </c>
      <c r="H27" s="882">
        <v>1067</v>
      </c>
      <c r="I27" s="882">
        <v>1937</v>
      </c>
      <c r="J27" s="882">
        <v>1086</v>
      </c>
      <c r="K27" s="882">
        <v>2104</v>
      </c>
      <c r="L27" s="882">
        <v>3148</v>
      </c>
      <c r="M27" s="882">
        <v>600</v>
      </c>
      <c r="N27" s="882">
        <v>1889</v>
      </c>
      <c r="O27" s="882">
        <v>1466</v>
      </c>
      <c r="P27" s="882">
        <v>14300</v>
      </c>
      <c r="Q27" s="882">
        <v>20963</v>
      </c>
      <c r="R27" s="848" t="s">
        <v>18</v>
      </c>
      <c r="S27" s="848" t="s">
        <v>18</v>
      </c>
      <c r="T27" s="848" t="s">
        <v>18</v>
      </c>
      <c r="U27" s="848" t="s">
        <v>18</v>
      </c>
      <c r="V27" s="848" t="s">
        <v>18</v>
      </c>
      <c r="W27" s="848" t="s">
        <v>18</v>
      </c>
      <c r="X27" s="882">
        <v>49275</v>
      </c>
      <c r="Y27" s="882">
        <v>63232</v>
      </c>
    </row>
    <row r="28" spans="1:25" hidden="1" x14ac:dyDescent="0.25">
      <c r="A28" s="812" t="s">
        <v>52</v>
      </c>
      <c r="B28" s="894" t="s">
        <v>284</v>
      </c>
      <c r="C28" s="882">
        <v>69150</v>
      </c>
      <c r="D28" s="882">
        <v>733</v>
      </c>
      <c r="E28" s="882">
        <v>50687</v>
      </c>
      <c r="F28" s="882">
        <v>4476</v>
      </c>
      <c r="G28" s="882">
        <v>325</v>
      </c>
      <c r="H28" s="882">
        <v>1455</v>
      </c>
      <c r="I28" s="882">
        <v>7606</v>
      </c>
      <c r="J28" s="882">
        <v>793</v>
      </c>
      <c r="K28" s="882">
        <v>6032</v>
      </c>
      <c r="L28" s="882">
        <v>9736</v>
      </c>
      <c r="M28" s="882">
        <v>580</v>
      </c>
      <c r="N28" s="882">
        <v>5647</v>
      </c>
      <c r="O28" s="882">
        <v>4676</v>
      </c>
      <c r="P28" s="882">
        <v>15600</v>
      </c>
      <c r="Q28" s="882">
        <v>72945</v>
      </c>
      <c r="R28" s="848" t="s">
        <v>18</v>
      </c>
      <c r="S28" s="848" t="s">
        <v>18</v>
      </c>
      <c r="T28" s="848" t="s">
        <v>18</v>
      </c>
      <c r="U28" s="848" t="s">
        <v>18</v>
      </c>
      <c r="V28" s="848" t="s">
        <v>18</v>
      </c>
      <c r="W28" s="848" t="s">
        <v>18</v>
      </c>
      <c r="X28" s="882">
        <v>95644</v>
      </c>
      <c r="Y28" s="882">
        <v>136766</v>
      </c>
    </row>
    <row r="29" spans="1:25" hidden="1" x14ac:dyDescent="0.25">
      <c r="A29" s="812" t="s">
        <v>15</v>
      </c>
      <c r="B29" s="810" t="s">
        <v>237</v>
      </c>
      <c r="C29" s="810">
        <v>1800</v>
      </c>
      <c r="D29" s="810">
        <v>833</v>
      </c>
      <c r="E29" s="810">
        <v>1500</v>
      </c>
      <c r="F29" s="810">
        <v>210</v>
      </c>
      <c r="G29" s="810">
        <v>571</v>
      </c>
      <c r="H29" s="810">
        <v>120</v>
      </c>
      <c r="I29" s="810" t="s">
        <v>18</v>
      </c>
      <c r="J29" s="810" t="s">
        <v>18</v>
      </c>
      <c r="K29" s="810" t="s">
        <v>18</v>
      </c>
      <c r="L29" s="810">
        <v>2890</v>
      </c>
      <c r="M29" s="810">
        <v>500</v>
      </c>
      <c r="N29" s="810">
        <v>1445</v>
      </c>
      <c r="O29" s="810" t="s">
        <v>18</v>
      </c>
      <c r="P29" s="810" t="s">
        <v>18</v>
      </c>
      <c r="Q29" s="810" t="s">
        <v>18</v>
      </c>
      <c r="R29" s="810" t="s">
        <v>18</v>
      </c>
      <c r="S29" s="810" t="s">
        <v>18</v>
      </c>
      <c r="T29" s="810" t="s">
        <v>18</v>
      </c>
      <c r="U29" s="810" t="s">
        <v>18</v>
      </c>
      <c r="V29" s="810" t="s">
        <v>18</v>
      </c>
      <c r="W29" s="810" t="s">
        <v>18</v>
      </c>
      <c r="X29" s="810">
        <v>4900</v>
      </c>
      <c r="Y29" s="810">
        <v>3065</v>
      </c>
    </row>
    <row r="30" spans="1:25" hidden="1" x14ac:dyDescent="0.25">
      <c r="A30" s="812" t="s">
        <v>89</v>
      </c>
      <c r="B30" s="810" t="s">
        <v>237</v>
      </c>
      <c r="C30" s="810"/>
      <c r="D30" s="810"/>
      <c r="E30" s="810"/>
      <c r="F30" s="810"/>
      <c r="G30" s="810"/>
      <c r="H30" s="810"/>
      <c r="I30" s="810"/>
      <c r="J30" s="810"/>
      <c r="K30" s="810"/>
      <c r="L30" s="810"/>
      <c r="M30" s="810"/>
      <c r="N30" s="810"/>
      <c r="O30" s="810"/>
      <c r="P30" s="810"/>
      <c r="Q30" s="810"/>
      <c r="R30" s="810"/>
      <c r="S30" s="810"/>
      <c r="T30" s="810"/>
      <c r="U30" s="810"/>
      <c r="V30" s="810"/>
      <c r="W30" s="810"/>
      <c r="X30" s="810"/>
      <c r="Y30" s="810"/>
    </row>
    <row r="31" spans="1:25" hidden="1" x14ac:dyDescent="0.25">
      <c r="A31" s="812" t="s">
        <v>17</v>
      </c>
      <c r="B31" s="810" t="s">
        <v>237</v>
      </c>
      <c r="C31" s="810">
        <v>2000</v>
      </c>
      <c r="D31" s="810">
        <v>100</v>
      </c>
      <c r="E31" s="810">
        <v>200</v>
      </c>
      <c r="F31" s="810">
        <v>1200</v>
      </c>
      <c r="G31" s="810">
        <v>150</v>
      </c>
      <c r="H31" s="810">
        <v>180</v>
      </c>
      <c r="I31" s="810" t="s">
        <v>18</v>
      </c>
      <c r="J31" s="810" t="s">
        <v>18</v>
      </c>
      <c r="K31" s="810" t="s">
        <v>18</v>
      </c>
      <c r="L31" s="810" t="s">
        <v>18</v>
      </c>
      <c r="M31" s="810" t="s">
        <v>18</v>
      </c>
      <c r="N31" s="810" t="s">
        <v>18</v>
      </c>
      <c r="O31" s="810" t="s">
        <v>18</v>
      </c>
      <c r="P31" s="810" t="s">
        <v>18</v>
      </c>
      <c r="Q31" s="810" t="s">
        <v>18</v>
      </c>
      <c r="R31" s="810" t="s">
        <v>18</v>
      </c>
      <c r="S31" s="810" t="s">
        <v>18</v>
      </c>
      <c r="T31" s="810" t="s">
        <v>18</v>
      </c>
      <c r="U31" s="810" t="s">
        <v>18</v>
      </c>
      <c r="V31" s="810" t="s">
        <v>18</v>
      </c>
      <c r="W31" s="810" t="s">
        <v>18</v>
      </c>
      <c r="X31" s="810">
        <v>3200</v>
      </c>
      <c r="Y31" s="810">
        <v>380</v>
      </c>
    </row>
    <row r="32" spans="1:25" hidden="1" x14ac:dyDescent="0.25">
      <c r="A32" s="812" t="s">
        <v>103</v>
      </c>
      <c r="B32" s="810" t="s">
        <v>237</v>
      </c>
      <c r="C32" s="810">
        <v>43348</v>
      </c>
      <c r="D32" s="810">
        <v>500</v>
      </c>
      <c r="E32" s="810">
        <v>21674</v>
      </c>
      <c r="F32" s="810">
        <v>780</v>
      </c>
      <c r="G32" s="810">
        <v>250</v>
      </c>
      <c r="H32" s="810">
        <v>186</v>
      </c>
      <c r="I32" s="810" t="s">
        <v>18</v>
      </c>
      <c r="J32" s="810" t="s">
        <v>18</v>
      </c>
      <c r="K32" s="810" t="s">
        <v>18</v>
      </c>
      <c r="L32" s="810" t="s">
        <v>18</v>
      </c>
      <c r="M32" s="810" t="s">
        <v>18</v>
      </c>
      <c r="N32" s="810" t="s">
        <v>18</v>
      </c>
      <c r="O32" s="810" t="s">
        <v>18</v>
      </c>
      <c r="P32" s="810" t="s">
        <v>18</v>
      </c>
      <c r="Q32" s="810" t="s">
        <v>18</v>
      </c>
      <c r="R32" s="810" t="s">
        <v>18</v>
      </c>
      <c r="S32" s="810" t="s">
        <v>18</v>
      </c>
      <c r="T32" s="810" t="s">
        <v>18</v>
      </c>
      <c r="U32" s="810" t="s">
        <v>18</v>
      </c>
      <c r="V32" s="810" t="s">
        <v>18</v>
      </c>
      <c r="W32" s="810" t="s">
        <v>18</v>
      </c>
      <c r="X32" s="810">
        <v>44128</v>
      </c>
      <c r="Y32" s="810">
        <v>21860</v>
      </c>
    </row>
    <row r="33" spans="1:25" hidden="1" x14ac:dyDescent="0.25">
      <c r="A33" s="812" t="s">
        <v>20</v>
      </c>
      <c r="B33" s="810" t="s">
        <v>237</v>
      </c>
      <c r="C33" s="810">
        <v>24000</v>
      </c>
      <c r="D33" s="810">
        <v>750</v>
      </c>
      <c r="E33" s="810">
        <v>18000</v>
      </c>
      <c r="F33" s="810">
        <v>10200</v>
      </c>
      <c r="G33" s="810">
        <v>400</v>
      </c>
      <c r="H33" s="810">
        <v>4080</v>
      </c>
      <c r="I33" s="810" t="s">
        <v>18</v>
      </c>
      <c r="J33" s="810" t="s">
        <v>18</v>
      </c>
      <c r="K33" s="810" t="s">
        <v>18</v>
      </c>
      <c r="L33" s="810">
        <v>6800</v>
      </c>
      <c r="M33" s="810">
        <v>610</v>
      </c>
      <c r="N33" s="810">
        <v>4080</v>
      </c>
      <c r="O33" s="810" t="s">
        <v>18</v>
      </c>
      <c r="P33" s="810" t="s">
        <v>18</v>
      </c>
      <c r="Q33" s="810" t="s">
        <v>18</v>
      </c>
      <c r="R33" s="810" t="s">
        <v>18</v>
      </c>
      <c r="S33" s="810" t="s">
        <v>18</v>
      </c>
      <c r="T33" s="810" t="s">
        <v>18</v>
      </c>
      <c r="U33" s="810" t="s">
        <v>18</v>
      </c>
      <c r="V33" s="810" t="s">
        <v>18</v>
      </c>
      <c r="W33" s="810" t="s">
        <v>18</v>
      </c>
      <c r="X33" s="810">
        <v>41000</v>
      </c>
      <c r="Y33" s="810">
        <v>26160</v>
      </c>
    </row>
    <row r="34" spans="1:25" hidden="1" x14ac:dyDescent="0.25">
      <c r="A34" s="812" t="s">
        <v>21</v>
      </c>
      <c r="B34" s="810" t="s">
        <v>237</v>
      </c>
      <c r="C34" s="810" t="s">
        <v>18</v>
      </c>
      <c r="D34" s="810" t="s">
        <v>18</v>
      </c>
      <c r="E34" s="810" t="s">
        <v>18</v>
      </c>
      <c r="F34" s="810" t="s">
        <v>18</v>
      </c>
      <c r="G34" s="810" t="s">
        <v>18</v>
      </c>
      <c r="H34" s="810" t="s">
        <v>18</v>
      </c>
      <c r="I34" s="810" t="s">
        <v>18</v>
      </c>
      <c r="J34" s="810" t="s">
        <v>18</v>
      </c>
      <c r="K34" s="810" t="s">
        <v>18</v>
      </c>
      <c r="L34" s="810" t="s">
        <v>18</v>
      </c>
      <c r="M34" s="810" t="s">
        <v>18</v>
      </c>
      <c r="N34" s="810" t="s">
        <v>18</v>
      </c>
      <c r="O34" s="810" t="s">
        <v>18</v>
      </c>
      <c r="P34" s="810" t="s">
        <v>18</v>
      </c>
      <c r="Q34" s="810" t="s">
        <v>18</v>
      </c>
      <c r="R34" s="810" t="s">
        <v>18</v>
      </c>
      <c r="S34" s="810" t="s">
        <v>18</v>
      </c>
      <c r="T34" s="810" t="s">
        <v>18</v>
      </c>
      <c r="U34" s="810" t="s">
        <v>18</v>
      </c>
      <c r="V34" s="810" t="s">
        <v>18</v>
      </c>
      <c r="W34" s="810" t="s">
        <v>18</v>
      </c>
      <c r="X34" s="810" t="s">
        <v>18</v>
      </c>
      <c r="Y34" s="810" t="s">
        <v>18</v>
      </c>
    </row>
    <row r="35" spans="1:25" hidden="1" x14ac:dyDescent="0.25">
      <c r="A35" s="812" t="s">
        <v>22</v>
      </c>
      <c r="B35" s="810" t="s">
        <v>237</v>
      </c>
      <c r="C35" s="810">
        <v>70</v>
      </c>
      <c r="D35" s="810">
        <v>1500</v>
      </c>
      <c r="E35" s="810">
        <v>106</v>
      </c>
      <c r="F35" s="810" t="s">
        <v>18</v>
      </c>
      <c r="G35" s="810" t="s">
        <v>18</v>
      </c>
      <c r="H35" s="810" t="s">
        <v>18</v>
      </c>
      <c r="I35" s="810" t="s">
        <v>18</v>
      </c>
      <c r="J35" s="810" t="s">
        <v>18</v>
      </c>
      <c r="K35" s="810" t="s">
        <v>18</v>
      </c>
      <c r="L35" s="810" t="s">
        <v>18</v>
      </c>
      <c r="M35" s="810" t="s">
        <v>18</v>
      </c>
      <c r="N35" s="810" t="s">
        <v>18</v>
      </c>
      <c r="O35" s="810" t="s">
        <v>18</v>
      </c>
      <c r="P35" s="810" t="s">
        <v>18</v>
      </c>
      <c r="Q35" s="810" t="s">
        <v>18</v>
      </c>
      <c r="R35" s="810" t="s">
        <v>18</v>
      </c>
      <c r="S35" s="810" t="s">
        <v>18</v>
      </c>
      <c r="T35" s="810" t="s">
        <v>18</v>
      </c>
      <c r="U35" s="810" t="s">
        <v>18</v>
      </c>
      <c r="V35" s="810" t="s">
        <v>18</v>
      </c>
      <c r="W35" s="810" t="s">
        <v>18</v>
      </c>
      <c r="X35" s="810">
        <v>70</v>
      </c>
      <c r="Y35" s="810">
        <v>106</v>
      </c>
    </row>
    <row r="36" spans="1:25" hidden="1" x14ac:dyDescent="0.25">
      <c r="A36" s="813" t="s">
        <v>23</v>
      </c>
      <c r="B36" s="810" t="s">
        <v>237</v>
      </c>
      <c r="C36" s="810">
        <v>79230</v>
      </c>
      <c r="D36" s="810">
        <v>1200</v>
      </c>
      <c r="E36" s="810">
        <v>95076</v>
      </c>
      <c r="F36" s="810">
        <v>10430</v>
      </c>
      <c r="G36" s="810">
        <v>300</v>
      </c>
      <c r="H36" s="810">
        <v>3130</v>
      </c>
      <c r="I36" s="810">
        <v>8020</v>
      </c>
      <c r="J36" s="810">
        <v>500</v>
      </c>
      <c r="K36" s="810">
        <v>4010</v>
      </c>
      <c r="L36" s="810">
        <v>17530</v>
      </c>
      <c r="M36" s="810">
        <v>500</v>
      </c>
      <c r="N36" s="810">
        <v>8765</v>
      </c>
      <c r="O36" s="810" t="s">
        <v>18</v>
      </c>
      <c r="P36" s="810" t="s">
        <v>18</v>
      </c>
      <c r="Q36" s="810" t="s">
        <v>18</v>
      </c>
      <c r="R36" s="810" t="s">
        <v>18</v>
      </c>
      <c r="S36" s="810" t="s">
        <v>18</v>
      </c>
      <c r="T36" s="810" t="s">
        <v>18</v>
      </c>
      <c r="U36" s="810" t="s">
        <v>18</v>
      </c>
      <c r="V36" s="810" t="s">
        <v>18</v>
      </c>
      <c r="W36" s="810" t="s">
        <v>18</v>
      </c>
      <c r="X36" s="810">
        <v>115210</v>
      </c>
      <c r="Y36" s="810">
        <v>110981</v>
      </c>
    </row>
    <row r="37" spans="1:25" hidden="1" x14ac:dyDescent="0.25">
      <c r="A37" s="812" t="s">
        <v>24</v>
      </c>
      <c r="B37" s="810" t="s">
        <v>237</v>
      </c>
      <c r="C37" s="810">
        <v>4200</v>
      </c>
      <c r="D37" s="810">
        <v>750</v>
      </c>
      <c r="E37" s="810">
        <v>3150</v>
      </c>
      <c r="F37" s="810">
        <v>800</v>
      </c>
      <c r="G37" s="810">
        <v>250</v>
      </c>
      <c r="H37" s="810">
        <v>200</v>
      </c>
      <c r="I37" s="810" t="s">
        <v>18</v>
      </c>
      <c r="J37" s="810" t="s">
        <v>18</v>
      </c>
      <c r="K37" s="810" t="s">
        <v>18</v>
      </c>
      <c r="L37" s="810">
        <v>200</v>
      </c>
      <c r="M37" s="810">
        <v>600</v>
      </c>
      <c r="N37" s="810">
        <v>120</v>
      </c>
      <c r="O37" s="810" t="s">
        <v>18</v>
      </c>
      <c r="P37" s="810" t="s">
        <v>18</v>
      </c>
      <c r="Q37" s="810" t="s">
        <v>18</v>
      </c>
      <c r="R37" s="810" t="s">
        <v>18</v>
      </c>
      <c r="S37" s="810" t="s">
        <v>18</v>
      </c>
      <c r="T37" s="810" t="s">
        <v>18</v>
      </c>
      <c r="U37" s="810" t="s">
        <v>18</v>
      </c>
      <c r="V37" s="810" t="s">
        <v>18</v>
      </c>
      <c r="W37" s="810" t="s">
        <v>18</v>
      </c>
      <c r="X37" s="810">
        <v>5200</v>
      </c>
      <c r="Y37" s="810">
        <v>3470</v>
      </c>
    </row>
    <row r="38" spans="1:25" hidden="1" x14ac:dyDescent="0.25">
      <c r="A38" s="812" t="s">
        <v>26</v>
      </c>
      <c r="B38" s="810" t="s">
        <v>237</v>
      </c>
      <c r="C38" s="810">
        <v>52006</v>
      </c>
      <c r="D38" s="810">
        <v>816</v>
      </c>
      <c r="E38" s="810">
        <v>42436</v>
      </c>
      <c r="F38" s="810">
        <v>5120</v>
      </c>
      <c r="G38" s="810">
        <v>483</v>
      </c>
      <c r="H38" s="810">
        <v>2861</v>
      </c>
      <c r="I38" s="810">
        <v>3635</v>
      </c>
      <c r="J38" s="810">
        <v>650</v>
      </c>
      <c r="K38" s="810">
        <v>2365</v>
      </c>
      <c r="L38" s="810">
        <v>5203</v>
      </c>
      <c r="M38" s="810">
        <v>642</v>
      </c>
      <c r="N38" s="810">
        <v>3340</v>
      </c>
      <c r="O38" s="810">
        <v>1600</v>
      </c>
      <c r="P38" s="810">
        <v>12000</v>
      </c>
      <c r="Q38" s="810">
        <v>192000</v>
      </c>
      <c r="R38" s="810" t="s">
        <v>18</v>
      </c>
      <c r="S38" s="810" t="s">
        <v>18</v>
      </c>
      <c r="T38" s="810" t="s">
        <v>18</v>
      </c>
      <c r="U38" s="810" t="s">
        <v>18</v>
      </c>
      <c r="V38" s="810" t="s">
        <v>18</v>
      </c>
      <c r="W38" s="810" t="s">
        <v>18</v>
      </c>
      <c r="X38" s="810">
        <v>50894</v>
      </c>
      <c r="Y38" s="810">
        <v>39083</v>
      </c>
    </row>
    <row r="39" spans="1:25" hidden="1" x14ac:dyDescent="0.25">
      <c r="A39" s="813" t="s">
        <v>27</v>
      </c>
      <c r="B39" s="810" t="s">
        <v>237</v>
      </c>
      <c r="C39" s="810">
        <v>28916</v>
      </c>
      <c r="D39" s="810">
        <v>700</v>
      </c>
      <c r="E39" s="810">
        <v>20241</v>
      </c>
      <c r="F39" s="810">
        <v>8019</v>
      </c>
      <c r="G39" s="810">
        <v>424</v>
      </c>
      <c r="H39" s="810">
        <v>3405</v>
      </c>
      <c r="I39" s="810">
        <v>13122</v>
      </c>
      <c r="J39" s="810">
        <v>720</v>
      </c>
      <c r="K39" s="810">
        <v>9447</v>
      </c>
      <c r="L39" s="810">
        <v>4770</v>
      </c>
      <c r="M39" s="810">
        <v>613</v>
      </c>
      <c r="N39" s="810">
        <v>2924</v>
      </c>
      <c r="O39" s="810">
        <v>890</v>
      </c>
      <c r="P39" s="810">
        <v>12000</v>
      </c>
      <c r="Q39" s="810">
        <v>10600</v>
      </c>
      <c r="R39" s="810" t="s">
        <v>18</v>
      </c>
      <c r="S39" s="810" t="s">
        <v>18</v>
      </c>
      <c r="T39" s="810" t="s">
        <v>18</v>
      </c>
      <c r="U39" s="810" t="s">
        <v>18</v>
      </c>
      <c r="V39" s="810" t="s">
        <v>18</v>
      </c>
      <c r="W39" s="810" t="s">
        <v>18</v>
      </c>
      <c r="X39" s="810">
        <v>64301</v>
      </c>
      <c r="Y39" s="810">
        <v>58773</v>
      </c>
    </row>
    <row r="40" spans="1:25" hidden="1" x14ac:dyDescent="0.25">
      <c r="A40" s="812" t="s">
        <v>50</v>
      </c>
      <c r="B40" s="810" t="s">
        <v>237</v>
      </c>
      <c r="C40" s="810">
        <v>39203</v>
      </c>
      <c r="D40" s="810">
        <v>905</v>
      </c>
      <c r="E40" s="810">
        <v>35478</v>
      </c>
      <c r="F40" s="810">
        <v>10472</v>
      </c>
      <c r="G40" s="810">
        <v>300</v>
      </c>
      <c r="H40" s="810">
        <v>3141</v>
      </c>
      <c r="I40" s="810">
        <v>230</v>
      </c>
      <c r="J40" s="810">
        <v>600</v>
      </c>
      <c r="K40" s="810">
        <v>138</v>
      </c>
      <c r="L40" s="810">
        <v>989</v>
      </c>
      <c r="M40" s="810">
        <v>304</v>
      </c>
      <c r="N40" s="810">
        <v>326</v>
      </c>
      <c r="O40" s="810">
        <v>3480</v>
      </c>
      <c r="P40" s="810">
        <v>13500</v>
      </c>
      <c r="Q40" s="810">
        <v>46980</v>
      </c>
      <c r="R40" s="810" t="s">
        <v>18</v>
      </c>
      <c r="S40" s="810" t="s">
        <v>18</v>
      </c>
      <c r="T40" s="810" t="s">
        <v>18</v>
      </c>
      <c r="U40" s="810" t="s">
        <v>18</v>
      </c>
      <c r="V40" s="810" t="s">
        <v>18</v>
      </c>
      <c r="W40" s="810" t="s">
        <v>18</v>
      </c>
      <c r="X40" s="810">
        <v>65964</v>
      </c>
      <c r="Y40" s="810">
        <v>50999</v>
      </c>
    </row>
    <row r="41" spans="1:25" hidden="1" x14ac:dyDescent="0.25">
      <c r="A41" s="812" t="s">
        <v>163</v>
      </c>
      <c r="B41" s="810" t="s">
        <v>237</v>
      </c>
      <c r="C41" s="810">
        <v>43518</v>
      </c>
      <c r="D41" s="810">
        <v>1100</v>
      </c>
      <c r="E41" s="810">
        <v>50700</v>
      </c>
      <c r="F41" s="810">
        <v>19372</v>
      </c>
      <c r="G41" s="810">
        <v>374</v>
      </c>
      <c r="H41" s="810">
        <v>7248</v>
      </c>
      <c r="I41" s="810">
        <v>300</v>
      </c>
      <c r="J41" s="810">
        <v>642</v>
      </c>
      <c r="K41" s="810">
        <v>192</v>
      </c>
      <c r="L41" s="810">
        <v>1111</v>
      </c>
      <c r="M41" s="810">
        <v>570</v>
      </c>
      <c r="N41" s="810">
        <v>633</v>
      </c>
      <c r="O41" s="810">
        <v>4800</v>
      </c>
      <c r="P41" s="810">
        <v>12000</v>
      </c>
      <c r="Q41" s="810">
        <v>57600</v>
      </c>
      <c r="R41" s="810" t="s">
        <v>18</v>
      </c>
      <c r="S41" s="810" t="s">
        <v>18</v>
      </c>
      <c r="T41" s="810" t="s">
        <v>18</v>
      </c>
      <c r="U41" s="810" t="s">
        <v>18</v>
      </c>
      <c r="V41" s="810" t="s">
        <v>18</v>
      </c>
      <c r="W41" s="810" t="s">
        <v>18</v>
      </c>
      <c r="X41" s="810">
        <v>100302</v>
      </c>
      <c r="Y41" s="810">
        <v>77269</v>
      </c>
    </row>
    <row r="42" spans="1:25" hidden="1" x14ac:dyDescent="0.25">
      <c r="A42" s="812" t="s">
        <v>52</v>
      </c>
      <c r="B42" s="810" t="s">
        <v>237</v>
      </c>
      <c r="C42" s="810">
        <v>80379</v>
      </c>
      <c r="D42" s="810">
        <v>795</v>
      </c>
      <c r="E42" s="810">
        <v>63901</v>
      </c>
      <c r="F42" s="810">
        <v>8025</v>
      </c>
      <c r="G42" s="810">
        <v>194</v>
      </c>
      <c r="H42" s="810">
        <v>1558</v>
      </c>
      <c r="I42" s="810">
        <v>7448</v>
      </c>
      <c r="J42" s="810">
        <v>1287</v>
      </c>
      <c r="K42" s="810">
        <v>9585</v>
      </c>
      <c r="L42" s="810">
        <v>4450</v>
      </c>
      <c r="M42" s="810">
        <v>500</v>
      </c>
      <c r="N42" s="810">
        <v>2225</v>
      </c>
      <c r="O42" s="810">
        <v>6611</v>
      </c>
      <c r="P42" s="810">
        <v>14800</v>
      </c>
      <c r="Q42" s="810">
        <v>97842</v>
      </c>
      <c r="R42" s="810" t="s">
        <v>18</v>
      </c>
      <c r="S42" s="810" t="s">
        <v>18</v>
      </c>
      <c r="T42" s="810" t="s">
        <v>18</v>
      </c>
      <c r="U42" s="810" t="s">
        <v>18</v>
      </c>
      <c r="V42" s="810" t="s">
        <v>18</v>
      </c>
      <c r="W42" s="810" t="s">
        <v>18</v>
      </c>
      <c r="X42" s="810">
        <v>54827</v>
      </c>
      <c r="Y42" s="810">
        <v>36017</v>
      </c>
    </row>
    <row r="43" spans="1:25" hidden="1" x14ac:dyDescent="0.25">
      <c r="A43" s="812" t="s">
        <v>15</v>
      </c>
      <c r="B43" s="810" t="s">
        <v>267</v>
      </c>
      <c r="C43" s="810">
        <v>7570</v>
      </c>
      <c r="D43" s="810">
        <v>803</v>
      </c>
      <c r="E43" s="810">
        <v>6079</v>
      </c>
      <c r="F43" s="810">
        <v>1125</v>
      </c>
      <c r="G43" s="810">
        <v>105</v>
      </c>
      <c r="H43" s="810">
        <v>118</v>
      </c>
      <c r="I43" s="810" t="s">
        <v>18</v>
      </c>
      <c r="J43" s="810" t="s">
        <v>18</v>
      </c>
      <c r="K43" s="810" t="s">
        <v>18</v>
      </c>
      <c r="L43" s="810" t="s">
        <v>18</v>
      </c>
      <c r="M43" s="810" t="s">
        <v>18</v>
      </c>
      <c r="N43" s="810" t="s">
        <v>18</v>
      </c>
      <c r="O43" s="810" t="s">
        <v>18</v>
      </c>
      <c r="P43" s="810" t="s">
        <v>18</v>
      </c>
      <c r="Q43" s="810" t="s">
        <v>18</v>
      </c>
      <c r="R43" s="810" t="s">
        <v>18</v>
      </c>
      <c r="S43" s="810" t="s">
        <v>18</v>
      </c>
      <c r="T43" s="810" t="s">
        <v>18</v>
      </c>
      <c r="U43" s="810" t="s">
        <v>18</v>
      </c>
      <c r="V43" s="810" t="s">
        <v>18</v>
      </c>
      <c r="W43" s="810" t="s">
        <v>18</v>
      </c>
      <c r="X43" s="810">
        <v>4900</v>
      </c>
      <c r="Y43" s="810">
        <v>3065</v>
      </c>
    </row>
    <row r="44" spans="1:25" hidden="1" x14ac:dyDescent="0.25">
      <c r="A44" s="812" t="s">
        <v>89</v>
      </c>
      <c r="B44" s="810" t="s">
        <v>267</v>
      </c>
      <c r="C44" s="810"/>
      <c r="D44" s="810"/>
      <c r="E44" s="810"/>
      <c r="F44" s="810"/>
      <c r="G44" s="810"/>
      <c r="H44" s="810"/>
      <c r="I44" s="810"/>
      <c r="J44" s="810"/>
      <c r="K44" s="810"/>
      <c r="L44" s="810"/>
      <c r="M44" s="810"/>
      <c r="N44" s="810"/>
      <c r="O44" s="810"/>
      <c r="P44" s="810"/>
      <c r="Q44" s="810"/>
      <c r="R44" s="810"/>
      <c r="S44" s="810"/>
      <c r="T44" s="810"/>
      <c r="U44" s="810"/>
      <c r="V44" s="810"/>
      <c r="W44" s="810"/>
      <c r="X44" s="810"/>
      <c r="Y44" s="810"/>
    </row>
    <row r="45" spans="1:25" hidden="1" x14ac:dyDescent="0.25">
      <c r="A45" s="812" t="s">
        <v>17</v>
      </c>
      <c r="B45" s="810" t="s">
        <v>267</v>
      </c>
      <c r="C45" s="810">
        <v>3040</v>
      </c>
      <c r="D45" s="810">
        <v>975</v>
      </c>
      <c r="E45" s="810">
        <v>2964</v>
      </c>
      <c r="F45" s="810">
        <v>150</v>
      </c>
      <c r="G45" s="810">
        <v>150</v>
      </c>
      <c r="H45" s="810">
        <v>23</v>
      </c>
      <c r="I45" s="810" t="s">
        <v>18</v>
      </c>
      <c r="J45" s="810" t="s">
        <v>18</v>
      </c>
      <c r="K45" s="810" t="s">
        <v>18</v>
      </c>
      <c r="L45" s="810" t="s">
        <v>18</v>
      </c>
      <c r="M45" s="810" t="s">
        <v>18</v>
      </c>
      <c r="N45" s="810" t="s">
        <v>18</v>
      </c>
      <c r="O45" s="810" t="s">
        <v>18</v>
      </c>
      <c r="P45" s="810" t="s">
        <v>18</v>
      </c>
      <c r="Q45" s="810" t="s">
        <v>18</v>
      </c>
      <c r="R45" s="810" t="s">
        <v>18</v>
      </c>
      <c r="S45" s="810" t="s">
        <v>18</v>
      </c>
      <c r="T45" s="810" t="s">
        <v>18</v>
      </c>
      <c r="U45" s="810" t="s">
        <v>18</v>
      </c>
      <c r="V45" s="810" t="s">
        <v>18</v>
      </c>
      <c r="W45" s="810" t="s">
        <v>18</v>
      </c>
      <c r="X45" s="810">
        <v>3200</v>
      </c>
      <c r="Y45" s="810">
        <v>380</v>
      </c>
    </row>
    <row r="46" spans="1:25" hidden="1" x14ac:dyDescent="0.25">
      <c r="A46" s="812" t="s">
        <v>103</v>
      </c>
      <c r="B46" s="810" t="s">
        <v>267</v>
      </c>
      <c r="C46" s="810">
        <v>35120</v>
      </c>
      <c r="D46" s="810">
        <v>1250</v>
      </c>
      <c r="E46" s="810">
        <v>43900</v>
      </c>
      <c r="F46" s="810">
        <v>2500</v>
      </c>
      <c r="G46" s="810">
        <v>300</v>
      </c>
      <c r="H46" s="810">
        <v>750</v>
      </c>
      <c r="I46" s="810">
        <v>25817</v>
      </c>
      <c r="J46" s="810">
        <v>620</v>
      </c>
      <c r="K46" s="810">
        <v>160017</v>
      </c>
      <c r="L46" s="810">
        <v>3171</v>
      </c>
      <c r="M46" s="810">
        <v>600</v>
      </c>
      <c r="N46" s="810">
        <v>1903</v>
      </c>
      <c r="O46" s="810" t="s">
        <v>18</v>
      </c>
      <c r="P46" s="810" t="s">
        <v>18</v>
      </c>
      <c r="Q46" s="810" t="s">
        <v>18</v>
      </c>
      <c r="R46" s="810" t="s">
        <v>18</v>
      </c>
      <c r="S46" s="810" t="s">
        <v>18</v>
      </c>
      <c r="T46" s="810" t="s">
        <v>18</v>
      </c>
      <c r="U46" s="810" t="s">
        <v>18</v>
      </c>
      <c r="V46" s="810" t="s">
        <v>18</v>
      </c>
      <c r="W46" s="810" t="s">
        <v>18</v>
      </c>
      <c r="X46" s="810">
        <v>44128</v>
      </c>
      <c r="Y46" s="810">
        <v>21860</v>
      </c>
    </row>
    <row r="47" spans="1:25" hidden="1" x14ac:dyDescent="0.25">
      <c r="A47" s="812" t="s">
        <v>20</v>
      </c>
      <c r="B47" s="810" t="s">
        <v>267</v>
      </c>
      <c r="C47" s="810">
        <v>29056</v>
      </c>
      <c r="D47" s="810">
        <v>825</v>
      </c>
      <c r="E47" s="810">
        <v>23971</v>
      </c>
      <c r="F47" s="810">
        <v>8120</v>
      </c>
      <c r="G47" s="810">
        <v>395</v>
      </c>
      <c r="H47" s="810">
        <v>3207</v>
      </c>
      <c r="I47" s="810" t="s">
        <v>18</v>
      </c>
      <c r="J47" s="810" t="s">
        <v>18</v>
      </c>
      <c r="K47" s="810" t="s">
        <v>18</v>
      </c>
      <c r="L47" s="810">
        <v>70100</v>
      </c>
      <c r="M47" s="810">
        <v>475</v>
      </c>
      <c r="N47" s="810">
        <v>33298</v>
      </c>
      <c r="O47" s="810" t="s">
        <v>18</v>
      </c>
      <c r="P47" s="810" t="s">
        <v>18</v>
      </c>
      <c r="Q47" s="810" t="s">
        <v>18</v>
      </c>
      <c r="R47" s="810" t="s">
        <v>18</v>
      </c>
      <c r="S47" s="810" t="s">
        <v>18</v>
      </c>
      <c r="T47" s="810" t="s">
        <v>18</v>
      </c>
      <c r="U47" s="810" t="s">
        <v>18</v>
      </c>
      <c r="V47" s="810" t="s">
        <v>18</v>
      </c>
      <c r="W47" s="810" t="s">
        <v>18</v>
      </c>
      <c r="X47" s="810">
        <v>41000</v>
      </c>
      <c r="Y47" s="810">
        <v>26160</v>
      </c>
    </row>
    <row r="48" spans="1:25" hidden="1" x14ac:dyDescent="0.25">
      <c r="A48" s="812" t="s">
        <v>21</v>
      </c>
      <c r="B48" s="810" t="s">
        <v>267</v>
      </c>
      <c r="C48" s="810" t="s">
        <v>18</v>
      </c>
      <c r="D48" s="810" t="s">
        <v>18</v>
      </c>
      <c r="E48" s="810" t="s">
        <v>18</v>
      </c>
      <c r="F48" s="810" t="s">
        <v>18</v>
      </c>
      <c r="G48" s="810" t="s">
        <v>18</v>
      </c>
      <c r="H48" s="810" t="s">
        <v>18</v>
      </c>
      <c r="I48" s="810" t="s">
        <v>18</v>
      </c>
      <c r="J48" s="810" t="s">
        <v>18</v>
      </c>
      <c r="K48" s="810" t="s">
        <v>18</v>
      </c>
      <c r="L48" s="810">
        <v>520</v>
      </c>
      <c r="M48" s="810">
        <v>362</v>
      </c>
      <c r="N48" s="810">
        <v>188</v>
      </c>
      <c r="O48" s="810" t="s">
        <v>18</v>
      </c>
      <c r="P48" s="810" t="s">
        <v>18</v>
      </c>
      <c r="Q48" s="810" t="s">
        <v>18</v>
      </c>
      <c r="R48" s="810" t="s">
        <v>18</v>
      </c>
      <c r="S48" s="810" t="s">
        <v>18</v>
      </c>
      <c r="T48" s="810" t="s">
        <v>18</v>
      </c>
      <c r="U48" s="810" t="s">
        <v>18</v>
      </c>
      <c r="V48" s="810" t="s">
        <v>18</v>
      </c>
      <c r="W48" s="810" t="s">
        <v>18</v>
      </c>
      <c r="X48" s="810" t="s">
        <v>18</v>
      </c>
      <c r="Y48" s="810" t="s">
        <v>18</v>
      </c>
    </row>
    <row r="49" spans="1:25" hidden="1" x14ac:dyDescent="0.25">
      <c r="A49" s="812" t="s">
        <v>22</v>
      </c>
      <c r="B49" s="810" t="s">
        <v>267</v>
      </c>
      <c r="C49" s="810" t="s">
        <v>18</v>
      </c>
      <c r="D49" s="810" t="s">
        <v>18</v>
      </c>
      <c r="E49" s="810" t="s">
        <v>18</v>
      </c>
      <c r="F49" s="810" t="s">
        <v>18</v>
      </c>
      <c r="G49" s="810" t="s">
        <v>18</v>
      </c>
      <c r="H49" s="810" t="s">
        <v>18</v>
      </c>
      <c r="I49" s="810" t="s">
        <v>18</v>
      </c>
      <c r="J49" s="810" t="s">
        <v>18</v>
      </c>
      <c r="K49" s="810" t="s">
        <v>18</v>
      </c>
      <c r="L49" s="810" t="s">
        <v>18</v>
      </c>
      <c r="M49" s="810" t="s">
        <v>18</v>
      </c>
      <c r="N49" s="810" t="s">
        <v>18</v>
      </c>
      <c r="O49" s="810" t="s">
        <v>18</v>
      </c>
      <c r="P49" s="810" t="s">
        <v>18</v>
      </c>
      <c r="Q49" s="810" t="s">
        <v>18</v>
      </c>
      <c r="R49" s="810" t="s">
        <v>18</v>
      </c>
      <c r="S49" s="810" t="s">
        <v>18</v>
      </c>
      <c r="T49" s="810" t="s">
        <v>18</v>
      </c>
      <c r="U49" s="810" t="s">
        <v>18</v>
      </c>
      <c r="V49" s="810" t="s">
        <v>18</v>
      </c>
      <c r="W49" s="810" t="s">
        <v>18</v>
      </c>
      <c r="X49" s="810">
        <v>70</v>
      </c>
      <c r="Y49" s="810">
        <v>106</v>
      </c>
    </row>
    <row r="50" spans="1:25" hidden="1" x14ac:dyDescent="0.25">
      <c r="A50" s="813" t="s">
        <v>23</v>
      </c>
      <c r="B50" s="810" t="s">
        <v>267</v>
      </c>
      <c r="C50" s="810">
        <v>139272</v>
      </c>
      <c r="D50" s="810">
        <v>1200</v>
      </c>
      <c r="E50" s="810">
        <v>167126</v>
      </c>
      <c r="F50" s="810">
        <v>4140</v>
      </c>
      <c r="G50" s="810">
        <v>575</v>
      </c>
      <c r="H50" s="810">
        <v>2381</v>
      </c>
      <c r="I50" s="810" t="s">
        <v>18</v>
      </c>
      <c r="J50" s="810" t="s">
        <v>18</v>
      </c>
      <c r="K50" s="810" t="s">
        <v>18</v>
      </c>
      <c r="L50" s="810" t="s">
        <v>18</v>
      </c>
      <c r="M50" s="810" t="s">
        <v>18</v>
      </c>
      <c r="N50" s="810" t="s">
        <v>18</v>
      </c>
      <c r="O50" s="810" t="s">
        <v>18</v>
      </c>
      <c r="P50" s="810" t="s">
        <v>18</v>
      </c>
      <c r="Q50" s="810" t="s">
        <v>18</v>
      </c>
      <c r="R50" s="810" t="s">
        <v>18</v>
      </c>
      <c r="S50" s="810" t="s">
        <v>18</v>
      </c>
      <c r="T50" s="810" t="s">
        <v>18</v>
      </c>
      <c r="U50" s="810" t="s">
        <v>18</v>
      </c>
      <c r="V50" s="810" t="s">
        <v>18</v>
      </c>
      <c r="W50" s="810" t="s">
        <v>18</v>
      </c>
      <c r="X50" s="810">
        <v>115210</v>
      </c>
      <c r="Y50" s="810">
        <v>110981</v>
      </c>
    </row>
    <row r="51" spans="1:25" hidden="1" x14ac:dyDescent="0.25">
      <c r="A51" s="812" t="s">
        <v>24</v>
      </c>
      <c r="B51" s="810" t="s">
        <v>267</v>
      </c>
      <c r="C51" s="810">
        <v>4017</v>
      </c>
      <c r="D51" s="810">
        <v>940</v>
      </c>
      <c r="E51" s="810">
        <v>3776</v>
      </c>
      <c r="F51" s="810">
        <v>1290</v>
      </c>
      <c r="G51" s="810">
        <v>400</v>
      </c>
      <c r="H51" s="810">
        <v>516</v>
      </c>
      <c r="I51" s="810" t="s">
        <v>18</v>
      </c>
      <c r="J51" s="810" t="s">
        <v>18</v>
      </c>
      <c r="K51" s="810" t="s">
        <v>18</v>
      </c>
      <c r="L51" s="810">
        <v>17350</v>
      </c>
      <c r="M51" s="810">
        <v>1050</v>
      </c>
      <c r="N51" s="810">
        <v>18218</v>
      </c>
      <c r="O51" s="810" t="s">
        <v>18</v>
      </c>
      <c r="P51" s="810" t="s">
        <v>18</v>
      </c>
      <c r="Q51" s="810" t="s">
        <v>18</v>
      </c>
      <c r="R51" s="810" t="s">
        <v>18</v>
      </c>
      <c r="S51" s="810" t="s">
        <v>18</v>
      </c>
      <c r="T51" s="810" t="s">
        <v>18</v>
      </c>
      <c r="U51" s="810" t="s">
        <v>18</v>
      </c>
      <c r="V51" s="810" t="s">
        <v>18</v>
      </c>
      <c r="W51" s="810" t="s">
        <v>18</v>
      </c>
      <c r="X51" s="810">
        <v>5200</v>
      </c>
      <c r="Y51" s="810">
        <v>3470</v>
      </c>
    </row>
    <row r="52" spans="1:25" hidden="1" x14ac:dyDescent="0.25">
      <c r="A52" s="812" t="s">
        <v>26</v>
      </c>
      <c r="B52" s="810" t="s">
        <v>267</v>
      </c>
      <c r="C52" s="810">
        <v>12648</v>
      </c>
      <c r="D52" s="810">
        <v>1184</v>
      </c>
      <c r="E52" s="810">
        <v>14975</v>
      </c>
      <c r="F52" s="810">
        <v>5055</v>
      </c>
      <c r="G52" s="810">
        <v>560</v>
      </c>
      <c r="H52" s="810">
        <v>2830</v>
      </c>
      <c r="I52" s="810">
        <v>1076</v>
      </c>
      <c r="J52" s="810">
        <v>870</v>
      </c>
      <c r="K52" s="810">
        <v>936</v>
      </c>
      <c r="L52" s="810">
        <v>4136</v>
      </c>
      <c r="M52" s="810">
        <v>490</v>
      </c>
      <c r="N52" s="810">
        <v>2027</v>
      </c>
      <c r="O52" s="810">
        <v>2545</v>
      </c>
      <c r="P52" s="810">
        <v>10000</v>
      </c>
      <c r="Q52" s="810">
        <v>25450</v>
      </c>
      <c r="R52" s="810" t="s">
        <v>18</v>
      </c>
      <c r="S52" s="810" t="s">
        <v>18</v>
      </c>
      <c r="T52" s="810" t="s">
        <v>18</v>
      </c>
      <c r="U52" s="810" t="s">
        <v>18</v>
      </c>
      <c r="V52" s="810" t="s">
        <v>18</v>
      </c>
      <c r="W52" s="810" t="s">
        <v>18</v>
      </c>
      <c r="X52" s="810">
        <v>50894</v>
      </c>
      <c r="Y52" s="810">
        <v>39083</v>
      </c>
    </row>
    <row r="53" spans="1:25" hidden="1" x14ac:dyDescent="0.25">
      <c r="A53" s="813" t="s">
        <v>27</v>
      </c>
      <c r="B53" s="810" t="s">
        <v>267</v>
      </c>
      <c r="C53" s="810">
        <v>32590</v>
      </c>
      <c r="D53" s="810">
        <v>801</v>
      </c>
      <c r="E53" s="810">
        <v>26105</v>
      </c>
      <c r="F53" s="810">
        <v>12582</v>
      </c>
      <c r="G53" s="810">
        <v>464</v>
      </c>
      <c r="H53" s="810">
        <v>5838</v>
      </c>
      <c r="I53" s="810">
        <v>8321</v>
      </c>
      <c r="J53" s="810">
        <v>768</v>
      </c>
      <c r="K53" s="810">
        <v>6391</v>
      </c>
      <c r="L53" s="810">
        <v>7845</v>
      </c>
      <c r="M53" s="810">
        <v>300</v>
      </c>
      <c r="N53" s="810">
        <v>2354</v>
      </c>
      <c r="O53" s="810">
        <v>1145</v>
      </c>
      <c r="P53" s="810">
        <v>9800</v>
      </c>
      <c r="Q53" s="810">
        <v>112210</v>
      </c>
      <c r="R53" s="810" t="s">
        <v>18</v>
      </c>
      <c r="S53" s="810" t="s">
        <v>18</v>
      </c>
      <c r="T53" s="810" t="s">
        <v>18</v>
      </c>
      <c r="U53" s="810" t="s">
        <v>18</v>
      </c>
      <c r="V53" s="810" t="s">
        <v>18</v>
      </c>
      <c r="W53" s="810" t="s">
        <v>18</v>
      </c>
      <c r="X53" s="810">
        <v>64301</v>
      </c>
      <c r="Y53" s="810">
        <v>58773</v>
      </c>
    </row>
    <row r="54" spans="1:25" hidden="1" x14ac:dyDescent="0.25">
      <c r="A54" s="812" t="s">
        <v>50</v>
      </c>
      <c r="B54" s="810" t="s">
        <v>267</v>
      </c>
      <c r="C54" s="810">
        <v>30958</v>
      </c>
      <c r="D54" s="810">
        <v>870</v>
      </c>
      <c r="E54" s="810">
        <v>26933</v>
      </c>
      <c r="F54" s="810">
        <v>12413</v>
      </c>
      <c r="G54" s="810">
        <v>480</v>
      </c>
      <c r="H54" s="810">
        <v>5958</v>
      </c>
      <c r="I54" s="810">
        <v>8786</v>
      </c>
      <c r="J54" s="810">
        <v>800</v>
      </c>
      <c r="K54" s="810">
        <v>7029</v>
      </c>
      <c r="L54" s="810">
        <v>5976</v>
      </c>
      <c r="M54" s="810">
        <v>410</v>
      </c>
      <c r="N54" s="810">
        <v>2450</v>
      </c>
      <c r="O54" s="810">
        <v>4510</v>
      </c>
      <c r="P54" s="810">
        <v>13500</v>
      </c>
      <c r="Q54" s="810">
        <v>60885</v>
      </c>
      <c r="R54" s="810" t="s">
        <v>18</v>
      </c>
      <c r="S54" s="810" t="s">
        <v>18</v>
      </c>
      <c r="T54" s="810" t="s">
        <v>18</v>
      </c>
      <c r="U54" s="810" t="s">
        <v>18</v>
      </c>
      <c r="V54" s="810" t="s">
        <v>18</v>
      </c>
      <c r="W54" s="810" t="s">
        <v>18</v>
      </c>
      <c r="X54" s="810">
        <v>65964</v>
      </c>
      <c r="Y54" s="810">
        <v>50999</v>
      </c>
    </row>
    <row r="55" spans="1:25" hidden="1" x14ac:dyDescent="0.25">
      <c r="A55" s="812" t="s">
        <v>163</v>
      </c>
      <c r="B55" s="810" t="s">
        <v>267</v>
      </c>
      <c r="C55" s="810">
        <v>41788</v>
      </c>
      <c r="D55" s="810">
        <v>1080</v>
      </c>
      <c r="E55" s="810">
        <v>45131</v>
      </c>
      <c r="F55" s="810">
        <v>10667</v>
      </c>
      <c r="G55" s="810">
        <v>528</v>
      </c>
      <c r="H55" s="810">
        <v>5632</v>
      </c>
      <c r="I55" s="810">
        <v>10024</v>
      </c>
      <c r="J55" s="810">
        <v>900</v>
      </c>
      <c r="K55" s="810">
        <v>9022</v>
      </c>
      <c r="L55" s="810">
        <v>3763</v>
      </c>
      <c r="M55" s="810">
        <v>445</v>
      </c>
      <c r="N55" s="810">
        <v>1675</v>
      </c>
      <c r="O55" s="810">
        <v>5961</v>
      </c>
      <c r="P55" s="810">
        <v>11500</v>
      </c>
      <c r="Q55" s="810">
        <v>6859</v>
      </c>
      <c r="R55" s="810" t="s">
        <v>18</v>
      </c>
      <c r="S55" s="810" t="s">
        <v>18</v>
      </c>
      <c r="T55" s="810" t="s">
        <v>18</v>
      </c>
      <c r="U55" s="810" t="s">
        <v>18</v>
      </c>
      <c r="V55" s="810" t="s">
        <v>18</v>
      </c>
      <c r="W55" s="810" t="s">
        <v>18</v>
      </c>
      <c r="X55" s="810">
        <v>100302</v>
      </c>
      <c r="Y55" s="810">
        <v>77269</v>
      </c>
    </row>
    <row r="56" spans="1:25" hidden="1" x14ac:dyDescent="0.25">
      <c r="A56" s="812" t="s">
        <v>52</v>
      </c>
      <c r="B56" s="810" t="s">
        <v>267</v>
      </c>
      <c r="C56" s="810">
        <v>106695</v>
      </c>
      <c r="D56" s="810">
        <v>1321</v>
      </c>
      <c r="E56" s="810">
        <v>149980</v>
      </c>
      <c r="F56" s="810">
        <v>3464</v>
      </c>
      <c r="G56" s="810">
        <v>508</v>
      </c>
      <c r="H56" s="810">
        <v>1760</v>
      </c>
      <c r="I56" s="810">
        <v>16454</v>
      </c>
      <c r="J56" s="810">
        <v>950</v>
      </c>
      <c r="K56" s="810">
        <v>15631</v>
      </c>
      <c r="L56" s="810">
        <v>16072</v>
      </c>
      <c r="M56" s="810">
        <v>624</v>
      </c>
      <c r="N56" s="810">
        <v>10029</v>
      </c>
      <c r="O56" s="810">
        <v>8890</v>
      </c>
      <c r="P56" s="810">
        <v>12000</v>
      </c>
      <c r="Q56" s="810">
        <v>106680</v>
      </c>
      <c r="R56" s="810" t="s">
        <v>18</v>
      </c>
      <c r="S56" s="810" t="s">
        <v>18</v>
      </c>
      <c r="T56" s="810" t="s">
        <v>18</v>
      </c>
      <c r="U56" s="810" t="s">
        <v>18</v>
      </c>
      <c r="V56" s="810" t="s">
        <v>18</v>
      </c>
      <c r="W56" s="810" t="s">
        <v>18</v>
      </c>
      <c r="X56" s="810">
        <v>54827</v>
      </c>
      <c r="Y56" s="810">
        <v>36017</v>
      </c>
    </row>
    <row r="57" spans="1:25" hidden="1" x14ac:dyDescent="0.25">
      <c r="A57" s="812" t="s">
        <v>15</v>
      </c>
      <c r="B57" s="810" t="s">
        <v>238</v>
      </c>
      <c r="C57" s="810">
        <v>9348</v>
      </c>
      <c r="D57" s="810">
        <v>480</v>
      </c>
      <c r="E57" s="810">
        <v>4487</v>
      </c>
      <c r="F57" s="810">
        <v>3134</v>
      </c>
      <c r="G57" s="810">
        <v>150</v>
      </c>
      <c r="H57" s="810">
        <v>470</v>
      </c>
      <c r="I57" s="810" t="s">
        <v>18</v>
      </c>
      <c r="J57" s="810" t="s">
        <v>18</v>
      </c>
      <c r="K57" s="810" t="s">
        <v>18</v>
      </c>
      <c r="L57" s="810">
        <v>7632</v>
      </c>
      <c r="M57" s="810">
        <v>2610</v>
      </c>
      <c r="N57" s="810">
        <v>20114</v>
      </c>
      <c r="O57" s="810" t="s">
        <v>18</v>
      </c>
      <c r="P57" s="810" t="s">
        <v>18</v>
      </c>
      <c r="Q57" s="810" t="s">
        <v>18</v>
      </c>
      <c r="R57" s="810" t="s">
        <v>18</v>
      </c>
      <c r="S57" s="810" t="s">
        <v>18</v>
      </c>
      <c r="T57" s="810" t="s">
        <v>18</v>
      </c>
      <c r="U57" s="810" t="s">
        <v>18</v>
      </c>
      <c r="V57" s="810" t="s">
        <v>18</v>
      </c>
      <c r="W57" s="810" t="s">
        <v>18</v>
      </c>
      <c r="X57" s="810">
        <v>20114</v>
      </c>
      <c r="Y57" s="810">
        <v>7567</v>
      </c>
    </row>
    <row r="58" spans="1:25" hidden="1" x14ac:dyDescent="0.25">
      <c r="A58" s="812" t="s">
        <v>89</v>
      </c>
      <c r="B58" s="810" t="s">
        <v>238</v>
      </c>
      <c r="C58" s="810"/>
      <c r="D58" s="810"/>
      <c r="E58" s="810"/>
      <c r="F58" s="810"/>
      <c r="G58" s="810"/>
      <c r="H58" s="810"/>
      <c r="I58" s="810"/>
      <c r="J58" s="810"/>
      <c r="K58" s="810"/>
      <c r="L58" s="810"/>
      <c r="M58" s="810"/>
      <c r="N58" s="810"/>
      <c r="O58" s="810"/>
      <c r="P58" s="810"/>
      <c r="Q58" s="810"/>
      <c r="R58" s="810"/>
      <c r="S58" s="810"/>
      <c r="T58" s="810"/>
      <c r="U58" s="810"/>
      <c r="V58" s="810"/>
      <c r="W58" s="810"/>
      <c r="X58" s="810"/>
      <c r="Y58" s="810"/>
    </row>
    <row r="59" spans="1:25" hidden="1" x14ac:dyDescent="0.25">
      <c r="A59" s="812" t="s">
        <v>17</v>
      </c>
      <c r="B59" s="810" t="s">
        <v>238</v>
      </c>
      <c r="C59" s="810">
        <v>11200</v>
      </c>
      <c r="D59" s="810">
        <v>800</v>
      </c>
      <c r="E59" s="810">
        <v>8960</v>
      </c>
      <c r="F59" s="810" t="s">
        <v>18</v>
      </c>
      <c r="G59" s="810" t="s">
        <v>18</v>
      </c>
      <c r="H59" s="810" t="s">
        <v>18</v>
      </c>
      <c r="I59" s="810" t="s">
        <v>18</v>
      </c>
      <c r="J59" s="810" t="s">
        <v>18</v>
      </c>
      <c r="K59" s="810" t="s">
        <v>18</v>
      </c>
      <c r="L59" s="810" t="s">
        <v>18</v>
      </c>
      <c r="M59" s="810" t="s">
        <v>18</v>
      </c>
      <c r="N59" s="810" t="s">
        <v>18</v>
      </c>
      <c r="O59" s="810" t="s">
        <v>18</v>
      </c>
      <c r="P59" s="810" t="s">
        <v>18</v>
      </c>
      <c r="Q59" s="810" t="s">
        <v>18</v>
      </c>
      <c r="R59" s="810" t="s">
        <v>18</v>
      </c>
      <c r="S59" s="810" t="s">
        <v>18</v>
      </c>
      <c r="T59" s="810" t="s">
        <v>18</v>
      </c>
      <c r="U59" s="810" t="s">
        <v>18</v>
      </c>
      <c r="V59" s="810" t="s">
        <v>18</v>
      </c>
      <c r="W59" s="810" t="s">
        <v>18</v>
      </c>
      <c r="X59" s="810">
        <v>11200</v>
      </c>
      <c r="Y59" s="810">
        <v>8960</v>
      </c>
    </row>
    <row r="60" spans="1:25" hidden="1" x14ac:dyDescent="0.25">
      <c r="A60" s="812" t="s">
        <v>103</v>
      </c>
      <c r="B60" s="810" t="s">
        <v>238</v>
      </c>
      <c r="C60" s="810">
        <v>13320</v>
      </c>
      <c r="D60" s="810">
        <v>647</v>
      </c>
      <c r="E60" s="810">
        <v>8618</v>
      </c>
      <c r="F60" s="810">
        <v>172</v>
      </c>
      <c r="G60" s="810">
        <v>271</v>
      </c>
      <c r="H60" s="810">
        <v>106</v>
      </c>
      <c r="I60" s="810" t="s">
        <v>18</v>
      </c>
      <c r="J60" s="810" t="s">
        <v>18</v>
      </c>
      <c r="K60" s="810" t="s">
        <v>18</v>
      </c>
      <c r="L60" s="810">
        <v>2630</v>
      </c>
      <c r="M60" s="810">
        <v>440</v>
      </c>
      <c r="N60" s="810">
        <v>1157</v>
      </c>
      <c r="O60" s="810" t="s">
        <v>18</v>
      </c>
      <c r="P60" s="810" t="s">
        <v>18</v>
      </c>
      <c r="Q60" s="810" t="s">
        <v>18</v>
      </c>
      <c r="R60" s="810" t="s">
        <v>18</v>
      </c>
      <c r="S60" s="810" t="s">
        <v>18</v>
      </c>
      <c r="T60" s="810" t="s">
        <v>18</v>
      </c>
      <c r="U60" s="810" t="s">
        <v>18</v>
      </c>
      <c r="V60" s="810" t="s">
        <v>18</v>
      </c>
      <c r="W60" s="810" t="s">
        <v>18</v>
      </c>
      <c r="X60" s="810">
        <v>16122</v>
      </c>
      <c r="Y60" s="810">
        <v>9881</v>
      </c>
    </row>
    <row r="61" spans="1:25" hidden="1" x14ac:dyDescent="0.25">
      <c r="A61" s="812" t="s">
        <v>20</v>
      </c>
      <c r="B61" s="810" t="s">
        <v>238</v>
      </c>
      <c r="C61" s="810">
        <v>32682</v>
      </c>
      <c r="D61" s="810">
        <v>800</v>
      </c>
      <c r="E61" s="810">
        <v>26145</v>
      </c>
      <c r="F61" s="810">
        <v>800</v>
      </c>
      <c r="G61" s="810">
        <v>400</v>
      </c>
      <c r="H61" s="810">
        <v>3200</v>
      </c>
      <c r="I61" s="810" t="s">
        <v>18</v>
      </c>
      <c r="J61" s="810" t="s">
        <v>18</v>
      </c>
      <c r="K61" s="810" t="s">
        <v>18</v>
      </c>
      <c r="L61" s="810"/>
      <c r="M61" s="810"/>
      <c r="N61" s="810"/>
      <c r="O61" s="810" t="s">
        <v>18</v>
      </c>
      <c r="P61" s="810" t="s">
        <v>18</v>
      </c>
      <c r="Q61" s="810" t="s">
        <v>18</v>
      </c>
      <c r="R61" s="810" t="s">
        <v>18</v>
      </c>
      <c r="S61" s="810" t="s">
        <v>18</v>
      </c>
      <c r="T61" s="810" t="s">
        <v>18</v>
      </c>
      <c r="U61" s="810" t="s">
        <v>18</v>
      </c>
      <c r="V61" s="810" t="s">
        <v>18</v>
      </c>
      <c r="W61" s="810" t="s">
        <v>18</v>
      </c>
      <c r="X61" s="810">
        <v>40682</v>
      </c>
      <c r="Y61" s="810">
        <v>29345</v>
      </c>
    </row>
    <row r="62" spans="1:25" hidden="1" x14ac:dyDescent="0.25">
      <c r="A62" s="812" t="s">
        <v>21</v>
      </c>
      <c r="B62" s="810" t="s">
        <v>238</v>
      </c>
      <c r="C62" s="810" t="s">
        <v>18</v>
      </c>
      <c r="D62" s="810" t="s">
        <v>18</v>
      </c>
      <c r="E62" s="810" t="s">
        <v>18</v>
      </c>
      <c r="F62" s="810" t="s">
        <v>18</v>
      </c>
      <c r="G62" s="810" t="s">
        <v>18</v>
      </c>
      <c r="H62" s="810" t="s">
        <v>18</v>
      </c>
      <c r="I62" s="810" t="s">
        <v>18</v>
      </c>
      <c r="J62" s="810" t="s">
        <v>18</v>
      </c>
      <c r="K62" s="810" t="s">
        <v>18</v>
      </c>
      <c r="L62" s="810">
        <v>905</v>
      </c>
      <c r="M62" s="810">
        <v>150</v>
      </c>
      <c r="N62" s="810">
        <v>133</v>
      </c>
      <c r="O62" s="810" t="s">
        <v>18</v>
      </c>
      <c r="P62" s="810" t="s">
        <v>18</v>
      </c>
      <c r="Q62" s="810" t="s">
        <v>18</v>
      </c>
      <c r="R62" s="810" t="s">
        <v>18</v>
      </c>
      <c r="S62" s="810" t="s">
        <v>18</v>
      </c>
      <c r="T62" s="810" t="s">
        <v>18</v>
      </c>
      <c r="U62" s="810" t="s">
        <v>18</v>
      </c>
      <c r="V62" s="810" t="s">
        <v>18</v>
      </c>
      <c r="W62" s="810" t="s">
        <v>18</v>
      </c>
      <c r="X62" s="810">
        <v>905</v>
      </c>
      <c r="Y62" s="810">
        <v>133</v>
      </c>
    </row>
    <row r="63" spans="1:25" hidden="1" x14ac:dyDescent="0.25">
      <c r="A63" s="812" t="s">
        <v>22</v>
      </c>
      <c r="B63" s="810" t="s">
        <v>238</v>
      </c>
      <c r="C63" s="810" t="s">
        <v>18</v>
      </c>
      <c r="D63" s="810" t="s">
        <v>18</v>
      </c>
      <c r="E63" s="810" t="s">
        <v>18</v>
      </c>
      <c r="F63" s="810" t="s">
        <v>18</v>
      </c>
      <c r="G63" s="810" t="s">
        <v>18</v>
      </c>
      <c r="H63" s="810" t="s">
        <v>18</v>
      </c>
      <c r="I63" s="810" t="s">
        <v>18</v>
      </c>
      <c r="J63" s="810" t="s">
        <v>18</v>
      </c>
      <c r="K63" s="810" t="s">
        <v>18</v>
      </c>
      <c r="L63" s="810"/>
      <c r="M63" s="810"/>
      <c r="N63" s="810"/>
      <c r="O63" s="810" t="s">
        <v>18</v>
      </c>
      <c r="P63" s="810" t="s">
        <v>18</v>
      </c>
      <c r="Q63" s="810" t="s">
        <v>18</v>
      </c>
      <c r="R63" s="810" t="s">
        <v>18</v>
      </c>
      <c r="S63" s="810" t="s">
        <v>18</v>
      </c>
      <c r="T63" s="810" t="s">
        <v>18</v>
      </c>
      <c r="U63" s="810" t="s">
        <v>18</v>
      </c>
      <c r="V63" s="810" t="s">
        <v>18</v>
      </c>
      <c r="W63" s="810" t="s">
        <v>18</v>
      </c>
      <c r="X63" s="810" t="s">
        <v>18</v>
      </c>
      <c r="Y63" s="810" t="s">
        <v>18</v>
      </c>
    </row>
    <row r="64" spans="1:25" hidden="1" x14ac:dyDescent="0.25">
      <c r="A64" s="813" t="s">
        <v>23</v>
      </c>
      <c r="B64" s="810" t="s">
        <v>238</v>
      </c>
      <c r="C64" s="810">
        <v>157000</v>
      </c>
      <c r="D64" s="810">
        <v>1128</v>
      </c>
      <c r="E64" s="810">
        <v>177096</v>
      </c>
      <c r="F64" s="810">
        <v>9700</v>
      </c>
      <c r="G64" s="810">
        <v>275</v>
      </c>
      <c r="H64" s="810">
        <v>2677</v>
      </c>
      <c r="I64" s="810" t="s">
        <v>18</v>
      </c>
      <c r="J64" s="810" t="s">
        <v>18</v>
      </c>
      <c r="K64" s="810" t="s">
        <v>18</v>
      </c>
      <c r="L64" s="810">
        <v>19500</v>
      </c>
      <c r="M64" s="810">
        <v>700</v>
      </c>
      <c r="N64" s="810">
        <v>13860</v>
      </c>
      <c r="O64" s="810" t="s">
        <v>18</v>
      </c>
      <c r="P64" s="810" t="s">
        <v>18</v>
      </c>
      <c r="Q64" s="810" t="s">
        <v>18</v>
      </c>
      <c r="R64" s="810" t="s">
        <v>18</v>
      </c>
      <c r="S64" s="810" t="s">
        <v>18</v>
      </c>
      <c r="T64" s="810" t="s">
        <v>18</v>
      </c>
      <c r="U64" s="810" t="s">
        <v>18</v>
      </c>
      <c r="V64" s="810" t="s">
        <v>18</v>
      </c>
      <c r="W64" s="810" t="s">
        <v>18</v>
      </c>
      <c r="X64" s="810">
        <v>186200</v>
      </c>
      <c r="Y64" s="810">
        <v>193633</v>
      </c>
    </row>
    <row r="65" spans="1:25" hidden="1" x14ac:dyDescent="0.25">
      <c r="A65" s="812" t="s">
        <v>24</v>
      </c>
      <c r="B65" s="810" t="s">
        <v>238</v>
      </c>
      <c r="C65" s="810">
        <v>3200</v>
      </c>
      <c r="D65" s="810">
        <v>899</v>
      </c>
      <c r="E65" s="810">
        <v>2876</v>
      </c>
      <c r="F65" s="810">
        <v>1115</v>
      </c>
      <c r="G65" s="810">
        <v>365</v>
      </c>
      <c r="H65" s="810">
        <v>407</v>
      </c>
      <c r="I65" s="810" t="s">
        <v>18</v>
      </c>
      <c r="J65" s="810" t="s">
        <v>18</v>
      </c>
      <c r="K65" s="810" t="s">
        <v>18</v>
      </c>
      <c r="L65" s="810" t="s">
        <v>18</v>
      </c>
      <c r="M65" s="810" t="s">
        <v>18</v>
      </c>
      <c r="N65" s="810" t="s">
        <v>18</v>
      </c>
      <c r="O65" s="810" t="s">
        <v>18</v>
      </c>
      <c r="P65" s="810" t="s">
        <v>18</v>
      </c>
      <c r="Q65" s="810" t="s">
        <v>18</v>
      </c>
      <c r="R65" s="810" t="s">
        <v>18</v>
      </c>
      <c r="S65" s="810" t="s">
        <v>18</v>
      </c>
      <c r="T65" s="810" t="s">
        <v>18</v>
      </c>
      <c r="U65" s="810" t="s">
        <v>18</v>
      </c>
      <c r="V65" s="810" t="s">
        <v>18</v>
      </c>
      <c r="W65" s="810" t="s">
        <v>18</v>
      </c>
      <c r="X65" s="810">
        <v>4315</v>
      </c>
      <c r="Y65" s="810">
        <v>3283</v>
      </c>
    </row>
    <row r="66" spans="1:25" hidden="1" x14ac:dyDescent="0.25">
      <c r="A66" s="812" t="s">
        <v>26</v>
      </c>
      <c r="B66" s="810" t="s">
        <v>238</v>
      </c>
      <c r="C66" s="810">
        <v>54788</v>
      </c>
      <c r="D66" s="810">
        <v>945</v>
      </c>
      <c r="E66" s="810">
        <v>51774</v>
      </c>
      <c r="F66" s="810">
        <v>6706</v>
      </c>
      <c r="G66" s="810">
        <v>409</v>
      </c>
      <c r="H66" s="810">
        <v>2742</v>
      </c>
      <c r="I66" s="810" t="s">
        <v>18</v>
      </c>
      <c r="J66" s="810" t="s">
        <v>18</v>
      </c>
      <c r="K66" s="810" t="s">
        <v>18</v>
      </c>
      <c r="L66" s="810" t="s">
        <v>18</v>
      </c>
      <c r="M66" s="810" t="s">
        <v>18</v>
      </c>
      <c r="N66" s="810" t="s">
        <v>18</v>
      </c>
      <c r="O66" s="810">
        <v>2545</v>
      </c>
      <c r="P66" s="810">
        <v>11200</v>
      </c>
      <c r="Q66" s="810">
        <v>28504</v>
      </c>
      <c r="R66" s="810" t="s">
        <v>18</v>
      </c>
      <c r="S66" s="810" t="s">
        <v>18</v>
      </c>
      <c r="T66" s="810" t="s">
        <v>18</v>
      </c>
      <c r="U66" s="810" t="s">
        <v>18</v>
      </c>
      <c r="V66" s="810" t="s">
        <v>18</v>
      </c>
      <c r="W66" s="810" t="s">
        <v>18</v>
      </c>
      <c r="X66" s="810">
        <v>61494</v>
      </c>
      <c r="Y66" s="810">
        <v>54516</v>
      </c>
    </row>
    <row r="67" spans="1:25" hidden="1" x14ac:dyDescent="0.25">
      <c r="A67" s="813" t="s">
        <v>27</v>
      </c>
      <c r="B67" s="810" t="s">
        <v>238</v>
      </c>
      <c r="C67" s="810">
        <v>25933</v>
      </c>
      <c r="D67" s="810">
        <v>768</v>
      </c>
      <c r="E67" s="810">
        <v>1991</v>
      </c>
      <c r="F67" s="810">
        <v>13841</v>
      </c>
      <c r="G67" s="810">
        <v>345</v>
      </c>
      <c r="H67" s="810">
        <v>4775</v>
      </c>
      <c r="I67" s="810" t="s">
        <v>18</v>
      </c>
      <c r="J67" s="810" t="s">
        <v>18</v>
      </c>
      <c r="K67" s="810" t="s">
        <v>18</v>
      </c>
      <c r="L67" s="810" t="s">
        <v>18</v>
      </c>
      <c r="M67" s="810" t="s">
        <v>18</v>
      </c>
      <c r="N67" s="810" t="s">
        <v>18</v>
      </c>
      <c r="O67" s="810">
        <v>1160</v>
      </c>
      <c r="P67" s="810">
        <v>10000</v>
      </c>
      <c r="Q67" s="810">
        <v>11600</v>
      </c>
      <c r="R67" s="810" t="s">
        <v>18</v>
      </c>
      <c r="S67" s="810" t="s">
        <v>18</v>
      </c>
      <c r="T67" s="810" t="s">
        <v>18</v>
      </c>
      <c r="U67" s="810" t="s">
        <v>18</v>
      </c>
      <c r="V67" s="810" t="s">
        <v>18</v>
      </c>
      <c r="W67" s="810" t="s">
        <v>18</v>
      </c>
      <c r="X67" s="810">
        <v>39774</v>
      </c>
      <c r="Y67" s="810">
        <v>24691</v>
      </c>
    </row>
    <row r="68" spans="1:25" hidden="1" x14ac:dyDescent="0.25">
      <c r="A68" s="812" t="s">
        <v>50</v>
      </c>
      <c r="B68" s="810" t="s">
        <v>238</v>
      </c>
      <c r="C68" s="810">
        <v>42596</v>
      </c>
      <c r="D68" s="810">
        <v>879</v>
      </c>
      <c r="E68" s="810">
        <v>37442</v>
      </c>
      <c r="F68" s="810">
        <v>20262</v>
      </c>
      <c r="G68" s="810">
        <v>334</v>
      </c>
      <c r="H68" s="810">
        <v>6767</v>
      </c>
      <c r="I68" s="810" t="s">
        <v>18</v>
      </c>
      <c r="J68" s="810" t="s">
        <v>18</v>
      </c>
      <c r="K68" s="810" t="s">
        <v>18</v>
      </c>
      <c r="L68" s="810" t="s">
        <v>18</v>
      </c>
      <c r="M68" s="810" t="s">
        <v>18</v>
      </c>
      <c r="N68" s="810" t="s">
        <v>18</v>
      </c>
      <c r="O68" s="810">
        <v>4576</v>
      </c>
      <c r="P68" s="810">
        <v>10500</v>
      </c>
      <c r="Q68" s="810">
        <v>48048</v>
      </c>
      <c r="R68" s="810" t="s">
        <v>18</v>
      </c>
      <c r="S68" s="810" t="s">
        <v>18</v>
      </c>
      <c r="T68" s="810" t="s">
        <v>18</v>
      </c>
      <c r="U68" s="810" t="s">
        <v>18</v>
      </c>
      <c r="V68" s="810" t="s">
        <v>18</v>
      </c>
      <c r="W68" s="810" t="s">
        <v>18</v>
      </c>
      <c r="X68" s="810">
        <v>2858</v>
      </c>
      <c r="Y68" s="810">
        <v>44209</v>
      </c>
    </row>
    <row r="69" spans="1:25" hidden="1" x14ac:dyDescent="0.25">
      <c r="A69" s="812" t="s">
        <v>163</v>
      </c>
      <c r="B69" s="810" t="s">
        <v>238</v>
      </c>
      <c r="C69" s="810">
        <v>8980</v>
      </c>
      <c r="D69" s="810">
        <v>876</v>
      </c>
      <c r="E69" s="810">
        <v>7866</v>
      </c>
      <c r="F69" s="810">
        <v>6688</v>
      </c>
      <c r="G69" s="810">
        <v>368</v>
      </c>
      <c r="H69" s="810">
        <v>2461</v>
      </c>
      <c r="I69" s="810" t="s">
        <v>18</v>
      </c>
      <c r="J69" s="810" t="s">
        <v>18</v>
      </c>
      <c r="K69" s="810" t="s">
        <v>18</v>
      </c>
      <c r="L69" s="810" t="s">
        <v>18</v>
      </c>
      <c r="M69" s="810" t="s">
        <v>18</v>
      </c>
      <c r="N69" s="810" t="s">
        <v>18</v>
      </c>
      <c r="O69" s="810">
        <v>5967</v>
      </c>
      <c r="P69" s="810">
        <v>10550</v>
      </c>
      <c r="Q69" s="810">
        <v>62653</v>
      </c>
      <c r="R69" s="810" t="s">
        <v>18</v>
      </c>
      <c r="S69" s="810" t="s">
        <v>18</v>
      </c>
      <c r="T69" s="810" t="s">
        <v>18</v>
      </c>
      <c r="U69" s="810" t="s">
        <v>18</v>
      </c>
      <c r="V69" s="810" t="s">
        <v>18</v>
      </c>
      <c r="W69" s="810" t="s">
        <v>18</v>
      </c>
      <c r="X69" s="810">
        <v>15668</v>
      </c>
      <c r="Y69" s="810">
        <v>10327</v>
      </c>
    </row>
    <row r="70" spans="1:25" hidden="1" x14ac:dyDescent="0.25">
      <c r="A70" s="812" t="s">
        <v>52</v>
      </c>
      <c r="B70" s="810" t="s">
        <v>238</v>
      </c>
      <c r="C70" s="810">
        <v>26073</v>
      </c>
      <c r="D70" s="810">
        <v>1023</v>
      </c>
      <c r="E70" s="810">
        <v>26672</v>
      </c>
      <c r="F70" s="810">
        <v>4054</v>
      </c>
      <c r="G70" s="810">
        <v>301</v>
      </c>
      <c r="H70" s="810">
        <v>1220</v>
      </c>
      <c r="I70" s="810" t="s">
        <v>18</v>
      </c>
      <c r="J70" s="810" t="s">
        <v>18</v>
      </c>
      <c r="K70" s="810" t="s">
        <v>18</v>
      </c>
      <c r="L70" s="810" t="s">
        <v>18</v>
      </c>
      <c r="M70" s="810" t="s">
        <v>18</v>
      </c>
      <c r="N70" s="810" t="s">
        <v>18</v>
      </c>
      <c r="O70" s="810">
        <v>8970</v>
      </c>
      <c r="P70" s="810">
        <v>11500</v>
      </c>
      <c r="Q70" s="810">
        <v>10315</v>
      </c>
      <c r="R70" s="810" t="s">
        <v>18</v>
      </c>
      <c r="S70" s="810" t="s">
        <v>18</v>
      </c>
      <c r="T70" s="810" t="s">
        <v>18</v>
      </c>
      <c r="U70" s="810" t="s">
        <v>18</v>
      </c>
      <c r="V70" s="810" t="s">
        <v>18</v>
      </c>
      <c r="W70" s="810" t="s">
        <v>18</v>
      </c>
      <c r="X70" s="810">
        <v>30127</v>
      </c>
      <c r="Y70" s="810">
        <v>27892</v>
      </c>
    </row>
    <row r="71" spans="1:25" hidden="1" x14ac:dyDescent="0.25">
      <c r="A71" s="812" t="s">
        <v>15</v>
      </c>
      <c r="B71" s="810" t="s">
        <v>239</v>
      </c>
      <c r="C71" s="810">
        <v>1800</v>
      </c>
      <c r="D71" s="810">
        <v>340</v>
      </c>
      <c r="E71" s="810">
        <v>6120</v>
      </c>
      <c r="F71" s="810">
        <v>4300</v>
      </c>
      <c r="G71" s="810">
        <v>100</v>
      </c>
      <c r="H71" s="810">
        <v>430</v>
      </c>
      <c r="I71" s="810" t="s">
        <v>18</v>
      </c>
      <c r="J71" s="810" t="s">
        <v>18</v>
      </c>
      <c r="K71" s="810" t="s">
        <v>18</v>
      </c>
      <c r="L71" s="810">
        <v>10800</v>
      </c>
      <c r="M71" s="810">
        <v>300</v>
      </c>
      <c r="N71" s="810">
        <v>3240</v>
      </c>
      <c r="O71" s="810" t="s">
        <v>18</v>
      </c>
      <c r="P71" s="810" t="s">
        <v>18</v>
      </c>
      <c r="Q71" s="810" t="s">
        <v>18</v>
      </c>
      <c r="R71" s="810" t="s">
        <v>18</v>
      </c>
      <c r="S71" s="810" t="s">
        <v>18</v>
      </c>
      <c r="T71" s="810" t="s">
        <v>18</v>
      </c>
      <c r="U71" s="810" t="s">
        <v>18</v>
      </c>
      <c r="V71" s="810" t="s">
        <v>18</v>
      </c>
      <c r="W71" s="810" t="s">
        <v>18</v>
      </c>
      <c r="X71" s="810">
        <v>16900</v>
      </c>
      <c r="Y71" s="810">
        <v>9790</v>
      </c>
    </row>
    <row r="72" spans="1:25" hidden="1" x14ac:dyDescent="0.25">
      <c r="A72" s="812" t="s">
        <v>89</v>
      </c>
      <c r="B72" s="810" t="s">
        <v>239</v>
      </c>
      <c r="C72" s="810"/>
      <c r="D72" s="810"/>
      <c r="E72" s="810"/>
      <c r="F72" s="810"/>
      <c r="G72" s="810"/>
      <c r="H72" s="810"/>
      <c r="I72" s="810"/>
      <c r="J72" s="810"/>
      <c r="K72" s="810"/>
      <c r="L72" s="810"/>
      <c r="M72" s="810"/>
      <c r="N72" s="810"/>
      <c r="O72" s="810"/>
      <c r="P72" s="810"/>
      <c r="Q72" s="810"/>
      <c r="R72" s="810"/>
      <c r="S72" s="810"/>
      <c r="T72" s="810"/>
      <c r="U72" s="810"/>
      <c r="V72" s="810"/>
      <c r="W72" s="810"/>
      <c r="X72" s="895"/>
      <c r="Y72" s="810"/>
    </row>
    <row r="73" spans="1:25" hidden="1" x14ac:dyDescent="0.25">
      <c r="A73" s="812" t="s">
        <v>17</v>
      </c>
      <c r="B73" s="810" t="s">
        <v>239</v>
      </c>
      <c r="C73" s="810">
        <v>9000</v>
      </c>
      <c r="D73" s="810">
        <v>22</v>
      </c>
      <c r="E73" s="810">
        <v>198</v>
      </c>
      <c r="F73" s="810">
        <v>2484</v>
      </c>
      <c r="G73" s="810">
        <v>60</v>
      </c>
      <c r="H73" s="810">
        <v>150</v>
      </c>
      <c r="I73" s="810" t="s">
        <v>18</v>
      </c>
      <c r="J73" s="810" t="s">
        <v>18</v>
      </c>
      <c r="K73" s="810" t="s">
        <v>18</v>
      </c>
      <c r="L73" s="810">
        <v>1537</v>
      </c>
      <c r="M73" s="810">
        <v>150</v>
      </c>
      <c r="N73" s="810">
        <v>230</v>
      </c>
      <c r="O73" s="810" t="s">
        <v>18</v>
      </c>
      <c r="P73" s="810" t="s">
        <v>18</v>
      </c>
      <c r="Q73" s="810" t="s">
        <v>18</v>
      </c>
      <c r="R73" s="810" t="s">
        <v>18</v>
      </c>
      <c r="S73" s="810" t="s">
        <v>18</v>
      </c>
      <c r="T73" s="810" t="s">
        <v>18</v>
      </c>
      <c r="U73" s="810" t="s">
        <v>18</v>
      </c>
      <c r="V73" s="810" t="s">
        <v>18</v>
      </c>
      <c r="W73" s="810" t="s">
        <v>18</v>
      </c>
      <c r="X73" s="810">
        <v>13021</v>
      </c>
      <c r="Y73" s="810">
        <v>578</v>
      </c>
    </row>
    <row r="74" spans="1:25" hidden="1" x14ac:dyDescent="0.25">
      <c r="A74" s="812" t="s">
        <v>103</v>
      </c>
      <c r="B74" s="810" t="s">
        <v>239</v>
      </c>
      <c r="C74" s="810">
        <v>58544</v>
      </c>
      <c r="D74" s="810">
        <v>550</v>
      </c>
      <c r="E74" s="810">
        <v>32200</v>
      </c>
      <c r="F74" s="810">
        <v>6111</v>
      </c>
      <c r="G74" s="810">
        <v>200</v>
      </c>
      <c r="H74" s="810">
        <v>1222</v>
      </c>
      <c r="I74" s="810">
        <v>477</v>
      </c>
      <c r="J74" s="810">
        <v>500</v>
      </c>
      <c r="K74" s="810">
        <v>238</v>
      </c>
      <c r="L74" s="810">
        <v>26886</v>
      </c>
      <c r="M74" s="810">
        <v>440</v>
      </c>
      <c r="N74" s="810">
        <v>11830</v>
      </c>
      <c r="O74" s="810" t="s">
        <v>18</v>
      </c>
      <c r="P74" s="810" t="s">
        <v>18</v>
      </c>
      <c r="Q74" s="810" t="s">
        <v>18</v>
      </c>
      <c r="R74" s="810" t="s">
        <v>18</v>
      </c>
      <c r="S74" s="810" t="s">
        <v>18</v>
      </c>
      <c r="T74" s="810" t="s">
        <v>18</v>
      </c>
      <c r="U74" s="810" t="s">
        <v>18</v>
      </c>
      <c r="V74" s="810" t="s">
        <v>18</v>
      </c>
      <c r="W74" s="810" t="s">
        <v>18</v>
      </c>
      <c r="X74" s="810">
        <v>92018</v>
      </c>
      <c r="Y74" s="810">
        <v>45490</v>
      </c>
    </row>
    <row r="75" spans="1:25" hidden="1" x14ac:dyDescent="0.25">
      <c r="A75" s="812" t="s">
        <v>20</v>
      </c>
      <c r="B75" s="810" t="s">
        <v>239</v>
      </c>
      <c r="C75" s="810">
        <v>21835</v>
      </c>
      <c r="D75" s="810">
        <v>500</v>
      </c>
      <c r="E75" s="810">
        <v>10918</v>
      </c>
      <c r="F75" s="810">
        <v>15500</v>
      </c>
      <c r="G75" s="810">
        <v>400</v>
      </c>
      <c r="H75" s="810">
        <v>6200</v>
      </c>
      <c r="I75" s="810">
        <v>897</v>
      </c>
      <c r="J75" s="810">
        <v>550</v>
      </c>
      <c r="K75" s="810">
        <v>492</v>
      </c>
      <c r="L75" s="810">
        <v>13175</v>
      </c>
      <c r="M75" s="810">
        <v>425</v>
      </c>
      <c r="N75" s="810">
        <v>5600</v>
      </c>
      <c r="O75" s="810" t="s">
        <v>18</v>
      </c>
      <c r="P75" s="810" t="s">
        <v>18</v>
      </c>
      <c r="Q75" s="810" t="s">
        <v>18</v>
      </c>
      <c r="R75" s="810" t="s">
        <v>18</v>
      </c>
      <c r="S75" s="810" t="s">
        <v>18</v>
      </c>
      <c r="T75" s="810" t="s">
        <v>18</v>
      </c>
      <c r="U75" s="810" t="s">
        <v>18</v>
      </c>
      <c r="V75" s="810" t="s">
        <v>18</v>
      </c>
      <c r="W75" s="810" t="s">
        <v>18</v>
      </c>
      <c r="X75" s="810">
        <v>51407</v>
      </c>
      <c r="Y75" s="810">
        <v>23210</v>
      </c>
    </row>
    <row r="76" spans="1:25" hidden="1" x14ac:dyDescent="0.25">
      <c r="A76" s="812" t="s">
        <v>21</v>
      </c>
      <c r="B76" s="810" t="s">
        <v>239</v>
      </c>
      <c r="C76" s="810">
        <v>468</v>
      </c>
      <c r="D76" s="810">
        <v>300</v>
      </c>
      <c r="E76" s="810">
        <v>140</v>
      </c>
      <c r="F76" s="810" t="s">
        <v>18</v>
      </c>
      <c r="G76" s="810" t="s">
        <v>18</v>
      </c>
      <c r="H76" s="810" t="s">
        <v>18</v>
      </c>
      <c r="I76" s="810" t="s">
        <v>18</v>
      </c>
      <c r="J76" s="810" t="s">
        <v>18</v>
      </c>
      <c r="K76" s="810" t="s">
        <v>18</v>
      </c>
      <c r="L76" s="810">
        <v>2380</v>
      </c>
      <c r="M76" s="810">
        <v>335</v>
      </c>
      <c r="N76" s="810">
        <v>798</v>
      </c>
      <c r="O76" s="810" t="s">
        <v>18</v>
      </c>
      <c r="P76" s="810" t="s">
        <v>18</v>
      </c>
      <c r="Q76" s="810" t="s">
        <v>18</v>
      </c>
      <c r="R76" s="810" t="s">
        <v>18</v>
      </c>
      <c r="S76" s="810" t="s">
        <v>18</v>
      </c>
      <c r="T76" s="810" t="s">
        <v>18</v>
      </c>
      <c r="U76" s="810" t="s">
        <v>18</v>
      </c>
      <c r="V76" s="810" t="s">
        <v>18</v>
      </c>
      <c r="W76" s="810" t="s">
        <v>18</v>
      </c>
      <c r="X76" s="810">
        <v>2948</v>
      </c>
      <c r="Y76" s="810">
        <v>938</v>
      </c>
    </row>
    <row r="77" spans="1:25" hidden="1" x14ac:dyDescent="0.25">
      <c r="A77" s="812" t="s">
        <v>22</v>
      </c>
      <c r="B77" s="810" t="s">
        <v>239</v>
      </c>
      <c r="C77" s="810">
        <v>163</v>
      </c>
      <c r="D77" s="810">
        <v>350</v>
      </c>
      <c r="E77" s="810">
        <v>57</v>
      </c>
      <c r="F77" s="810" t="s">
        <v>18</v>
      </c>
      <c r="G77" s="810" t="s">
        <v>18</v>
      </c>
      <c r="H77" s="810" t="s">
        <v>18</v>
      </c>
      <c r="I77" s="810">
        <v>163</v>
      </c>
      <c r="J77" s="810">
        <v>600</v>
      </c>
      <c r="K77" s="810">
        <v>98</v>
      </c>
      <c r="L77" s="810">
        <v>2693</v>
      </c>
      <c r="M77" s="810">
        <v>600</v>
      </c>
      <c r="N77" s="810">
        <v>1615</v>
      </c>
      <c r="O77" s="810" t="s">
        <v>18</v>
      </c>
      <c r="P77" s="810" t="s">
        <v>18</v>
      </c>
      <c r="Q77" s="810" t="s">
        <v>18</v>
      </c>
      <c r="R77" s="810" t="s">
        <v>18</v>
      </c>
      <c r="S77" s="810" t="s">
        <v>18</v>
      </c>
      <c r="T77" s="810" t="s">
        <v>18</v>
      </c>
      <c r="U77" s="810" t="s">
        <v>18</v>
      </c>
      <c r="V77" s="810" t="s">
        <v>18</v>
      </c>
      <c r="W77" s="810" t="s">
        <v>18</v>
      </c>
      <c r="X77" s="810">
        <v>3105</v>
      </c>
      <c r="Y77" s="810">
        <v>1770</v>
      </c>
    </row>
    <row r="78" spans="1:25" hidden="1" x14ac:dyDescent="0.25">
      <c r="A78" s="813" t="s">
        <v>23</v>
      </c>
      <c r="B78" s="810" t="s">
        <v>239</v>
      </c>
      <c r="C78" s="810">
        <v>88235</v>
      </c>
      <c r="D78" s="810">
        <v>670</v>
      </c>
      <c r="E78" s="810">
        <v>59117</v>
      </c>
      <c r="F78" s="810">
        <v>6550</v>
      </c>
      <c r="G78" s="810">
        <v>350</v>
      </c>
      <c r="H78" s="810">
        <v>2292</v>
      </c>
      <c r="I78" s="810">
        <v>249</v>
      </c>
      <c r="J78" s="810">
        <v>300</v>
      </c>
      <c r="K78" s="810">
        <v>75</v>
      </c>
      <c r="L78" s="810">
        <v>8680</v>
      </c>
      <c r="M78" s="810">
        <v>1000</v>
      </c>
      <c r="N78" s="810">
        <v>8680</v>
      </c>
      <c r="O78" s="810" t="s">
        <v>18</v>
      </c>
      <c r="P78" s="810" t="s">
        <v>18</v>
      </c>
      <c r="Q78" s="810" t="s">
        <v>18</v>
      </c>
      <c r="R78" s="810" t="s">
        <v>18</v>
      </c>
      <c r="S78" s="810" t="s">
        <v>18</v>
      </c>
      <c r="T78" s="810" t="s">
        <v>18</v>
      </c>
      <c r="U78" s="810" t="s">
        <v>18</v>
      </c>
      <c r="V78" s="810" t="s">
        <v>18</v>
      </c>
      <c r="W78" s="810" t="s">
        <v>18</v>
      </c>
      <c r="X78" s="810">
        <v>103714</v>
      </c>
      <c r="Y78" s="810">
        <v>70164</v>
      </c>
    </row>
    <row r="79" spans="1:25" hidden="1" x14ac:dyDescent="0.25">
      <c r="A79" s="812" t="s">
        <v>24</v>
      </c>
      <c r="B79" s="810" t="s">
        <v>239</v>
      </c>
      <c r="C79" s="810">
        <v>14126</v>
      </c>
      <c r="D79" s="810">
        <v>700</v>
      </c>
      <c r="E79" s="810">
        <v>9888</v>
      </c>
      <c r="F79" s="810">
        <v>2613</v>
      </c>
      <c r="G79" s="810">
        <v>250</v>
      </c>
      <c r="H79" s="810">
        <v>653</v>
      </c>
      <c r="I79" s="810">
        <v>42</v>
      </c>
      <c r="J79" s="810">
        <v>650</v>
      </c>
      <c r="K79" s="810">
        <v>27</v>
      </c>
      <c r="L79" s="810">
        <v>1746</v>
      </c>
      <c r="M79" s="810">
        <v>1000</v>
      </c>
      <c r="N79" s="810">
        <v>1746</v>
      </c>
      <c r="O79" s="810" t="s">
        <v>18</v>
      </c>
      <c r="P79" s="810" t="s">
        <v>18</v>
      </c>
      <c r="Q79" s="810" t="s">
        <v>18</v>
      </c>
      <c r="R79" s="810" t="s">
        <v>18</v>
      </c>
      <c r="S79" s="810" t="s">
        <v>18</v>
      </c>
      <c r="T79" s="810" t="s">
        <v>18</v>
      </c>
      <c r="U79" s="810" t="s">
        <v>18</v>
      </c>
      <c r="V79" s="810" t="s">
        <v>18</v>
      </c>
      <c r="W79" s="810" t="s">
        <v>18</v>
      </c>
      <c r="X79" s="810">
        <v>18527</v>
      </c>
      <c r="Y79" s="810">
        <v>12314</v>
      </c>
    </row>
    <row r="80" spans="1:25" hidden="1" x14ac:dyDescent="0.25">
      <c r="A80" s="812" t="s">
        <v>26</v>
      </c>
      <c r="B80" s="810" t="s">
        <v>239</v>
      </c>
      <c r="C80" s="810">
        <v>43654</v>
      </c>
      <c r="D80" s="810">
        <v>1033</v>
      </c>
      <c r="E80" s="810">
        <v>45094</v>
      </c>
      <c r="F80" s="810">
        <v>16141</v>
      </c>
      <c r="G80" s="810">
        <v>408</v>
      </c>
      <c r="H80" s="810">
        <v>3424</v>
      </c>
      <c r="I80" s="810">
        <v>3265</v>
      </c>
      <c r="J80" s="810">
        <v>800</v>
      </c>
      <c r="K80" s="810">
        <v>2612</v>
      </c>
      <c r="L80" s="810">
        <v>15181</v>
      </c>
      <c r="M80" s="810">
        <v>640</v>
      </c>
      <c r="N80" s="810">
        <v>9715</v>
      </c>
      <c r="O80" s="810" t="s">
        <v>18</v>
      </c>
      <c r="P80" s="810" t="s">
        <v>18</v>
      </c>
      <c r="Q80" s="810" t="s">
        <v>18</v>
      </c>
      <c r="R80" s="810" t="s">
        <v>18</v>
      </c>
      <c r="S80" s="810" t="s">
        <v>18</v>
      </c>
      <c r="T80" s="810" t="s">
        <v>18</v>
      </c>
      <c r="U80" s="810" t="s">
        <v>18</v>
      </c>
      <c r="V80" s="810" t="s">
        <v>18</v>
      </c>
      <c r="W80" s="810" t="s">
        <v>18</v>
      </c>
      <c r="X80" s="810">
        <v>78241</v>
      </c>
      <c r="Y80" s="810">
        <v>60845</v>
      </c>
    </row>
    <row r="81" spans="1:25" hidden="1" x14ac:dyDescent="0.25">
      <c r="A81" s="813" t="s">
        <v>27</v>
      </c>
      <c r="B81" s="810" t="s">
        <v>239</v>
      </c>
      <c r="C81" s="810">
        <v>22190</v>
      </c>
      <c r="D81" s="810">
        <v>886</v>
      </c>
      <c r="E81" s="810">
        <v>19661</v>
      </c>
      <c r="F81" s="810">
        <v>3200</v>
      </c>
      <c r="G81" s="810">
        <v>527</v>
      </c>
      <c r="H81" s="810">
        <v>1686</v>
      </c>
      <c r="I81" s="810">
        <v>4131</v>
      </c>
      <c r="J81" s="810">
        <v>720</v>
      </c>
      <c r="K81" s="810">
        <v>2974</v>
      </c>
      <c r="L81" s="810">
        <v>18204</v>
      </c>
      <c r="M81" s="810">
        <v>615</v>
      </c>
      <c r="N81" s="810">
        <v>11195</v>
      </c>
      <c r="O81" s="810" t="s">
        <v>18</v>
      </c>
      <c r="P81" s="810" t="s">
        <v>18</v>
      </c>
      <c r="Q81" s="810" t="s">
        <v>18</v>
      </c>
      <c r="R81" s="810" t="s">
        <v>18</v>
      </c>
      <c r="S81" s="810" t="s">
        <v>18</v>
      </c>
      <c r="T81" s="810" t="s">
        <v>18</v>
      </c>
      <c r="U81" s="810" t="s">
        <v>18</v>
      </c>
      <c r="V81" s="810" t="s">
        <v>18</v>
      </c>
      <c r="W81" s="810" t="s">
        <v>18</v>
      </c>
      <c r="X81" s="810">
        <v>47725</v>
      </c>
      <c r="Y81" s="810">
        <v>35516</v>
      </c>
    </row>
    <row r="82" spans="1:25" hidden="1" x14ac:dyDescent="0.25">
      <c r="A82" s="812" t="s">
        <v>50</v>
      </c>
      <c r="B82" s="810" t="s">
        <v>239</v>
      </c>
      <c r="C82" s="810">
        <v>55823</v>
      </c>
      <c r="D82" s="810">
        <v>1138</v>
      </c>
      <c r="E82" s="810">
        <v>63526</v>
      </c>
      <c r="F82" s="810">
        <v>24000</v>
      </c>
      <c r="G82" s="810">
        <v>350</v>
      </c>
      <c r="H82" s="810">
        <v>8400</v>
      </c>
      <c r="I82" s="810">
        <v>2864</v>
      </c>
      <c r="J82" s="810">
        <v>600</v>
      </c>
      <c r="K82" s="810">
        <v>1718</v>
      </c>
      <c r="L82" s="810">
        <v>5948</v>
      </c>
      <c r="M82" s="810">
        <v>350</v>
      </c>
      <c r="N82" s="810">
        <v>2081</v>
      </c>
      <c r="O82" s="810" t="s">
        <v>18</v>
      </c>
      <c r="P82" s="810" t="s">
        <v>18</v>
      </c>
      <c r="Q82" s="810" t="s">
        <v>18</v>
      </c>
      <c r="R82" s="810" t="s">
        <v>18</v>
      </c>
      <c r="S82" s="810" t="s">
        <v>18</v>
      </c>
      <c r="T82" s="810" t="s">
        <v>18</v>
      </c>
      <c r="U82" s="810" t="s">
        <v>18</v>
      </c>
      <c r="V82" s="810" t="s">
        <v>18</v>
      </c>
      <c r="W82" s="810" t="s">
        <v>18</v>
      </c>
      <c r="X82" s="810">
        <v>88635</v>
      </c>
      <c r="Y82" s="810">
        <v>75725</v>
      </c>
    </row>
    <row r="83" spans="1:25" hidden="1" x14ac:dyDescent="0.25">
      <c r="A83" s="812" t="s">
        <v>163</v>
      </c>
      <c r="B83" s="810" t="s">
        <v>239</v>
      </c>
      <c r="C83" s="810">
        <v>38581</v>
      </c>
      <c r="D83" s="810">
        <v>941</v>
      </c>
      <c r="E83" s="810">
        <v>36305</v>
      </c>
      <c r="F83" s="810">
        <v>16032</v>
      </c>
      <c r="G83" s="810">
        <v>419</v>
      </c>
      <c r="H83" s="810">
        <v>6717</v>
      </c>
      <c r="I83" s="810">
        <v>729</v>
      </c>
      <c r="J83" s="810">
        <v>640</v>
      </c>
      <c r="K83" s="810">
        <v>466</v>
      </c>
      <c r="L83" s="810">
        <v>6193</v>
      </c>
      <c r="M83" s="810">
        <v>570</v>
      </c>
      <c r="N83" s="810">
        <v>3530</v>
      </c>
      <c r="O83" s="810" t="s">
        <v>18</v>
      </c>
      <c r="P83" s="810" t="s">
        <v>18</v>
      </c>
      <c r="Q83" s="810" t="s">
        <v>18</v>
      </c>
      <c r="R83" s="810" t="s">
        <v>18</v>
      </c>
      <c r="S83" s="810" t="s">
        <v>18</v>
      </c>
      <c r="T83" s="810" t="s">
        <v>18</v>
      </c>
      <c r="U83" s="810" t="s">
        <v>18</v>
      </c>
      <c r="V83" s="810" t="s">
        <v>18</v>
      </c>
      <c r="W83" s="810" t="s">
        <v>18</v>
      </c>
      <c r="X83" s="810">
        <v>61535</v>
      </c>
      <c r="Y83" s="810">
        <v>47018</v>
      </c>
    </row>
    <row r="84" spans="1:25" hidden="1" x14ac:dyDescent="0.25">
      <c r="A84" s="812" t="s">
        <v>52</v>
      </c>
      <c r="B84" s="810" t="s">
        <v>239</v>
      </c>
      <c r="C84" s="810">
        <v>67229</v>
      </c>
      <c r="D84" s="810">
        <v>1124</v>
      </c>
      <c r="E84" s="810">
        <v>75567</v>
      </c>
      <c r="F84" s="810">
        <v>5306</v>
      </c>
      <c r="G84" s="810">
        <v>347</v>
      </c>
      <c r="H84" s="810">
        <v>1840</v>
      </c>
      <c r="I84" s="810">
        <v>11427</v>
      </c>
      <c r="J84" s="810">
        <v>1200</v>
      </c>
      <c r="K84" s="810">
        <v>13712</v>
      </c>
      <c r="L84" s="810">
        <v>21040</v>
      </c>
      <c r="M84" s="810">
        <v>540</v>
      </c>
      <c r="N84" s="810">
        <v>11361</v>
      </c>
      <c r="O84" s="810" t="s">
        <v>18</v>
      </c>
      <c r="P84" s="810" t="s">
        <v>18</v>
      </c>
      <c r="Q84" s="810" t="s">
        <v>18</v>
      </c>
      <c r="R84" s="810" t="s">
        <v>18</v>
      </c>
      <c r="S84" s="810" t="s">
        <v>18</v>
      </c>
      <c r="T84" s="810" t="s">
        <v>18</v>
      </c>
      <c r="U84" s="810" t="s">
        <v>18</v>
      </c>
      <c r="V84" s="810" t="s">
        <v>18</v>
      </c>
      <c r="W84" s="810" t="s">
        <v>18</v>
      </c>
      <c r="X84" s="810">
        <v>105002</v>
      </c>
      <c r="Y84" s="810">
        <v>102480</v>
      </c>
    </row>
    <row r="85" spans="1:25" hidden="1" x14ac:dyDescent="0.25">
      <c r="A85" s="812" t="s">
        <v>15</v>
      </c>
      <c r="B85" s="896" t="s">
        <v>283</v>
      </c>
      <c r="C85" s="810">
        <v>1200</v>
      </c>
      <c r="D85" s="810">
        <v>480</v>
      </c>
      <c r="E85" s="810">
        <v>5760</v>
      </c>
      <c r="F85" s="810">
        <v>800</v>
      </c>
      <c r="G85" s="810">
        <v>120</v>
      </c>
      <c r="H85" s="810">
        <v>96</v>
      </c>
      <c r="I85" s="810" t="s">
        <v>18</v>
      </c>
      <c r="J85" s="810" t="s">
        <v>18</v>
      </c>
      <c r="K85" s="810" t="s">
        <v>18</v>
      </c>
      <c r="L85" s="810">
        <v>8700</v>
      </c>
      <c r="M85" s="810">
        <v>300</v>
      </c>
      <c r="N85" s="810">
        <v>2610</v>
      </c>
      <c r="O85" s="810" t="s">
        <v>18</v>
      </c>
      <c r="P85" s="810" t="s">
        <v>18</v>
      </c>
      <c r="Q85" s="810" t="s">
        <v>18</v>
      </c>
      <c r="R85" s="810" t="s">
        <v>18</v>
      </c>
      <c r="S85" s="810" t="s">
        <v>18</v>
      </c>
      <c r="T85" s="810" t="s">
        <v>18</v>
      </c>
      <c r="U85" s="810" t="s">
        <v>18</v>
      </c>
      <c r="V85" s="810" t="s">
        <v>18</v>
      </c>
      <c r="W85" s="810" t="s">
        <v>18</v>
      </c>
      <c r="X85" s="810">
        <f>SUM(C85,F85,I85,L85,O85)</f>
        <v>10700</v>
      </c>
      <c r="Y85" s="810">
        <f>SUM(E85,H85,K85,N85,Q85)</f>
        <v>8466</v>
      </c>
    </row>
    <row r="86" spans="1:25" hidden="1" x14ac:dyDescent="0.25">
      <c r="A86" s="812" t="s">
        <v>89</v>
      </c>
      <c r="B86" s="896" t="s">
        <v>241</v>
      </c>
      <c r="C86" s="810"/>
      <c r="D86" s="810"/>
      <c r="E86" s="810"/>
      <c r="F86" s="810"/>
      <c r="G86" s="810"/>
      <c r="H86" s="810"/>
      <c r="I86" s="810"/>
      <c r="J86" s="810"/>
      <c r="K86" s="810"/>
      <c r="L86" s="810"/>
      <c r="M86" s="810"/>
      <c r="N86" s="810"/>
      <c r="O86" s="810"/>
      <c r="P86" s="810"/>
      <c r="Q86" s="810"/>
      <c r="R86" s="810"/>
      <c r="S86" s="810"/>
      <c r="T86" s="810"/>
      <c r="U86" s="810"/>
      <c r="V86" s="810"/>
      <c r="W86" s="810"/>
      <c r="X86" s="810"/>
      <c r="Y86" s="810"/>
    </row>
    <row r="87" spans="1:25" hidden="1" x14ac:dyDescent="0.25">
      <c r="A87" s="812" t="s">
        <v>17</v>
      </c>
      <c r="B87" s="896" t="s">
        <v>242</v>
      </c>
      <c r="C87" s="810">
        <v>14120</v>
      </c>
      <c r="D87" s="810">
        <v>800</v>
      </c>
      <c r="E87" s="810">
        <v>11296</v>
      </c>
      <c r="F87" s="810">
        <v>1300</v>
      </c>
      <c r="G87" s="810">
        <v>150</v>
      </c>
      <c r="H87" s="810">
        <v>195</v>
      </c>
      <c r="I87" s="810" t="s">
        <v>18</v>
      </c>
      <c r="J87" s="810" t="s">
        <v>18</v>
      </c>
      <c r="K87" s="810" t="s">
        <v>18</v>
      </c>
      <c r="L87" s="810">
        <v>1500</v>
      </c>
      <c r="M87" s="810">
        <v>150</v>
      </c>
      <c r="N87" s="810">
        <v>225</v>
      </c>
      <c r="O87" s="810" t="s">
        <v>18</v>
      </c>
      <c r="P87" s="810" t="s">
        <v>18</v>
      </c>
      <c r="Q87" s="810" t="s">
        <v>18</v>
      </c>
      <c r="R87" s="810" t="s">
        <v>18</v>
      </c>
      <c r="S87" s="810" t="s">
        <v>18</v>
      </c>
      <c r="T87" s="810" t="s">
        <v>18</v>
      </c>
      <c r="U87" s="810" t="s">
        <v>18</v>
      </c>
      <c r="V87" s="810" t="s">
        <v>18</v>
      </c>
      <c r="W87" s="810" t="s">
        <v>18</v>
      </c>
      <c r="X87" s="810">
        <f t="shared" ref="X87:X93" si="0">SUM(C87,F87,I87,L87,O87)</f>
        <v>16920</v>
      </c>
      <c r="Y87" s="810">
        <f t="shared" ref="Y87:Y98" si="1">SUM(E87,H87,K87,N87,Q87)</f>
        <v>11716</v>
      </c>
    </row>
    <row r="88" spans="1:25" hidden="1" x14ac:dyDescent="0.25">
      <c r="A88" s="812" t="s">
        <v>103</v>
      </c>
      <c r="B88" s="896" t="s">
        <v>243</v>
      </c>
      <c r="C88" s="810">
        <v>68860</v>
      </c>
      <c r="D88" s="810">
        <v>647</v>
      </c>
      <c r="E88" s="810">
        <v>44552</v>
      </c>
      <c r="F88" s="810" t="s">
        <v>18</v>
      </c>
      <c r="G88" s="810" t="s">
        <v>18</v>
      </c>
      <c r="H88" s="810" t="s">
        <v>18</v>
      </c>
      <c r="I88" s="810">
        <v>18000</v>
      </c>
      <c r="J88" s="810">
        <v>620</v>
      </c>
      <c r="K88" s="810">
        <v>11160</v>
      </c>
      <c r="L88" s="810">
        <v>70000</v>
      </c>
      <c r="M88" s="810">
        <v>440</v>
      </c>
      <c r="N88" s="810">
        <v>30800</v>
      </c>
      <c r="O88" s="810">
        <v>1665</v>
      </c>
      <c r="P88" s="810">
        <v>12000</v>
      </c>
      <c r="Q88" s="810">
        <v>19980</v>
      </c>
      <c r="R88" s="810" t="s">
        <v>18</v>
      </c>
      <c r="S88" s="810" t="s">
        <v>18</v>
      </c>
      <c r="T88" s="810" t="s">
        <v>18</v>
      </c>
      <c r="U88" s="810" t="s">
        <v>18</v>
      </c>
      <c r="V88" s="810" t="s">
        <v>18</v>
      </c>
      <c r="W88" s="810" t="s">
        <v>18</v>
      </c>
      <c r="X88" s="810">
        <f t="shared" si="0"/>
        <v>158525</v>
      </c>
      <c r="Y88" s="810">
        <f t="shared" si="1"/>
        <v>106492</v>
      </c>
    </row>
    <row r="89" spans="1:25" hidden="1" x14ac:dyDescent="0.25">
      <c r="A89" s="812" t="s">
        <v>20</v>
      </c>
      <c r="B89" s="896" t="s">
        <v>244</v>
      </c>
      <c r="C89" s="810">
        <v>21270</v>
      </c>
      <c r="D89" s="810">
        <v>800</v>
      </c>
      <c r="E89" s="810">
        <v>17016</v>
      </c>
      <c r="F89" s="810">
        <v>4564</v>
      </c>
      <c r="G89" s="810">
        <v>729</v>
      </c>
      <c r="H89" s="810">
        <v>3331</v>
      </c>
      <c r="I89" s="810"/>
      <c r="J89" s="810" t="s">
        <v>18</v>
      </c>
      <c r="K89" s="810" t="s">
        <v>18</v>
      </c>
      <c r="L89" s="810">
        <v>2050</v>
      </c>
      <c r="M89" s="810">
        <v>410</v>
      </c>
      <c r="N89" s="810">
        <v>822</v>
      </c>
      <c r="O89" s="810" t="s">
        <v>18</v>
      </c>
      <c r="P89" s="810" t="s">
        <v>18</v>
      </c>
      <c r="Q89" s="810" t="s">
        <v>18</v>
      </c>
      <c r="R89" s="810" t="s">
        <v>18</v>
      </c>
      <c r="S89" s="810" t="s">
        <v>18</v>
      </c>
      <c r="T89" s="810" t="s">
        <v>18</v>
      </c>
      <c r="U89" s="810" t="s">
        <v>18</v>
      </c>
      <c r="V89" s="810" t="s">
        <v>18</v>
      </c>
      <c r="W89" s="810" t="s">
        <v>18</v>
      </c>
      <c r="X89" s="810">
        <f t="shared" si="0"/>
        <v>27884</v>
      </c>
      <c r="Y89" s="810">
        <f t="shared" si="1"/>
        <v>21169</v>
      </c>
    </row>
    <row r="90" spans="1:25" hidden="1" x14ac:dyDescent="0.25">
      <c r="A90" s="812" t="s">
        <v>21</v>
      </c>
      <c r="B90" s="896" t="s">
        <v>245</v>
      </c>
      <c r="C90" s="810" t="s">
        <v>18</v>
      </c>
      <c r="D90" s="810" t="s">
        <v>18</v>
      </c>
      <c r="E90" s="810" t="s">
        <v>18</v>
      </c>
      <c r="F90" s="810" t="s">
        <v>18</v>
      </c>
      <c r="G90" s="810" t="s">
        <v>18</v>
      </c>
      <c r="H90" s="810" t="s">
        <v>18</v>
      </c>
      <c r="I90" s="810" t="s">
        <v>18</v>
      </c>
      <c r="J90" s="810" t="s">
        <v>18</v>
      </c>
      <c r="K90" s="810" t="s">
        <v>18</v>
      </c>
      <c r="L90" s="810">
        <v>1600</v>
      </c>
      <c r="M90" s="810">
        <v>150</v>
      </c>
      <c r="N90" s="810">
        <v>240</v>
      </c>
      <c r="O90" s="810" t="s">
        <v>18</v>
      </c>
      <c r="P90" s="810"/>
      <c r="Q90" s="810"/>
      <c r="R90" s="810" t="s">
        <v>18</v>
      </c>
      <c r="S90" s="810" t="s">
        <v>18</v>
      </c>
      <c r="T90" s="810" t="s">
        <v>18</v>
      </c>
      <c r="U90" s="810" t="s">
        <v>18</v>
      </c>
      <c r="V90" s="810" t="s">
        <v>18</v>
      </c>
      <c r="W90" s="810" t="s">
        <v>18</v>
      </c>
      <c r="X90" s="810">
        <f t="shared" si="0"/>
        <v>1600</v>
      </c>
      <c r="Y90" s="810">
        <f t="shared" si="1"/>
        <v>240</v>
      </c>
    </row>
    <row r="91" spans="1:25" hidden="1" x14ac:dyDescent="0.25">
      <c r="A91" s="812" t="s">
        <v>22</v>
      </c>
      <c r="B91" s="896" t="s">
        <v>246</v>
      </c>
      <c r="C91" s="810" t="s">
        <v>18</v>
      </c>
      <c r="D91" s="810" t="s">
        <v>18</v>
      </c>
      <c r="E91" s="810" t="s">
        <v>18</v>
      </c>
      <c r="F91" s="810" t="s">
        <v>18</v>
      </c>
      <c r="G91" s="810" t="s">
        <v>18</v>
      </c>
      <c r="H91" s="810" t="s">
        <v>18</v>
      </c>
      <c r="I91" s="810" t="s">
        <v>18</v>
      </c>
      <c r="J91" s="810" t="s">
        <v>18</v>
      </c>
      <c r="K91" s="810" t="s">
        <v>18</v>
      </c>
      <c r="L91" s="810">
        <v>2000</v>
      </c>
      <c r="M91" s="810">
        <v>800</v>
      </c>
      <c r="N91" s="810">
        <v>1600</v>
      </c>
      <c r="O91" s="810">
        <v>80</v>
      </c>
      <c r="P91" s="810">
        <v>25000</v>
      </c>
      <c r="Q91" s="810">
        <v>2000</v>
      </c>
      <c r="R91" s="810" t="s">
        <v>18</v>
      </c>
      <c r="S91" s="810" t="s">
        <v>18</v>
      </c>
      <c r="T91" s="810" t="s">
        <v>18</v>
      </c>
      <c r="U91" s="810" t="s">
        <v>18</v>
      </c>
      <c r="V91" s="810" t="s">
        <v>18</v>
      </c>
      <c r="W91" s="810" t="s">
        <v>18</v>
      </c>
      <c r="X91" s="810">
        <f t="shared" si="0"/>
        <v>2080</v>
      </c>
      <c r="Y91" s="810">
        <f t="shared" si="1"/>
        <v>3600</v>
      </c>
    </row>
    <row r="92" spans="1:25" hidden="1" x14ac:dyDescent="0.25">
      <c r="A92" s="813" t="s">
        <v>23</v>
      </c>
      <c r="B92" s="896" t="s">
        <v>247</v>
      </c>
      <c r="C92" s="810">
        <v>110000</v>
      </c>
      <c r="D92" s="810">
        <v>1128</v>
      </c>
      <c r="E92" s="810">
        <v>124080</v>
      </c>
      <c r="F92" s="810">
        <v>7285</v>
      </c>
      <c r="G92" s="810">
        <v>575</v>
      </c>
      <c r="H92" s="810">
        <v>4188</v>
      </c>
      <c r="I92" s="810">
        <v>450</v>
      </c>
      <c r="J92" s="810">
        <v>300</v>
      </c>
      <c r="K92" s="810">
        <v>135</v>
      </c>
      <c r="L92" s="810">
        <v>13015</v>
      </c>
      <c r="M92" s="810">
        <v>1033</v>
      </c>
      <c r="N92" s="810">
        <v>13449</v>
      </c>
      <c r="O92" s="810" t="s">
        <v>18</v>
      </c>
      <c r="P92" s="810" t="s">
        <v>18</v>
      </c>
      <c r="Q92" s="810" t="s">
        <v>18</v>
      </c>
      <c r="R92" s="810" t="s">
        <v>18</v>
      </c>
      <c r="S92" s="810" t="s">
        <v>18</v>
      </c>
      <c r="T92" s="810" t="s">
        <v>18</v>
      </c>
      <c r="U92" s="810" t="s">
        <v>18</v>
      </c>
      <c r="V92" s="810" t="s">
        <v>18</v>
      </c>
      <c r="W92" s="810" t="s">
        <v>18</v>
      </c>
      <c r="X92" s="810">
        <f t="shared" si="0"/>
        <v>130750</v>
      </c>
      <c r="Y92" s="810">
        <f t="shared" si="1"/>
        <v>141852</v>
      </c>
    </row>
    <row r="93" spans="1:25" hidden="1" x14ac:dyDescent="0.25">
      <c r="A93" s="812" t="s">
        <v>24</v>
      </c>
      <c r="B93" s="896" t="s">
        <v>248</v>
      </c>
      <c r="C93" s="810">
        <v>16500</v>
      </c>
      <c r="D93" s="810">
        <v>899</v>
      </c>
      <c r="E93" s="810">
        <v>16500</v>
      </c>
      <c r="F93" s="810">
        <v>1550</v>
      </c>
      <c r="G93" s="810">
        <v>600</v>
      </c>
      <c r="H93" s="810">
        <v>930</v>
      </c>
      <c r="I93" s="810">
        <v>85</v>
      </c>
      <c r="J93" s="810">
        <v>650</v>
      </c>
      <c r="K93" s="810">
        <v>55</v>
      </c>
      <c r="L93" s="810">
        <v>1850</v>
      </c>
      <c r="M93" s="810">
        <v>1000</v>
      </c>
      <c r="N93" s="810">
        <v>1850</v>
      </c>
      <c r="O93" s="810">
        <v>450</v>
      </c>
      <c r="P93" s="810">
        <v>12500</v>
      </c>
      <c r="Q93" s="810">
        <v>5625</v>
      </c>
      <c r="R93" s="810" t="s">
        <v>18</v>
      </c>
      <c r="S93" s="810" t="s">
        <v>18</v>
      </c>
      <c r="T93" s="810" t="s">
        <v>18</v>
      </c>
      <c r="U93" s="810" t="s">
        <v>18</v>
      </c>
      <c r="V93" s="810" t="s">
        <v>18</v>
      </c>
      <c r="W93" s="810" t="s">
        <v>18</v>
      </c>
      <c r="X93" s="810">
        <f t="shared" si="0"/>
        <v>20435</v>
      </c>
      <c r="Y93" s="810">
        <f t="shared" si="1"/>
        <v>24960</v>
      </c>
    </row>
    <row r="94" spans="1:25" hidden="1" x14ac:dyDescent="0.25">
      <c r="A94" s="812" t="s">
        <v>26</v>
      </c>
      <c r="B94" s="896" t="s">
        <v>249</v>
      </c>
      <c r="C94" s="810">
        <v>51617</v>
      </c>
      <c r="D94" s="810">
        <v>994</v>
      </c>
      <c r="E94" s="810">
        <v>51307</v>
      </c>
      <c r="F94" s="810">
        <v>5435</v>
      </c>
      <c r="G94" s="810">
        <v>465</v>
      </c>
      <c r="H94" s="810">
        <v>2527</v>
      </c>
      <c r="I94" s="810">
        <v>3591</v>
      </c>
      <c r="J94" s="810">
        <v>800</v>
      </c>
      <c r="K94" s="810">
        <v>2872</v>
      </c>
      <c r="L94" s="810">
        <v>15268</v>
      </c>
      <c r="M94" s="810">
        <v>622</v>
      </c>
      <c r="N94" s="810">
        <v>9496</v>
      </c>
      <c r="O94" s="810">
        <v>2675</v>
      </c>
      <c r="P94" s="810">
        <v>11500</v>
      </c>
      <c r="Q94" s="810">
        <v>30762</v>
      </c>
      <c r="R94" s="810" t="s">
        <v>18</v>
      </c>
      <c r="S94" s="810" t="s">
        <v>18</v>
      </c>
      <c r="T94" s="810" t="s">
        <v>18</v>
      </c>
      <c r="U94" s="810" t="s">
        <v>18</v>
      </c>
      <c r="V94" s="810" t="s">
        <v>18</v>
      </c>
      <c r="W94" s="810" t="s">
        <v>18</v>
      </c>
      <c r="X94" s="810">
        <f t="shared" ref="X94:X98" si="2">SUM(C94,F94,I94,L94,O94)</f>
        <v>78586</v>
      </c>
      <c r="Y94" s="810">
        <f t="shared" si="1"/>
        <v>96964</v>
      </c>
    </row>
    <row r="95" spans="1:25" hidden="1" x14ac:dyDescent="0.25">
      <c r="A95" s="813" t="s">
        <v>27</v>
      </c>
      <c r="B95" s="896" t="s">
        <v>250</v>
      </c>
      <c r="C95" s="810">
        <v>25671</v>
      </c>
      <c r="D95" s="810">
        <v>788</v>
      </c>
      <c r="E95" s="810">
        <v>20228</v>
      </c>
      <c r="F95" s="810">
        <v>31754</v>
      </c>
      <c r="G95" s="810">
        <v>440</v>
      </c>
      <c r="H95" s="810">
        <v>13971</v>
      </c>
      <c r="I95" s="810">
        <v>8524</v>
      </c>
      <c r="J95" s="810">
        <v>750</v>
      </c>
      <c r="K95" s="810">
        <v>6393</v>
      </c>
      <c r="L95" s="810">
        <v>13024</v>
      </c>
      <c r="M95" s="810">
        <v>520</v>
      </c>
      <c r="N95" s="810">
        <v>6774</v>
      </c>
      <c r="O95" s="810">
        <v>1190</v>
      </c>
      <c r="P95" s="810">
        <v>10000</v>
      </c>
      <c r="Q95" s="810">
        <v>11900</v>
      </c>
      <c r="R95" s="810" t="s">
        <v>18</v>
      </c>
      <c r="S95" s="810" t="s">
        <v>18</v>
      </c>
      <c r="T95" s="810" t="s">
        <v>18</v>
      </c>
      <c r="U95" s="810" t="s">
        <v>18</v>
      </c>
      <c r="V95" s="810" t="s">
        <v>18</v>
      </c>
      <c r="W95" s="810" t="s">
        <v>18</v>
      </c>
      <c r="X95" s="810">
        <f t="shared" si="2"/>
        <v>80163</v>
      </c>
      <c r="Y95" s="810">
        <f t="shared" si="1"/>
        <v>59266</v>
      </c>
    </row>
    <row r="96" spans="1:25" hidden="1" x14ac:dyDescent="0.25">
      <c r="A96" s="812" t="s">
        <v>50</v>
      </c>
      <c r="B96" s="896" t="s">
        <v>251</v>
      </c>
      <c r="C96" s="810">
        <v>58356</v>
      </c>
      <c r="D96" s="810">
        <v>988</v>
      </c>
      <c r="E96" s="810">
        <v>57655</v>
      </c>
      <c r="F96" s="810">
        <v>17193</v>
      </c>
      <c r="G96" s="810">
        <v>391</v>
      </c>
      <c r="H96" s="810">
        <v>6722</v>
      </c>
      <c r="I96" s="810">
        <v>5825</v>
      </c>
      <c r="J96" s="810">
        <v>750</v>
      </c>
      <c r="K96" s="810">
        <v>4368</v>
      </c>
      <c r="L96" s="810">
        <v>5962</v>
      </c>
      <c r="M96" s="810">
        <v>380</v>
      </c>
      <c r="N96" s="810">
        <v>2265</v>
      </c>
      <c r="O96" s="810">
        <v>4759</v>
      </c>
      <c r="P96" s="810">
        <v>11000</v>
      </c>
      <c r="Q96" s="810">
        <v>52349</v>
      </c>
      <c r="R96" s="810" t="s">
        <v>18</v>
      </c>
      <c r="S96" s="810" t="s">
        <v>18</v>
      </c>
      <c r="T96" s="810" t="s">
        <v>18</v>
      </c>
      <c r="U96" s="810" t="s">
        <v>18</v>
      </c>
      <c r="V96" s="810" t="s">
        <v>18</v>
      </c>
      <c r="W96" s="810" t="s">
        <v>18</v>
      </c>
      <c r="X96" s="810">
        <f t="shared" si="2"/>
        <v>92095</v>
      </c>
      <c r="Y96" s="810">
        <f t="shared" si="1"/>
        <v>123359</v>
      </c>
    </row>
    <row r="97" spans="1:25" hidden="1" x14ac:dyDescent="0.25">
      <c r="A97" s="812" t="s">
        <v>163</v>
      </c>
      <c r="B97" s="896" t="s">
        <v>252</v>
      </c>
      <c r="C97" s="810">
        <v>43961</v>
      </c>
      <c r="D97" s="810">
        <v>916</v>
      </c>
      <c r="E97" s="810">
        <v>40268</v>
      </c>
      <c r="F97" s="810">
        <v>18290</v>
      </c>
      <c r="G97" s="810">
        <v>422</v>
      </c>
      <c r="H97" s="810">
        <v>7718</v>
      </c>
      <c r="I97" s="810">
        <v>5375</v>
      </c>
      <c r="J97" s="810">
        <v>800</v>
      </c>
      <c r="K97" s="810">
        <v>4300</v>
      </c>
      <c r="L97" s="810">
        <v>4978</v>
      </c>
      <c r="M97" s="810">
        <v>507</v>
      </c>
      <c r="N97" s="810">
        <v>2523</v>
      </c>
      <c r="O97" s="810">
        <v>6704</v>
      </c>
      <c r="P97" s="810">
        <v>11000</v>
      </c>
      <c r="Q97" s="810">
        <v>73744</v>
      </c>
      <c r="R97" s="810" t="s">
        <v>18</v>
      </c>
      <c r="S97" s="810" t="s">
        <v>18</v>
      </c>
      <c r="T97" s="810" t="s">
        <v>18</v>
      </c>
      <c r="U97" s="810" t="s">
        <v>18</v>
      </c>
      <c r="V97" s="810" t="s">
        <v>18</v>
      </c>
      <c r="W97" s="810" t="s">
        <v>18</v>
      </c>
      <c r="X97" s="810">
        <f t="shared" si="2"/>
        <v>79308</v>
      </c>
      <c r="Y97" s="810">
        <f t="shared" si="1"/>
        <v>128553</v>
      </c>
    </row>
    <row r="98" spans="1:25" hidden="1" x14ac:dyDescent="0.25">
      <c r="A98" s="812" t="s">
        <v>52</v>
      </c>
      <c r="B98" s="896" t="s">
        <v>253</v>
      </c>
      <c r="C98" s="810">
        <v>54771</v>
      </c>
      <c r="D98" s="810">
        <v>1085</v>
      </c>
      <c r="E98" s="810">
        <v>59427</v>
      </c>
      <c r="F98" s="810">
        <v>9644</v>
      </c>
      <c r="G98" s="810">
        <v>385</v>
      </c>
      <c r="H98" s="810">
        <v>3712</v>
      </c>
      <c r="I98" s="810">
        <v>13940</v>
      </c>
      <c r="J98" s="810">
        <v>950</v>
      </c>
      <c r="K98" s="810">
        <v>13243</v>
      </c>
      <c r="L98" s="810">
        <v>18556</v>
      </c>
      <c r="M98" s="810">
        <v>576</v>
      </c>
      <c r="N98" s="810">
        <v>10695</v>
      </c>
      <c r="O98" s="810">
        <v>9133</v>
      </c>
      <c r="P98" s="810">
        <v>12000</v>
      </c>
      <c r="Q98" s="810">
        <v>109596</v>
      </c>
      <c r="R98" s="810" t="s">
        <v>18</v>
      </c>
      <c r="S98" s="810" t="s">
        <v>18</v>
      </c>
      <c r="T98" s="810" t="s">
        <v>18</v>
      </c>
      <c r="U98" s="810" t="s">
        <v>18</v>
      </c>
      <c r="V98" s="810" t="s">
        <v>18</v>
      </c>
      <c r="W98" s="810" t="s">
        <v>18</v>
      </c>
      <c r="X98" s="810">
        <f t="shared" si="2"/>
        <v>106044</v>
      </c>
      <c r="Y98" s="810">
        <f t="shared" si="1"/>
        <v>196673</v>
      </c>
    </row>
    <row r="99" spans="1:25" hidden="1" x14ac:dyDescent="0.25">
      <c r="A99" s="812" t="s">
        <v>15</v>
      </c>
      <c r="B99" s="810" t="s">
        <v>254</v>
      </c>
      <c r="C99" s="810">
        <v>13126</v>
      </c>
      <c r="D99" s="810">
        <v>520</v>
      </c>
      <c r="E99" s="810">
        <v>6825</v>
      </c>
      <c r="F99" s="810">
        <v>1870</v>
      </c>
      <c r="G99" s="810">
        <v>170</v>
      </c>
      <c r="H99" s="810">
        <v>318</v>
      </c>
      <c r="I99" s="810" t="s">
        <v>80</v>
      </c>
      <c r="J99" s="810" t="s">
        <v>80</v>
      </c>
      <c r="K99" s="810" t="s">
        <v>80</v>
      </c>
      <c r="L99" s="810">
        <v>5362</v>
      </c>
      <c r="M99" s="810">
        <v>490</v>
      </c>
      <c r="N99" s="810">
        <v>2627</v>
      </c>
      <c r="O99" s="810" t="s">
        <v>18</v>
      </c>
      <c r="P99" s="810" t="s">
        <v>18</v>
      </c>
      <c r="Q99" s="810" t="s">
        <v>18</v>
      </c>
      <c r="R99" s="810" t="s">
        <v>18</v>
      </c>
      <c r="S99" s="810" t="s">
        <v>18</v>
      </c>
      <c r="T99" s="810" t="s">
        <v>18</v>
      </c>
      <c r="U99" s="810" t="s">
        <v>18</v>
      </c>
      <c r="V99" s="810" t="s">
        <v>18</v>
      </c>
      <c r="W99" s="810" t="s">
        <v>18</v>
      </c>
      <c r="X99" s="810">
        <v>20358</v>
      </c>
      <c r="Y99" s="810">
        <v>9770</v>
      </c>
    </row>
    <row r="100" spans="1:25" hidden="1" x14ac:dyDescent="0.25">
      <c r="A100" s="812" t="s">
        <v>89</v>
      </c>
      <c r="B100" s="810" t="s">
        <v>254</v>
      </c>
      <c r="C100" s="810"/>
      <c r="D100" s="810"/>
      <c r="E100" s="810"/>
      <c r="F100" s="810"/>
      <c r="G100" s="810"/>
      <c r="H100" s="810"/>
      <c r="I100" s="810"/>
      <c r="J100" s="810"/>
      <c r="K100" s="810" t="s">
        <v>80</v>
      </c>
      <c r="L100" s="810"/>
      <c r="M100" s="810"/>
      <c r="N100" s="810"/>
      <c r="O100" s="810"/>
      <c r="P100" s="810"/>
      <c r="Q100" s="810"/>
      <c r="R100" s="810"/>
      <c r="S100" s="810"/>
      <c r="T100" s="810"/>
      <c r="U100" s="810"/>
      <c r="V100" s="810"/>
      <c r="W100" s="810"/>
      <c r="X100" s="810"/>
      <c r="Y100" s="810"/>
    </row>
    <row r="101" spans="1:25" hidden="1" x14ac:dyDescent="0.25">
      <c r="A101" s="812" t="s">
        <v>17</v>
      </c>
      <c r="B101" s="810" t="s">
        <v>254</v>
      </c>
      <c r="C101" s="810">
        <v>11602</v>
      </c>
      <c r="D101" s="810">
        <v>487</v>
      </c>
      <c r="E101" s="810">
        <v>5650</v>
      </c>
      <c r="F101" s="810">
        <v>1415</v>
      </c>
      <c r="G101" s="810">
        <v>200</v>
      </c>
      <c r="H101" s="810">
        <v>283</v>
      </c>
      <c r="I101" s="810" t="s">
        <v>80</v>
      </c>
      <c r="J101" s="810" t="s">
        <v>80</v>
      </c>
      <c r="K101" s="810" t="s">
        <v>80</v>
      </c>
      <c r="L101" s="810">
        <v>91</v>
      </c>
      <c r="M101" s="810">
        <v>300</v>
      </c>
      <c r="N101" s="810">
        <v>27</v>
      </c>
      <c r="O101" s="810" t="s">
        <v>18</v>
      </c>
      <c r="P101" s="810" t="s">
        <v>18</v>
      </c>
      <c r="Q101" s="810" t="s">
        <v>18</v>
      </c>
      <c r="R101" s="810" t="s">
        <v>18</v>
      </c>
      <c r="S101" s="810" t="s">
        <v>18</v>
      </c>
      <c r="T101" s="810" t="s">
        <v>18</v>
      </c>
      <c r="U101" s="810" t="s">
        <v>18</v>
      </c>
      <c r="V101" s="810" t="s">
        <v>18</v>
      </c>
      <c r="W101" s="810" t="s">
        <v>18</v>
      </c>
      <c r="X101" s="810">
        <v>13108</v>
      </c>
      <c r="Y101" s="810">
        <v>5960</v>
      </c>
    </row>
    <row r="102" spans="1:25" hidden="1" x14ac:dyDescent="0.25">
      <c r="A102" s="812" t="s">
        <v>103</v>
      </c>
      <c r="B102" s="810" t="s">
        <v>254</v>
      </c>
      <c r="C102" s="810">
        <v>17455</v>
      </c>
      <c r="D102" s="810">
        <v>950</v>
      </c>
      <c r="E102" s="810">
        <v>16756</v>
      </c>
      <c r="F102" s="810" t="s">
        <v>18</v>
      </c>
      <c r="G102" s="810" t="s">
        <v>18</v>
      </c>
      <c r="H102" s="810" t="s">
        <v>18</v>
      </c>
      <c r="I102" s="810" t="s">
        <v>80</v>
      </c>
      <c r="J102" s="810" t="s">
        <v>80</v>
      </c>
      <c r="K102" s="810" t="s">
        <v>80</v>
      </c>
      <c r="L102" s="810" t="s">
        <v>18</v>
      </c>
      <c r="M102" s="810" t="s">
        <v>18</v>
      </c>
      <c r="N102" s="810" t="s">
        <v>18</v>
      </c>
      <c r="O102" s="810">
        <v>1700</v>
      </c>
      <c r="P102" s="810">
        <v>12000</v>
      </c>
      <c r="Q102" s="810">
        <v>20400</v>
      </c>
      <c r="R102" s="810" t="s">
        <v>18</v>
      </c>
      <c r="S102" s="810" t="s">
        <v>18</v>
      </c>
      <c r="T102" s="810" t="s">
        <v>18</v>
      </c>
      <c r="U102" s="810" t="s">
        <v>18</v>
      </c>
      <c r="V102" s="810" t="s">
        <v>18</v>
      </c>
      <c r="W102" s="810" t="s">
        <v>18</v>
      </c>
      <c r="X102" s="810">
        <v>19155</v>
      </c>
      <c r="Y102" s="810">
        <v>37156</v>
      </c>
    </row>
    <row r="103" spans="1:25" hidden="1" x14ac:dyDescent="0.25">
      <c r="A103" s="812" t="s">
        <v>20</v>
      </c>
      <c r="B103" s="810" t="s">
        <v>254</v>
      </c>
      <c r="C103" s="810">
        <v>11790</v>
      </c>
      <c r="D103" s="810">
        <v>942</v>
      </c>
      <c r="E103" s="810">
        <v>9342</v>
      </c>
      <c r="F103" s="810">
        <v>4792</v>
      </c>
      <c r="G103" s="810">
        <v>413</v>
      </c>
      <c r="H103" s="810">
        <v>1981</v>
      </c>
      <c r="I103" s="810" t="s">
        <v>80</v>
      </c>
      <c r="J103" s="810" t="s">
        <v>80</v>
      </c>
      <c r="K103" s="810" t="s">
        <v>80</v>
      </c>
      <c r="L103" s="810">
        <v>1134</v>
      </c>
      <c r="M103" s="810">
        <v>400</v>
      </c>
      <c r="N103" s="810">
        <v>434</v>
      </c>
      <c r="O103" s="810" t="s">
        <v>18</v>
      </c>
      <c r="P103" s="810" t="s">
        <v>18</v>
      </c>
      <c r="Q103" s="810" t="s">
        <v>18</v>
      </c>
      <c r="R103" s="810" t="s">
        <v>18</v>
      </c>
      <c r="S103" s="810" t="s">
        <v>18</v>
      </c>
      <c r="T103" s="810" t="s">
        <v>18</v>
      </c>
      <c r="U103" s="810" t="s">
        <v>18</v>
      </c>
      <c r="V103" s="810" t="s">
        <v>18</v>
      </c>
      <c r="W103" s="810" t="s">
        <v>18</v>
      </c>
      <c r="X103" s="810">
        <v>17716</v>
      </c>
      <c r="Y103" s="810">
        <v>11777</v>
      </c>
    </row>
    <row r="104" spans="1:25" hidden="1" x14ac:dyDescent="0.25">
      <c r="A104" s="812" t="s">
        <v>21</v>
      </c>
      <c r="B104" s="810" t="s">
        <v>254</v>
      </c>
      <c r="C104" s="810" t="s">
        <v>18</v>
      </c>
      <c r="D104" s="810" t="s">
        <v>18</v>
      </c>
      <c r="E104" s="810" t="s">
        <v>18</v>
      </c>
      <c r="F104" s="810" t="s">
        <v>18</v>
      </c>
      <c r="G104" s="810" t="s">
        <v>18</v>
      </c>
      <c r="H104" s="810" t="s">
        <v>80</v>
      </c>
      <c r="I104" s="810" t="s">
        <v>80</v>
      </c>
      <c r="J104" s="810" t="s">
        <v>80</v>
      </c>
      <c r="K104" s="810" t="s">
        <v>80</v>
      </c>
      <c r="L104" s="810" t="s">
        <v>18</v>
      </c>
      <c r="M104" s="810" t="s">
        <v>18</v>
      </c>
      <c r="N104" s="810"/>
      <c r="O104" s="810" t="s">
        <v>18</v>
      </c>
      <c r="P104" s="810" t="s">
        <v>18</v>
      </c>
      <c r="Q104" s="810" t="s">
        <v>18</v>
      </c>
      <c r="R104" s="810" t="s">
        <v>18</v>
      </c>
      <c r="S104" s="810" t="s">
        <v>18</v>
      </c>
      <c r="T104" s="810" t="s">
        <v>18</v>
      </c>
      <c r="U104" s="810" t="s">
        <v>18</v>
      </c>
      <c r="V104" s="810" t="s">
        <v>18</v>
      </c>
      <c r="W104" s="810" t="s">
        <v>18</v>
      </c>
      <c r="X104" s="810" t="s">
        <v>18</v>
      </c>
      <c r="Y104" s="810" t="s">
        <v>18</v>
      </c>
    </row>
    <row r="105" spans="1:25" hidden="1" x14ac:dyDescent="0.25">
      <c r="A105" s="812" t="s">
        <v>22</v>
      </c>
      <c r="B105" s="810" t="s">
        <v>254</v>
      </c>
      <c r="C105" s="810" t="s">
        <v>18</v>
      </c>
      <c r="D105" s="810" t="s">
        <v>18</v>
      </c>
      <c r="E105" s="810" t="s">
        <v>18</v>
      </c>
      <c r="F105" s="810" t="s">
        <v>18</v>
      </c>
      <c r="G105" s="810" t="s">
        <v>18</v>
      </c>
      <c r="H105" s="810" t="s">
        <v>80</v>
      </c>
      <c r="I105" s="810" t="s">
        <v>80</v>
      </c>
      <c r="J105" s="810" t="s">
        <v>80</v>
      </c>
      <c r="K105" s="810" t="s">
        <v>80</v>
      </c>
      <c r="L105" s="810" t="s">
        <v>18</v>
      </c>
      <c r="M105" s="810" t="s">
        <v>18</v>
      </c>
      <c r="N105" s="810"/>
      <c r="O105" s="810">
        <v>82</v>
      </c>
      <c r="P105" s="810">
        <v>25000</v>
      </c>
      <c r="Q105" s="810">
        <v>2125</v>
      </c>
      <c r="R105" s="810" t="s">
        <v>18</v>
      </c>
      <c r="S105" s="810" t="s">
        <v>18</v>
      </c>
      <c r="T105" s="810" t="s">
        <v>18</v>
      </c>
      <c r="U105" s="810" t="s">
        <v>18</v>
      </c>
      <c r="V105" s="810" t="s">
        <v>18</v>
      </c>
      <c r="W105" s="810" t="s">
        <v>18</v>
      </c>
      <c r="X105" s="810">
        <v>82</v>
      </c>
      <c r="Y105" s="810">
        <v>2125</v>
      </c>
    </row>
    <row r="106" spans="1:25" hidden="1" x14ac:dyDescent="0.25">
      <c r="A106" s="813" t="s">
        <v>23</v>
      </c>
      <c r="B106" s="810" t="s">
        <v>254</v>
      </c>
      <c r="C106" s="810">
        <v>112700</v>
      </c>
      <c r="D106" s="810">
        <v>1165</v>
      </c>
      <c r="E106" s="810">
        <v>131295</v>
      </c>
      <c r="F106" s="810">
        <v>6090</v>
      </c>
      <c r="G106" s="810">
        <v>400</v>
      </c>
      <c r="H106" s="810">
        <v>2436</v>
      </c>
      <c r="I106" s="810" t="s">
        <v>80</v>
      </c>
      <c r="J106" s="810" t="s">
        <v>80</v>
      </c>
      <c r="K106" s="810" t="s">
        <v>80</v>
      </c>
      <c r="L106" s="810">
        <v>1735</v>
      </c>
      <c r="M106" s="810">
        <v>400</v>
      </c>
      <c r="N106" s="810">
        <v>694</v>
      </c>
      <c r="O106" s="810" t="s">
        <v>18</v>
      </c>
      <c r="P106" s="810" t="s">
        <v>18</v>
      </c>
      <c r="Q106" s="810" t="s">
        <v>18</v>
      </c>
      <c r="R106" s="810" t="s">
        <v>18</v>
      </c>
      <c r="S106" s="810" t="s">
        <v>18</v>
      </c>
      <c r="T106" s="810" t="s">
        <v>18</v>
      </c>
      <c r="U106" s="810" t="s">
        <v>18</v>
      </c>
      <c r="V106" s="810" t="s">
        <v>18</v>
      </c>
      <c r="W106" s="810" t="s">
        <v>18</v>
      </c>
      <c r="X106" s="810">
        <v>120525</v>
      </c>
      <c r="Y106" s="810">
        <v>134425</v>
      </c>
    </row>
    <row r="107" spans="1:25" hidden="1" x14ac:dyDescent="0.25">
      <c r="A107" s="812" t="s">
        <v>24</v>
      </c>
      <c r="B107" s="810" t="s">
        <v>254</v>
      </c>
      <c r="C107" s="810">
        <v>8000</v>
      </c>
      <c r="D107" s="810">
        <v>900</v>
      </c>
      <c r="E107" s="810">
        <v>7200</v>
      </c>
      <c r="F107" s="810">
        <v>3400</v>
      </c>
      <c r="G107" s="810">
        <v>600</v>
      </c>
      <c r="H107" s="810">
        <v>2040</v>
      </c>
      <c r="I107" s="810" t="s">
        <v>80</v>
      </c>
      <c r="J107" s="810" t="s">
        <v>80</v>
      </c>
      <c r="K107" s="810" t="s">
        <v>80</v>
      </c>
      <c r="L107" s="810">
        <v>3300</v>
      </c>
      <c r="M107" s="810">
        <v>600</v>
      </c>
      <c r="N107" s="810">
        <v>1980</v>
      </c>
      <c r="O107" s="810">
        <v>340</v>
      </c>
      <c r="P107" s="810">
        <v>12000</v>
      </c>
      <c r="Q107" s="810">
        <v>4080</v>
      </c>
      <c r="R107" s="810" t="s">
        <v>18</v>
      </c>
      <c r="S107" s="810" t="s">
        <v>18</v>
      </c>
      <c r="T107" s="810" t="s">
        <v>18</v>
      </c>
      <c r="U107" s="810" t="s">
        <v>18</v>
      </c>
      <c r="V107" s="810" t="s">
        <v>18</v>
      </c>
      <c r="W107" s="810" t="s">
        <v>18</v>
      </c>
      <c r="X107" s="810">
        <v>15040</v>
      </c>
      <c r="Y107" s="810">
        <v>15300</v>
      </c>
    </row>
    <row r="108" spans="1:25" hidden="1" x14ac:dyDescent="0.25">
      <c r="A108" s="812" t="s">
        <v>26</v>
      </c>
      <c r="B108" s="810" t="s">
        <v>254</v>
      </c>
      <c r="C108" s="810">
        <v>74163</v>
      </c>
      <c r="D108" s="810">
        <v>1080</v>
      </c>
      <c r="E108" s="810">
        <v>80096</v>
      </c>
      <c r="F108" s="810">
        <v>5605</v>
      </c>
      <c r="G108" s="810">
        <v>410</v>
      </c>
      <c r="H108" s="810">
        <v>2298</v>
      </c>
      <c r="I108" s="810" t="s">
        <v>80</v>
      </c>
      <c r="J108" s="810" t="s">
        <v>80</v>
      </c>
      <c r="K108" s="810" t="s">
        <v>80</v>
      </c>
      <c r="L108" s="810">
        <v>13000</v>
      </c>
      <c r="M108" s="810">
        <v>450</v>
      </c>
      <c r="N108" s="810">
        <v>7800</v>
      </c>
      <c r="O108" s="810">
        <v>3172</v>
      </c>
      <c r="P108" s="810">
        <v>11500</v>
      </c>
      <c r="Q108" s="810">
        <v>36478</v>
      </c>
      <c r="R108" s="810" t="s">
        <v>18</v>
      </c>
      <c r="S108" s="810" t="s">
        <v>18</v>
      </c>
      <c r="T108" s="810" t="s">
        <v>18</v>
      </c>
      <c r="U108" s="810" t="s">
        <v>18</v>
      </c>
      <c r="V108" s="810" t="s">
        <v>18</v>
      </c>
      <c r="W108" s="810" t="s">
        <v>18</v>
      </c>
      <c r="X108" s="810">
        <v>762940</v>
      </c>
      <c r="Y108" s="810">
        <v>126672</v>
      </c>
    </row>
    <row r="109" spans="1:25" hidden="1" x14ac:dyDescent="0.25">
      <c r="A109" s="813" t="s">
        <v>27</v>
      </c>
      <c r="B109" s="810" t="s">
        <v>254</v>
      </c>
      <c r="C109" s="810">
        <v>25324</v>
      </c>
      <c r="D109" s="810">
        <v>880</v>
      </c>
      <c r="E109" s="810">
        <v>20260</v>
      </c>
      <c r="F109" s="810">
        <v>8382</v>
      </c>
      <c r="G109" s="810">
        <v>520</v>
      </c>
      <c r="H109" s="810">
        <v>4358</v>
      </c>
      <c r="I109" s="810" t="s">
        <v>80</v>
      </c>
      <c r="J109" s="810" t="s">
        <v>80</v>
      </c>
      <c r="K109" s="810" t="s">
        <v>80</v>
      </c>
      <c r="L109" s="810">
        <v>10000</v>
      </c>
      <c r="M109" s="810">
        <v>300</v>
      </c>
      <c r="N109" s="810">
        <v>4500</v>
      </c>
      <c r="O109" s="810">
        <v>1788</v>
      </c>
      <c r="P109" s="810">
        <v>10000</v>
      </c>
      <c r="Q109" s="810">
        <v>17880</v>
      </c>
      <c r="R109" s="810" t="s">
        <v>18</v>
      </c>
      <c r="S109" s="810" t="s">
        <v>18</v>
      </c>
      <c r="T109" s="810" t="s">
        <v>18</v>
      </c>
      <c r="U109" s="810" t="s">
        <v>18</v>
      </c>
      <c r="V109" s="810" t="s">
        <v>18</v>
      </c>
      <c r="W109" s="810" t="s">
        <v>18</v>
      </c>
      <c r="X109" s="810">
        <v>45494</v>
      </c>
      <c r="Y109" s="810">
        <v>46998</v>
      </c>
    </row>
    <row r="110" spans="1:25" hidden="1" x14ac:dyDescent="0.25">
      <c r="A110" s="812" t="s">
        <v>50</v>
      </c>
      <c r="B110" s="810" t="s">
        <v>254</v>
      </c>
      <c r="C110" s="810">
        <v>26215</v>
      </c>
      <c r="D110" s="810">
        <v>980</v>
      </c>
      <c r="E110" s="810">
        <v>25690</v>
      </c>
      <c r="F110" s="810">
        <v>8870</v>
      </c>
      <c r="G110" s="810">
        <v>350</v>
      </c>
      <c r="H110" s="810">
        <v>3104</v>
      </c>
      <c r="I110" s="810" t="s">
        <v>80</v>
      </c>
      <c r="J110" s="810" t="s">
        <v>80</v>
      </c>
      <c r="K110" s="810" t="s">
        <v>80</v>
      </c>
      <c r="L110" s="810">
        <v>4000</v>
      </c>
      <c r="M110" s="810">
        <v>500</v>
      </c>
      <c r="N110" s="810">
        <v>1200</v>
      </c>
      <c r="O110" s="810">
        <v>6723</v>
      </c>
      <c r="P110" s="810">
        <v>10000</v>
      </c>
      <c r="Q110" s="810">
        <v>67230</v>
      </c>
      <c r="R110" s="810" t="s">
        <v>18</v>
      </c>
      <c r="S110" s="810" t="s">
        <v>18</v>
      </c>
      <c r="T110" s="810" t="s">
        <v>18</v>
      </c>
      <c r="U110" s="810" t="s">
        <v>18</v>
      </c>
      <c r="V110" s="810" t="s">
        <v>18</v>
      </c>
      <c r="W110" s="810" t="s">
        <v>18</v>
      </c>
      <c r="X110" s="810">
        <v>45808</v>
      </c>
      <c r="Y110" s="810">
        <v>97224</v>
      </c>
    </row>
    <row r="111" spans="1:25" hidden="1" x14ac:dyDescent="0.25">
      <c r="A111" s="812" t="s">
        <v>163</v>
      </c>
      <c r="B111" s="810" t="s">
        <v>254</v>
      </c>
      <c r="C111" s="810">
        <v>43721</v>
      </c>
      <c r="D111" s="810">
        <v>940</v>
      </c>
      <c r="E111" s="810">
        <v>41097</v>
      </c>
      <c r="F111" s="810">
        <v>17390</v>
      </c>
      <c r="G111" s="810">
        <v>420</v>
      </c>
      <c r="H111" s="810">
        <v>7303</v>
      </c>
      <c r="I111" s="810" t="s">
        <v>80</v>
      </c>
      <c r="J111" s="810" t="s">
        <v>80</v>
      </c>
      <c r="K111" s="810" t="s">
        <v>80</v>
      </c>
      <c r="L111" s="810">
        <v>4500</v>
      </c>
      <c r="M111" s="810">
        <v>520</v>
      </c>
      <c r="N111" s="810">
        <v>2250</v>
      </c>
      <c r="O111" s="810">
        <v>5072</v>
      </c>
      <c r="P111" s="810">
        <v>11000</v>
      </c>
      <c r="Q111" s="810">
        <v>55792</v>
      </c>
      <c r="R111" s="810" t="s">
        <v>18</v>
      </c>
      <c r="S111" s="810" t="s">
        <v>18</v>
      </c>
      <c r="T111" s="810" t="s">
        <v>18</v>
      </c>
      <c r="U111" s="810" t="s">
        <v>18</v>
      </c>
      <c r="V111" s="810" t="s">
        <v>18</v>
      </c>
      <c r="W111" s="810" t="s">
        <v>18</v>
      </c>
      <c r="X111" s="810">
        <v>70683</v>
      </c>
      <c r="Y111" s="810">
        <v>106442</v>
      </c>
    </row>
    <row r="112" spans="1:25" hidden="1" x14ac:dyDescent="0.25">
      <c r="A112" s="812" t="s">
        <v>52</v>
      </c>
      <c r="B112" s="810" t="s">
        <v>254</v>
      </c>
      <c r="C112" s="810">
        <v>35403</v>
      </c>
      <c r="D112" s="810">
        <v>1010</v>
      </c>
      <c r="E112" s="810">
        <v>35757</v>
      </c>
      <c r="F112" s="810">
        <v>1510</v>
      </c>
      <c r="G112" s="810">
        <v>380</v>
      </c>
      <c r="H112" s="810">
        <v>573</v>
      </c>
      <c r="I112" s="810" t="s">
        <v>80</v>
      </c>
      <c r="J112" s="810" t="s">
        <v>80</v>
      </c>
      <c r="K112" s="810" t="s">
        <v>80</v>
      </c>
      <c r="L112" s="810">
        <v>15500</v>
      </c>
      <c r="M112" s="810">
        <v>500</v>
      </c>
      <c r="N112" s="810">
        <v>7750</v>
      </c>
      <c r="O112" s="810">
        <v>7131</v>
      </c>
      <c r="P112" s="810">
        <v>12000</v>
      </c>
      <c r="Q112" s="810">
        <v>85572</v>
      </c>
      <c r="R112" s="810" t="s">
        <v>18</v>
      </c>
      <c r="S112" s="810" t="s">
        <v>18</v>
      </c>
      <c r="T112" s="810" t="s">
        <v>18</v>
      </c>
      <c r="U112" s="810" t="s">
        <v>18</v>
      </c>
      <c r="V112" s="810" t="s">
        <v>18</v>
      </c>
      <c r="W112" s="810" t="s">
        <v>18</v>
      </c>
      <c r="X112" s="810">
        <v>59544</v>
      </c>
      <c r="Y112" s="810">
        <v>129652</v>
      </c>
    </row>
    <row r="113" spans="1:25" hidden="1" x14ac:dyDescent="0.25">
      <c r="A113" s="812" t="s">
        <v>15</v>
      </c>
      <c r="B113" s="810" t="s">
        <v>255</v>
      </c>
      <c r="C113" s="810">
        <v>10412</v>
      </c>
      <c r="D113" s="810">
        <v>578</v>
      </c>
      <c r="E113" s="810">
        <v>6111</v>
      </c>
      <c r="F113" s="810">
        <v>2696</v>
      </c>
      <c r="G113" s="810">
        <v>210</v>
      </c>
      <c r="H113" s="810">
        <v>545</v>
      </c>
      <c r="I113" s="810" t="s">
        <v>18</v>
      </c>
      <c r="J113" s="810" t="s">
        <v>18</v>
      </c>
      <c r="K113" s="810" t="s">
        <v>18</v>
      </c>
      <c r="L113" s="810">
        <v>3297</v>
      </c>
      <c r="M113" s="810">
        <v>500</v>
      </c>
      <c r="N113" s="810">
        <v>1648</v>
      </c>
      <c r="O113" s="810" t="s">
        <v>18</v>
      </c>
      <c r="P113" s="810" t="s">
        <v>18</v>
      </c>
      <c r="Q113" s="810" t="s">
        <v>18</v>
      </c>
      <c r="R113" s="810" t="s">
        <v>18</v>
      </c>
      <c r="S113" s="810" t="s">
        <v>18</v>
      </c>
      <c r="T113" s="810" t="s">
        <v>18</v>
      </c>
      <c r="U113" s="810" t="s">
        <v>18</v>
      </c>
      <c r="V113" s="810" t="s">
        <v>18</v>
      </c>
      <c r="W113" s="810" t="s">
        <v>18</v>
      </c>
      <c r="X113" s="810">
        <v>16405</v>
      </c>
      <c r="Y113" s="810">
        <v>8304</v>
      </c>
    </row>
    <row r="114" spans="1:25" hidden="1" x14ac:dyDescent="0.25">
      <c r="A114" s="812" t="s">
        <v>89</v>
      </c>
      <c r="B114" s="810" t="s">
        <v>255</v>
      </c>
      <c r="C114" s="810"/>
      <c r="D114" s="810"/>
      <c r="E114" s="810"/>
      <c r="F114" s="810"/>
      <c r="G114" s="810"/>
      <c r="H114" s="810"/>
      <c r="I114" s="810"/>
      <c r="J114" s="810"/>
      <c r="K114" s="810"/>
      <c r="L114" s="810"/>
      <c r="M114" s="810"/>
      <c r="N114" s="810"/>
      <c r="O114" s="810"/>
      <c r="P114" s="810"/>
      <c r="Q114" s="810"/>
      <c r="R114" s="810"/>
      <c r="S114" s="810"/>
      <c r="T114" s="810"/>
      <c r="U114" s="810"/>
      <c r="V114" s="810"/>
      <c r="W114" s="810"/>
      <c r="X114" s="810"/>
      <c r="Y114" s="810"/>
    </row>
    <row r="115" spans="1:25" hidden="1" x14ac:dyDescent="0.25">
      <c r="A115" s="812" t="s">
        <v>17</v>
      </c>
      <c r="B115" s="810" t="s">
        <v>255</v>
      </c>
      <c r="C115" s="810">
        <v>15530</v>
      </c>
      <c r="D115" s="810">
        <v>600</v>
      </c>
      <c r="E115" s="810">
        <v>9318</v>
      </c>
      <c r="F115" s="810">
        <v>1430</v>
      </c>
      <c r="G115" s="810">
        <v>200</v>
      </c>
      <c r="H115" s="810">
        <v>286</v>
      </c>
      <c r="I115" s="810" t="s">
        <v>18</v>
      </c>
      <c r="J115" s="810" t="s">
        <v>18</v>
      </c>
      <c r="K115" s="810" t="s">
        <v>18</v>
      </c>
      <c r="L115" s="810">
        <v>1650</v>
      </c>
      <c r="M115" s="810">
        <v>500</v>
      </c>
      <c r="N115" s="810">
        <v>825</v>
      </c>
      <c r="O115" s="810" t="s">
        <v>18</v>
      </c>
      <c r="P115" s="810" t="s">
        <v>18</v>
      </c>
      <c r="Q115" s="810" t="s">
        <v>18</v>
      </c>
      <c r="R115" s="810" t="s">
        <v>18</v>
      </c>
      <c r="S115" s="810" t="s">
        <v>18</v>
      </c>
      <c r="T115" s="810" t="s">
        <v>18</v>
      </c>
      <c r="U115" s="810" t="s">
        <v>18</v>
      </c>
      <c r="V115" s="810" t="s">
        <v>18</v>
      </c>
      <c r="W115" s="810" t="s">
        <v>18</v>
      </c>
      <c r="X115" s="810">
        <v>18610</v>
      </c>
      <c r="Y115" s="810">
        <v>10429</v>
      </c>
    </row>
    <row r="116" spans="1:25" hidden="1" x14ac:dyDescent="0.25">
      <c r="A116" s="812" t="s">
        <v>103</v>
      </c>
      <c r="B116" s="810" t="s">
        <v>255</v>
      </c>
      <c r="C116" s="810">
        <v>76160</v>
      </c>
      <c r="D116" s="810">
        <v>790</v>
      </c>
      <c r="E116" s="810">
        <v>60166</v>
      </c>
      <c r="F116" s="810">
        <v>1530</v>
      </c>
      <c r="G116" s="810">
        <v>300</v>
      </c>
      <c r="H116" s="810">
        <v>459</v>
      </c>
      <c r="I116" s="810">
        <v>19800</v>
      </c>
      <c r="J116" s="810">
        <v>700</v>
      </c>
      <c r="K116" s="810">
        <v>13860</v>
      </c>
      <c r="L116" s="810">
        <v>77000</v>
      </c>
      <c r="M116" s="810">
        <v>500</v>
      </c>
      <c r="N116" s="810">
        <v>38500</v>
      </c>
      <c r="O116" s="810">
        <v>2828</v>
      </c>
      <c r="P116" s="810">
        <v>12000</v>
      </c>
      <c r="Q116" s="810">
        <v>33936</v>
      </c>
      <c r="R116" s="810" t="s">
        <v>18</v>
      </c>
      <c r="S116" s="810" t="s">
        <v>18</v>
      </c>
      <c r="T116" s="810" t="s">
        <v>18</v>
      </c>
      <c r="U116" s="810" t="s">
        <v>18</v>
      </c>
      <c r="V116" s="810" t="s">
        <v>18</v>
      </c>
      <c r="W116" s="810" t="s">
        <v>18</v>
      </c>
      <c r="X116" s="810">
        <v>177318</v>
      </c>
      <c r="Y116" s="810">
        <v>146921</v>
      </c>
    </row>
    <row r="117" spans="1:25" hidden="1" x14ac:dyDescent="0.25">
      <c r="A117" s="812" t="s">
        <v>20</v>
      </c>
      <c r="B117" s="810" t="s">
        <v>255</v>
      </c>
      <c r="C117" s="810">
        <v>10530</v>
      </c>
      <c r="D117" s="810">
        <v>797</v>
      </c>
      <c r="E117" s="810">
        <v>8392</v>
      </c>
      <c r="F117" s="810">
        <v>4358</v>
      </c>
      <c r="G117" s="810">
        <v>500</v>
      </c>
      <c r="H117" s="810">
        <v>2179</v>
      </c>
      <c r="I117" s="810" t="s">
        <v>18</v>
      </c>
      <c r="J117" s="810" t="s">
        <v>18</v>
      </c>
      <c r="K117" s="810" t="s">
        <v>18</v>
      </c>
      <c r="L117" s="810">
        <v>2250</v>
      </c>
      <c r="M117" s="810">
        <v>600</v>
      </c>
      <c r="N117" s="810">
        <v>1350</v>
      </c>
      <c r="O117" s="810" t="s">
        <v>18</v>
      </c>
      <c r="P117" s="810" t="s">
        <v>18</v>
      </c>
      <c r="Q117" s="810" t="s">
        <v>18</v>
      </c>
      <c r="R117" s="810" t="s">
        <v>18</v>
      </c>
      <c r="S117" s="810" t="s">
        <v>18</v>
      </c>
      <c r="T117" s="810" t="s">
        <v>18</v>
      </c>
      <c r="U117" s="810" t="s">
        <v>18</v>
      </c>
      <c r="V117" s="810" t="s">
        <v>18</v>
      </c>
      <c r="W117" s="810" t="s">
        <v>18</v>
      </c>
      <c r="X117" s="810">
        <v>17138</v>
      </c>
      <c r="Y117" s="810">
        <v>11921</v>
      </c>
    </row>
    <row r="118" spans="1:25" hidden="1" x14ac:dyDescent="0.25">
      <c r="A118" s="812" t="s">
        <v>21</v>
      </c>
      <c r="B118" s="810" t="s">
        <v>255</v>
      </c>
      <c r="C118" s="810" t="s">
        <v>18</v>
      </c>
      <c r="D118" s="810" t="s">
        <v>18</v>
      </c>
      <c r="E118" s="810" t="s">
        <v>18</v>
      </c>
      <c r="F118" s="810" t="s">
        <v>18</v>
      </c>
      <c r="G118" s="810" t="s">
        <v>18</v>
      </c>
      <c r="H118" s="810" t="s">
        <v>18</v>
      </c>
      <c r="I118" s="810" t="s">
        <v>18</v>
      </c>
      <c r="J118" s="810" t="s">
        <v>18</v>
      </c>
      <c r="K118" s="810" t="s">
        <v>18</v>
      </c>
      <c r="L118" s="810">
        <v>2030</v>
      </c>
      <c r="M118" s="810">
        <v>300</v>
      </c>
      <c r="N118" s="810">
        <v>609</v>
      </c>
      <c r="O118" s="810" t="s">
        <v>18</v>
      </c>
      <c r="P118" s="810" t="s">
        <v>18</v>
      </c>
      <c r="Q118" s="810" t="s">
        <v>18</v>
      </c>
      <c r="R118" s="810" t="s">
        <v>18</v>
      </c>
      <c r="S118" s="810" t="s">
        <v>18</v>
      </c>
      <c r="T118" s="810" t="s">
        <v>18</v>
      </c>
      <c r="U118" s="810" t="s">
        <v>18</v>
      </c>
      <c r="V118" s="810" t="s">
        <v>18</v>
      </c>
      <c r="W118" s="810" t="s">
        <v>18</v>
      </c>
      <c r="X118" s="810">
        <v>2030</v>
      </c>
      <c r="Y118" s="810">
        <v>609</v>
      </c>
    </row>
    <row r="119" spans="1:25" hidden="1" x14ac:dyDescent="0.25">
      <c r="A119" s="812" t="s">
        <v>22</v>
      </c>
      <c r="B119" s="810" t="s">
        <v>255</v>
      </c>
      <c r="C119" s="810">
        <v>40</v>
      </c>
      <c r="D119" s="810">
        <v>1200</v>
      </c>
      <c r="E119" s="810">
        <v>48</v>
      </c>
      <c r="F119" s="810" t="s">
        <v>18</v>
      </c>
      <c r="G119" s="810" t="s">
        <v>18</v>
      </c>
      <c r="H119" s="810" t="s">
        <v>18</v>
      </c>
      <c r="I119" s="810" t="s">
        <v>18</v>
      </c>
      <c r="J119" s="810" t="s">
        <v>18</v>
      </c>
      <c r="K119" s="810" t="s">
        <v>18</v>
      </c>
      <c r="L119" s="810">
        <v>5600</v>
      </c>
      <c r="M119" s="810">
        <v>500</v>
      </c>
      <c r="N119" s="810">
        <v>2800</v>
      </c>
      <c r="O119" s="810">
        <v>290</v>
      </c>
      <c r="P119" s="810">
        <v>20000</v>
      </c>
      <c r="Q119" s="810">
        <v>5816</v>
      </c>
      <c r="R119" s="810">
        <v>84</v>
      </c>
      <c r="S119" s="810">
        <v>15000</v>
      </c>
      <c r="T119" s="810">
        <v>1260</v>
      </c>
      <c r="U119" s="810" t="s">
        <v>18</v>
      </c>
      <c r="V119" s="810" t="s">
        <v>18</v>
      </c>
      <c r="W119" s="810" t="s">
        <v>18</v>
      </c>
      <c r="X119" s="810">
        <v>6014</v>
      </c>
      <c r="Y119" s="810">
        <v>9924</v>
      </c>
    </row>
    <row r="120" spans="1:25" hidden="1" x14ac:dyDescent="0.25">
      <c r="A120" s="813" t="s">
        <v>23</v>
      </c>
      <c r="B120" s="810" t="s">
        <v>255</v>
      </c>
      <c r="C120" s="810">
        <v>93525</v>
      </c>
      <c r="D120" s="810">
        <v>1170</v>
      </c>
      <c r="E120" s="810">
        <v>109424</v>
      </c>
      <c r="F120" s="810">
        <v>11200</v>
      </c>
      <c r="G120" s="810">
        <v>350</v>
      </c>
      <c r="H120" s="810">
        <v>3920</v>
      </c>
      <c r="I120" s="810">
        <v>530</v>
      </c>
      <c r="J120" s="810">
        <v>450</v>
      </c>
      <c r="K120" s="810">
        <v>238</v>
      </c>
      <c r="L120" s="810">
        <v>10700</v>
      </c>
      <c r="M120" s="810">
        <v>450</v>
      </c>
      <c r="N120" s="810">
        <v>4815</v>
      </c>
      <c r="O120" s="810" t="s">
        <v>18</v>
      </c>
      <c r="P120" s="810" t="s">
        <v>18</v>
      </c>
      <c r="Q120" s="810" t="s">
        <v>18</v>
      </c>
      <c r="R120" s="810" t="s">
        <v>18</v>
      </c>
      <c r="S120" s="810" t="s">
        <v>18</v>
      </c>
      <c r="T120" s="810" t="s">
        <v>18</v>
      </c>
      <c r="U120" s="810" t="s">
        <v>18</v>
      </c>
      <c r="V120" s="810" t="s">
        <v>18</v>
      </c>
      <c r="W120" s="810" t="s">
        <v>18</v>
      </c>
      <c r="X120" s="810">
        <v>115955</v>
      </c>
      <c r="Y120" s="810">
        <v>118397</v>
      </c>
    </row>
    <row r="121" spans="1:25" hidden="1" x14ac:dyDescent="0.25">
      <c r="A121" s="812" t="s">
        <v>24</v>
      </c>
      <c r="B121" s="810" t="s">
        <v>255</v>
      </c>
      <c r="C121" s="810">
        <v>5369</v>
      </c>
      <c r="D121" s="810">
        <v>930</v>
      </c>
      <c r="E121" s="810">
        <v>4993</v>
      </c>
      <c r="F121" s="810">
        <v>786</v>
      </c>
      <c r="G121" s="810">
        <v>600</v>
      </c>
      <c r="H121" s="810">
        <v>393</v>
      </c>
      <c r="I121" s="810">
        <v>100</v>
      </c>
      <c r="J121" s="810">
        <v>650</v>
      </c>
      <c r="K121" s="810">
        <v>65</v>
      </c>
      <c r="L121" s="810">
        <v>4000</v>
      </c>
      <c r="M121" s="810">
        <v>600</v>
      </c>
      <c r="N121" s="810">
        <v>2400</v>
      </c>
      <c r="O121" s="810">
        <v>374</v>
      </c>
      <c r="P121" s="810">
        <v>12000</v>
      </c>
      <c r="Q121" s="810">
        <v>4488</v>
      </c>
      <c r="R121" s="810">
        <v>284</v>
      </c>
      <c r="S121" s="810">
        <v>11000</v>
      </c>
      <c r="T121" s="810">
        <v>3214</v>
      </c>
      <c r="U121" s="810" t="s">
        <v>18</v>
      </c>
      <c r="V121" s="810" t="s">
        <v>18</v>
      </c>
      <c r="W121" s="810" t="s">
        <v>18</v>
      </c>
      <c r="X121" s="810">
        <v>10913</v>
      </c>
      <c r="Y121" s="810">
        <v>15553</v>
      </c>
    </row>
    <row r="122" spans="1:25" hidden="1" x14ac:dyDescent="0.25">
      <c r="A122" s="812" t="s">
        <v>26</v>
      </c>
      <c r="B122" s="810" t="s">
        <v>255</v>
      </c>
      <c r="C122" s="810">
        <v>59728</v>
      </c>
      <c r="D122" s="810">
        <v>930</v>
      </c>
      <c r="E122" s="810">
        <v>55537</v>
      </c>
      <c r="F122" s="810">
        <v>5314</v>
      </c>
      <c r="G122" s="810">
        <v>530</v>
      </c>
      <c r="H122" s="810">
        <v>1574</v>
      </c>
      <c r="I122" s="810">
        <v>3700</v>
      </c>
      <c r="J122" s="810">
        <v>800</v>
      </c>
      <c r="K122" s="810">
        <v>2960</v>
      </c>
      <c r="L122" s="810">
        <v>16794</v>
      </c>
      <c r="M122" s="810">
        <v>600</v>
      </c>
      <c r="N122" s="810">
        <v>10076</v>
      </c>
      <c r="O122" s="810">
        <v>447</v>
      </c>
      <c r="P122" s="810">
        <v>11500</v>
      </c>
      <c r="Q122" s="810">
        <v>51485</v>
      </c>
      <c r="R122" s="810" t="s">
        <v>18</v>
      </c>
      <c r="S122" s="810" t="s">
        <v>18</v>
      </c>
      <c r="T122" s="810" t="s">
        <v>18</v>
      </c>
      <c r="U122" s="810">
        <v>6800</v>
      </c>
      <c r="V122" s="810">
        <v>12000</v>
      </c>
      <c r="W122" s="810">
        <v>81600</v>
      </c>
      <c r="X122" s="810">
        <v>92783</v>
      </c>
      <c r="Y122" s="810">
        <v>203232</v>
      </c>
    </row>
    <row r="123" spans="1:25" hidden="1" x14ac:dyDescent="0.25">
      <c r="A123" s="813" t="s">
        <v>27</v>
      </c>
      <c r="B123" s="810" t="s">
        <v>255</v>
      </c>
      <c r="C123" s="810">
        <v>31176</v>
      </c>
      <c r="D123" s="810">
        <v>765</v>
      </c>
      <c r="E123" s="810">
        <v>23850</v>
      </c>
      <c r="F123" s="810">
        <v>10928</v>
      </c>
      <c r="G123" s="810">
        <v>272</v>
      </c>
      <c r="H123" s="810">
        <v>2922</v>
      </c>
      <c r="I123" s="810">
        <v>8780</v>
      </c>
      <c r="J123" s="810">
        <v>750</v>
      </c>
      <c r="K123" s="810">
        <v>6585</v>
      </c>
      <c r="L123" s="810">
        <v>15240</v>
      </c>
      <c r="M123" s="810">
        <v>500</v>
      </c>
      <c r="N123" s="810">
        <v>7620</v>
      </c>
      <c r="O123" s="810">
        <v>4373</v>
      </c>
      <c r="P123" s="810">
        <v>10000</v>
      </c>
      <c r="Q123" s="810">
        <v>43730</v>
      </c>
      <c r="R123" s="810" t="s">
        <v>18</v>
      </c>
      <c r="S123" s="810" t="s">
        <v>18</v>
      </c>
      <c r="T123" s="810" t="s">
        <v>18</v>
      </c>
      <c r="U123" s="810" t="s">
        <v>18</v>
      </c>
      <c r="V123" s="810" t="s">
        <v>18</v>
      </c>
      <c r="W123" s="810" t="s">
        <v>18</v>
      </c>
      <c r="X123" s="810">
        <v>70497</v>
      </c>
      <c r="Y123" s="810">
        <v>84707</v>
      </c>
    </row>
    <row r="124" spans="1:25" hidden="1" x14ac:dyDescent="0.25">
      <c r="A124" s="812" t="s">
        <v>50</v>
      </c>
      <c r="B124" s="810" t="s">
        <v>255</v>
      </c>
      <c r="C124" s="810">
        <v>26052</v>
      </c>
      <c r="D124" s="810">
        <v>987</v>
      </c>
      <c r="E124" s="810">
        <v>25714</v>
      </c>
      <c r="F124" s="810">
        <v>9261</v>
      </c>
      <c r="G124" s="810">
        <v>344</v>
      </c>
      <c r="H124" s="810">
        <v>3185</v>
      </c>
      <c r="I124" s="810">
        <v>6000</v>
      </c>
      <c r="J124" s="810">
        <v>750</v>
      </c>
      <c r="K124" s="810">
        <v>4500</v>
      </c>
      <c r="L124" s="810">
        <v>3730</v>
      </c>
      <c r="M124" s="810">
        <v>550</v>
      </c>
      <c r="N124" s="810">
        <v>1865</v>
      </c>
      <c r="O124" s="810">
        <v>3318</v>
      </c>
      <c r="P124" s="810">
        <v>10000</v>
      </c>
      <c r="Q124" s="810">
        <v>33180</v>
      </c>
      <c r="R124" s="810" t="s">
        <v>18</v>
      </c>
      <c r="S124" s="810" t="s">
        <v>18</v>
      </c>
      <c r="T124" s="810" t="s">
        <v>18</v>
      </c>
      <c r="U124" s="810" t="s">
        <v>18</v>
      </c>
      <c r="V124" s="810" t="s">
        <v>18</v>
      </c>
      <c r="W124" s="810" t="s">
        <v>18</v>
      </c>
      <c r="X124" s="810">
        <v>48361</v>
      </c>
      <c r="Y124" s="810">
        <v>68444</v>
      </c>
    </row>
    <row r="125" spans="1:25" hidden="1" x14ac:dyDescent="0.25">
      <c r="A125" s="812" t="s">
        <v>163</v>
      </c>
      <c r="B125" s="810" t="s">
        <v>255</v>
      </c>
      <c r="C125" s="810">
        <v>50773</v>
      </c>
      <c r="D125" s="810">
        <v>953</v>
      </c>
      <c r="E125" s="810">
        <v>48409</v>
      </c>
      <c r="F125" s="810">
        <v>15090</v>
      </c>
      <c r="G125" s="810">
        <v>355</v>
      </c>
      <c r="H125" s="810">
        <v>5356</v>
      </c>
      <c r="I125" s="810">
        <v>5540</v>
      </c>
      <c r="J125" s="810">
        <v>800</v>
      </c>
      <c r="K125" s="810">
        <v>4432</v>
      </c>
      <c r="L125" s="810">
        <v>5288</v>
      </c>
      <c r="M125" s="810">
        <v>500</v>
      </c>
      <c r="N125" s="810">
        <v>2644</v>
      </c>
      <c r="O125" s="810">
        <v>6672</v>
      </c>
      <c r="P125" s="810">
        <v>11000</v>
      </c>
      <c r="Q125" s="810">
        <v>73392</v>
      </c>
      <c r="R125" s="810" t="s">
        <v>18</v>
      </c>
      <c r="S125" s="810" t="s">
        <v>18</v>
      </c>
      <c r="T125" s="810" t="s">
        <v>18</v>
      </c>
      <c r="U125" s="810" t="s">
        <v>18</v>
      </c>
      <c r="V125" s="810" t="s">
        <v>18</v>
      </c>
      <c r="W125" s="810" t="s">
        <v>18</v>
      </c>
      <c r="X125" s="810">
        <v>83363</v>
      </c>
      <c r="Y125" s="810">
        <v>134233</v>
      </c>
    </row>
    <row r="126" spans="1:25" hidden="1" x14ac:dyDescent="0.25">
      <c r="A126" s="812" t="s">
        <v>52</v>
      </c>
      <c r="B126" s="810" t="s">
        <v>255</v>
      </c>
      <c r="C126" s="810">
        <v>64771</v>
      </c>
      <c r="D126" s="810">
        <v>971</v>
      </c>
      <c r="E126" s="810">
        <v>62906</v>
      </c>
      <c r="F126" s="810">
        <v>878</v>
      </c>
      <c r="G126" s="810">
        <v>277</v>
      </c>
      <c r="H126" s="810">
        <v>243</v>
      </c>
      <c r="I126" s="810">
        <v>14360</v>
      </c>
      <c r="J126" s="810">
        <v>950</v>
      </c>
      <c r="K126" s="810">
        <v>13642</v>
      </c>
      <c r="L126" s="810">
        <v>41710</v>
      </c>
      <c r="M126" s="810">
        <v>580</v>
      </c>
      <c r="N126" s="810">
        <v>22205</v>
      </c>
      <c r="O126" s="810">
        <v>8584</v>
      </c>
      <c r="P126" s="810">
        <v>12000</v>
      </c>
      <c r="Q126" s="810">
        <v>103008</v>
      </c>
      <c r="R126" s="810" t="s">
        <v>18</v>
      </c>
      <c r="S126" s="810" t="s">
        <v>18</v>
      </c>
      <c r="T126" s="810" t="s">
        <v>18</v>
      </c>
      <c r="U126" s="810" t="s">
        <v>18</v>
      </c>
      <c r="V126" s="810" t="s">
        <v>18</v>
      </c>
      <c r="W126" s="810" t="s">
        <v>18</v>
      </c>
      <c r="X126" s="810">
        <v>130303</v>
      </c>
      <c r="Y126" s="810">
        <v>202004</v>
      </c>
    </row>
    <row r="127" spans="1:25" hidden="1" x14ac:dyDescent="0.25">
      <c r="A127" s="812" t="s">
        <v>15</v>
      </c>
      <c r="B127" s="810" t="s">
        <v>256</v>
      </c>
      <c r="C127" s="810">
        <v>7580</v>
      </c>
      <c r="D127" s="810">
        <v>600</v>
      </c>
      <c r="E127" s="810">
        <v>4548</v>
      </c>
      <c r="F127" s="810">
        <v>1300</v>
      </c>
      <c r="G127" s="810">
        <v>105</v>
      </c>
      <c r="H127" s="810">
        <v>136</v>
      </c>
      <c r="I127" s="810"/>
      <c r="J127" s="810"/>
      <c r="K127" s="810"/>
      <c r="L127" s="810" t="s">
        <v>18</v>
      </c>
      <c r="M127" s="810" t="s">
        <v>18</v>
      </c>
      <c r="N127" s="810" t="s">
        <v>18</v>
      </c>
      <c r="O127" s="810" t="s">
        <v>18</v>
      </c>
      <c r="P127" s="810" t="s">
        <v>18</v>
      </c>
      <c r="Q127" s="810" t="s">
        <v>18</v>
      </c>
      <c r="R127" s="810" t="s">
        <v>88</v>
      </c>
      <c r="S127" s="810" t="s">
        <v>88</v>
      </c>
      <c r="T127" s="810" t="s">
        <v>88</v>
      </c>
      <c r="U127" s="810" t="s">
        <v>18</v>
      </c>
      <c r="V127" s="810" t="s">
        <v>18</v>
      </c>
      <c r="W127" s="810"/>
      <c r="X127" s="810">
        <f>C127+F127</f>
        <v>8880</v>
      </c>
      <c r="Y127" s="810">
        <f>E127+H127</f>
        <v>4684</v>
      </c>
    </row>
    <row r="128" spans="1:25" hidden="1" x14ac:dyDescent="0.25">
      <c r="A128" s="812" t="s">
        <v>89</v>
      </c>
      <c r="B128" s="810" t="s">
        <v>256</v>
      </c>
      <c r="C128" s="810"/>
      <c r="D128" s="810"/>
      <c r="E128" s="810"/>
      <c r="F128" s="810"/>
      <c r="G128" s="810"/>
      <c r="H128" s="810"/>
      <c r="I128" s="810"/>
      <c r="J128" s="810" t="s">
        <v>18</v>
      </c>
      <c r="K128" s="810" t="s">
        <v>18</v>
      </c>
      <c r="L128" s="810" t="s">
        <v>18</v>
      </c>
      <c r="M128" s="810" t="s">
        <v>18</v>
      </c>
      <c r="N128" s="810" t="s">
        <v>18</v>
      </c>
      <c r="O128" s="810" t="s">
        <v>18</v>
      </c>
      <c r="P128" s="810" t="s">
        <v>18</v>
      </c>
      <c r="Q128" s="810" t="s">
        <v>18</v>
      </c>
      <c r="R128" s="810"/>
      <c r="S128" s="810"/>
      <c r="T128" s="810"/>
      <c r="U128" s="810" t="s">
        <v>18</v>
      </c>
      <c r="V128" s="810"/>
      <c r="W128" s="810"/>
      <c r="X128" s="810"/>
      <c r="Y128" s="810"/>
    </row>
    <row r="129" spans="1:25" hidden="1" x14ac:dyDescent="0.25">
      <c r="A129" s="812" t="s">
        <v>17</v>
      </c>
      <c r="B129" s="810" t="s">
        <v>256</v>
      </c>
      <c r="C129" s="810">
        <v>3300</v>
      </c>
      <c r="D129" s="810">
        <v>600</v>
      </c>
      <c r="E129" s="810">
        <v>1980</v>
      </c>
      <c r="F129" s="810">
        <v>850</v>
      </c>
      <c r="G129" s="810">
        <v>150</v>
      </c>
      <c r="H129" s="810">
        <v>127</v>
      </c>
      <c r="I129" s="810"/>
      <c r="J129" s="810"/>
      <c r="K129" s="810"/>
      <c r="L129" s="810" t="s">
        <v>18</v>
      </c>
      <c r="M129" s="810" t="s">
        <v>18</v>
      </c>
      <c r="N129" s="810" t="s">
        <v>18</v>
      </c>
      <c r="O129" s="810" t="s">
        <v>18</v>
      </c>
      <c r="P129" s="810" t="s">
        <v>18</v>
      </c>
      <c r="Q129" s="810" t="s">
        <v>18</v>
      </c>
      <c r="R129" s="810" t="s">
        <v>88</v>
      </c>
      <c r="S129" s="810" t="s">
        <v>88</v>
      </c>
      <c r="T129" s="810" t="s">
        <v>88</v>
      </c>
      <c r="U129" s="810" t="s">
        <v>18</v>
      </c>
      <c r="V129" s="810" t="s">
        <v>18</v>
      </c>
      <c r="W129" s="810" t="s">
        <v>18</v>
      </c>
      <c r="X129" s="810">
        <f>C129+F129</f>
        <v>4150</v>
      </c>
      <c r="Y129" s="810">
        <f>E129+H129</f>
        <v>2107</v>
      </c>
    </row>
    <row r="130" spans="1:25" hidden="1" x14ac:dyDescent="0.25">
      <c r="A130" s="812" t="s">
        <v>103</v>
      </c>
      <c r="B130" s="810" t="s">
        <v>256</v>
      </c>
      <c r="C130" s="810">
        <v>24930</v>
      </c>
      <c r="D130" s="810">
        <v>1250</v>
      </c>
      <c r="E130" s="810">
        <v>31162</v>
      </c>
      <c r="F130" s="810" t="s">
        <v>18</v>
      </c>
      <c r="G130" s="810" t="s">
        <v>18</v>
      </c>
      <c r="H130" s="810" t="s">
        <v>18</v>
      </c>
      <c r="I130" s="810" t="s">
        <v>18</v>
      </c>
      <c r="J130" s="810" t="s">
        <v>18</v>
      </c>
      <c r="K130" s="810" t="s">
        <v>18</v>
      </c>
      <c r="L130" s="810">
        <v>19800</v>
      </c>
      <c r="M130" s="810">
        <v>700</v>
      </c>
      <c r="N130" s="810">
        <v>13860</v>
      </c>
      <c r="O130" s="810">
        <v>2500</v>
      </c>
      <c r="P130" s="810">
        <v>10000</v>
      </c>
      <c r="Q130" s="810">
        <v>25000</v>
      </c>
      <c r="R130" s="810" t="s">
        <v>88</v>
      </c>
      <c r="S130" s="810" t="s">
        <v>88</v>
      </c>
      <c r="T130" s="810" t="s">
        <v>88</v>
      </c>
      <c r="U130" s="810" t="s">
        <v>18</v>
      </c>
      <c r="V130" s="810" t="s">
        <v>18</v>
      </c>
      <c r="W130" s="810" t="s">
        <v>18</v>
      </c>
      <c r="X130" s="810">
        <f>C130+O130</f>
        <v>27430</v>
      </c>
      <c r="Y130" s="810">
        <f>E130+Q130</f>
        <v>56162</v>
      </c>
    </row>
    <row r="131" spans="1:25" hidden="1" x14ac:dyDescent="0.25">
      <c r="A131" s="812" t="s">
        <v>20</v>
      </c>
      <c r="B131" s="810" t="s">
        <v>256</v>
      </c>
      <c r="C131" s="810">
        <v>15450</v>
      </c>
      <c r="D131" s="810">
        <v>850</v>
      </c>
      <c r="E131" s="810">
        <v>13132</v>
      </c>
      <c r="F131" s="810">
        <v>5000</v>
      </c>
      <c r="G131" s="810">
        <v>400</v>
      </c>
      <c r="H131" s="810">
        <v>2000</v>
      </c>
      <c r="I131" s="810">
        <v>2000</v>
      </c>
      <c r="J131" s="810">
        <v>475</v>
      </c>
      <c r="K131" s="810">
        <v>950</v>
      </c>
      <c r="L131" s="810" t="s">
        <v>18</v>
      </c>
      <c r="M131" s="897" t="s">
        <v>18</v>
      </c>
      <c r="N131" s="897" t="s">
        <v>18</v>
      </c>
      <c r="O131" s="810" t="s">
        <v>18</v>
      </c>
      <c r="P131" s="810" t="s">
        <v>18</v>
      </c>
      <c r="Q131" s="810" t="s">
        <v>18</v>
      </c>
      <c r="R131" s="810" t="s">
        <v>88</v>
      </c>
      <c r="S131" s="810" t="s">
        <v>88</v>
      </c>
      <c r="T131" s="810" t="s">
        <v>88</v>
      </c>
      <c r="U131" s="810" t="s">
        <v>18</v>
      </c>
      <c r="V131" s="810" t="s">
        <v>18</v>
      </c>
      <c r="W131" s="810" t="s">
        <v>18</v>
      </c>
      <c r="X131" s="810">
        <f>C131+F131+I131</f>
        <v>22450</v>
      </c>
      <c r="Y131" s="810">
        <f>E131+H131+K131</f>
        <v>16082</v>
      </c>
    </row>
    <row r="132" spans="1:25" hidden="1" x14ac:dyDescent="0.25">
      <c r="A132" s="812" t="s">
        <v>21</v>
      </c>
      <c r="B132" s="810" t="s">
        <v>256</v>
      </c>
      <c r="C132" s="810" t="s">
        <v>18</v>
      </c>
      <c r="D132" s="810" t="s">
        <v>18</v>
      </c>
      <c r="E132" s="810" t="s">
        <v>18</v>
      </c>
      <c r="F132" s="810" t="s">
        <v>18</v>
      </c>
      <c r="G132" s="810" t="s">
        <v>18</v>
      </c>
      <c r="H132" s="810" t="s">
        <v>18</v>
      </c>
      <c r="I132" s="810"/>
      <c r="J132" s="810"/>
      <c r="K132" s="810"/>
      <c r="L132" s="810" t="s">
        <v>18</v>
      </c>
      <c r="M132" s="810" t="s">
        <v>18</v>
      </c>
      <c r="N132" s="810" t="s">
        <v>18</v>
      </c>
      <c r="O132" s="810" t="s">
        <v>18</v>
      </c>
      <c r="P132" s="810" t="s">
        <v>18</v>
      </c>
      <c r="Q132" s="810" t="s">
        <v>18</v>
      </c>
      <c r="R132" s="810" t="s">
        <v>88</v>
      </c>
      <c r="S132" s="810" t="s">
        <v>88</v>
      </c>
      <c r="T132" s="810" t="s">
        <v>88</v>
      </c>
      <c r="U132" s="810" t="s">
        <v>18</v>
      </c>
      <c r="V132" s="810" t="s">
        <v>18</v>
      </c>
      <c r="W132" s="810" t="s">
        <v>18</v>
      </c>
      <c r="X132" s="810" t="s">
        <v>18</v>
      </c>
      <c r="Y132" s="810" t="s">
        <v>18</v>
      </c>
    </row>
    <row r="133" spans="1:25" hidden="1" x14ac:dyDescent="0.25">
      <c r="A133" s="812" t="s">
        <v>22</v>
      </c>
      <c r="B133" s="810" t="s">
        <v>256</v>
      </c>
      <c r="C133" s="810">
        <v>35800</v>
      </c>
      <c r="D133" s="810">
        <v>1200</v>
      </c>
      <c r="E133" s="810">
        <v>42960</v>
      </c>
      <c r="F133" s="810" t="s">
        <v>18</v>
      </c>
      <c r="G133" s="810" t="s">
        <v>18</v>
      </c>
      <c r="H133" s="810" t="s">
        <v>18</v>
      </c>
      <c r="I133" s="810">
        <v>1605</v>
      </c>
      <c r="J133" s="810">
        <v>362</v>
      </c>
      <c r="K133" s="810">
        <v>578</v>
      </c>
      <c r="L133" s="810" t="s">
        <v>18</v>
      </c>
      <c r="M133" s="897" t="s">
        <v>18</v>
      </c>
      <c r="N133" s="897" t="s">
        <v>18</v>
      </c>
      <c r="O133" s="810">
        <v>290</v>
      </c>
      <c r="P133" s="810">
        <v>20000</v>
      </c>
      <c r="Q133" s="810">
        <v>5800</v>
      </c>
      <c r="R133" s="810" t="s">
        <v>88</v>
      </c>
      <c r="S133" s="810" t="s">
        <v>88</v>
      </c>
      <c r="T133" s="810" t="s">
        <v>88</v>
      </c>
      <c r="U133" s="810" t="s">
        <v>18</v>
      </c>
      <c r="V133" s="810" t="s">
        <v>18</v>
      </c>
      <c r="W133" s="810" t="s">
        <v>18</v>
      </c>
      <c r="X133" s="810">
        <f>C133+I133+O133</f>
        <v>37695</v>
      </c>
      <c r="Y133" s="810">
        <f>E133+K133+Q133</f>
        <v>49338</v>
      </c>
    </row>
    <row r="134" spans="1:25" hidden="1" x14ac:dyDescent="0.25">
      <c r="A134" s="813" t="s">
        <v>23</v>
      </c>
      <c r="B134" s="810" t="s">
        <v>256</v>
      </c>
      <c r="C134" s="810">
        <v>80900</v>
      </c>
      <c r="D134" s="810">
        <v>750</v>
      </c>
      <c r="E134" s="810">
        <v>68765</v>
      </c>
      <c r="F134" s="810">
        <v>1450</v>
      </c>
      <c r="G134" s="810">
        <v>300</v>
      </c>
      <c r="H134" s="810">
        <v>1350</v>
      </c>
      <c r="I134" s="810">
        <v>7800</v>
      </c>
      <c r="J134" s="810">
        <v>300</v>
      </c>
      <c r="K134" s="810">
        <v>2340</v>
      </c>
      <c r="L134" s="810">
        <v>530</v>
      </c>
      <c r="M134" s="810">
        <v>450</v>
      </c>
      <c r="N134" s="810">
        <v>238</v>
      </c>
      <c r="O134" s="810" t="s">
        <v>18</v>
      </c>
      <c r="P134" s="810" t="s">
        <v>18</v>
      </c>
      <c r="Q134" s="810" t="s">
        <v>18</v>
      </c>
      <c r="R134" s="810" t="s">
        <v>88</v>
      </c>
      <c r="S134" s="810" t="s">
        <v>88</v>
      </c>
      <c r="T134" s="810" t="s">
        <v>88</v>
      </c>
      <c r="U134" s="810" t="s">
        <v>18</v>
      </c>
      <c r="V134" s="810" t="s">
        <v>18</v>
      </c>
      <c r="W134" s="810" t="s">
        <v>18</v>
      </c>
      <c r="X134" s="810">
        <f>C134+F134+I134+O133</f>
        <v>90440</v>
      </c>
      <c r="Y134" s="810">
        <f>E134+H134+K134</f>
        <v>72455</v>
      </c>
    </row>
    <row r="135" spans="1:25" hidden="1" x14ac:dyDescent="0.25">
      <c r="A135" s="812" t="s">
        <v>24</v>
      </c>
      <c r="B135" s="810" t="s">
        <v>256</v>
      </c>
      <c r="C135" s="810">
        <v>5000</v>
      </c>
      <c r="D135" s="810">
        <v>940</v>
      </c>
      <c r="E135" s="810">
        <v>4700</v>
      </c>
      <c r="F135" s="810">
        <v>5465</v>
      </c>
      <c r="G135" s="810">
        <v>400</v>
      </c>
      <c r="H135" s="810">
        <v>2186</v>
      </c>
      <c r="I135" s="810">
        <v>2987</v>
      </c>
      <c r="J135" s="810">
        <v>400</v>
      </c>
      <c r="K135" s="810">
        <v>1195</v>
      </c>
      <c r="L135" s="810">
        <v>100</v>
      </c>
      <c r="M135" s="810">
        <v>650</v>
      </c>
      <c r="N135" s="810">
        <v>65</v>
      </c>
      <c r="O135" s="810" t="s">
        <v>18</v>
      </c>
      <c r="P135" s="810" t="s">
        <v>18</v>
      </c>
      <c r="Q135" s="810" t="s">
        <v>18</v>
      </c>
      <c r="R135" s="810" t="s">
        <v>88</v>
      </c>
      <c r="S135" s="810" t="s">
        <v>88</v>
      </c>
      <c r="T135" s="810" t="s">
        <v>88</v>
      </c>
      <c r="U135" s="810" t="s">
        <v>18</v>
      </c>
      <c r="V135" s="810" t="s">
        <v>18</v>
      </c>
      <c r="W135" s="810" t="s">
        <v>18</v>
      </c>
      <c r="X135" s="810">
        <f>C135+F135+I135</f>
        <v>13452</v>
      </c>
      <c r="Y135" s="810">
        <f>E135+H135+K135</f>
        <v>8081</v>
      </c>
    </row>
    <row r="136" spans="1:25" hidden="1" x14ac:dyDescent="0.25">
      <c r="A136" s="812" t="s">
        <v>26</v>
      </c>
      <c r="B136" s="810" t="s">
        <v>256</v>
      </c>
      <c r="C136" s="810">
        <v>80600</v>
      </c>
      <c r="D136" s="810">
        <v>1180</v>
      </c>
      <c r="E136" s="810">
        <v>95108</v>
      </c>
      <c r="F136" s="810">
        <v>10548</v>
      </c>
      <c r="G136" s="810">
        <v>530</v>
      </c>
      <c r="H136" s="810">
        <v>5590</v>
      </c>
      <c r="I136" s="810">
        <v>4000</v>
      </c>
      <c r="J136" s="810">
        <v>490</v>
      </c>
      <c r="K136" s="810">
        <v>1960</v>
      </c>
      <c r="L136" s="810">
        <v>3700</v>
      </c>
      <c r="M136" s="810">
        <v>800</v>
      </c>
      <c r="N136" s="810">
        <v>2960</v>
      </c>
      <c r="O136" s="810">
        <v>1461</v>
      </c>
      <c r="P136" s="810">
        <v>8000</v>
      </c>
      <c r="Q136" s="810">
        <v>11688</v>
      </c>
      <c r="R136" s="810" t="s">
        <v>88</v>
      </c>
      <c r="S136" s="810" t="s">
        <v>88</v>
      </c>
      <c r="T136" s="810" t="s">
        <v>88</v>
      </c>
      <c r="U136" s="810" t="s">
        <v>18</v>
      </c>
      <c r="V136" s="810" t="s">
        <v>18</v>
      </c>
      <c r="W136" s="810" t="s">
        <v>18</v>
      </c>
      <c r="X136" s="810">
        <f>C136+F136+I136+Q136</f>
        <v>106836</v>
      </c>
      <c r="Y136" s="810">
        <f>E136+H136+K136+Q136</f>
        <v>114346</v>
      </c>
    </row>
    <row r="137" spans="1:25" hidden="1" x14ac:dyDescent="0.25">
      <c r="A137" s="813" t="s">
        <v>27</v>
      </c>
      <c r="B137" s="810" t="s">
        <v>256</v>
      </c>
      <c r="C137" s="810">
        <v>22600</v>
      </c>
      <c r="D137" s="810">
        <v>800</v>
      </c>
      <c r="E137" s="810">
        <v>18080</v>
      </c>
      <c r="F137" s="810">
        <v>5925</v>
      </c>
      <c r="G137" s="810">
        <v>270</v>
      </c>
      <c r="H137" s="810">
        <v>1600</v>
      </c>
      <c r="I137" s="810">
        <v>7000</v>
      </c>
      <c r="J137" s="810">
        <v>300</v>
      </c>
      <c r="K137" s="810">
        <v>2100</v>
      </c>
      <c r="L137" s="810">
        <v>8780</v>
      </c>
      <c r="M137" s="810">
        <v>750</v>
      </c>
      <c r="N137" s="810">
        <v>6585</v>
      </c>
      <c r="O137" s="810" t="s">
        <v>18</v>
      </c>
      <c r="P137" s="810" t="s">
        <v>18</v>
      </c>
      <c r="Q137" s="810" t="s">
        <v>18</v>
      </c>
      <c r="R137" s="810" t="s">
        <v>88</v>
      </c>
      <c r="S137" s="810" t="s">
        <v>88</v>
      </c>
      <c r="T137" s="810" t="s">
        <v>88</v>
      </c>
      <c r="U137" s="810" t="s">
        <v>18</v>
      </c>
      <c r="V137" s="810" t="s">
        <v>18</v>
      </c>
      <c r="W137" s="810" t="s">
        <v>18</v>
      </c>
      <c r="X137" s="810">
        <f>C137+F137+I137</f>
        <v>35525</v>
      </c>
      <c r="Y137" s="810">
        <f>E137+H137+K137</f>
        <v>21780</v>
      </c>
    </row>
    <row r="138" spans="1:25" hidden="1" x14ac:dyDescent="0.25">
      <c r="A138" s="812" t="s">
        <v>50</v>
      </c>
      <c r="B138" s="810" t="s">
        <v>256</v>
      </c>
      <c r="C138" s="810">
        <v>19400</v>
      </c>
      <c r="D138" s="810">
        <v>870</v>
      </c>
      <c r="E138" s="810">
        <v>16878</v>
      </c>
      <c r="F138" s="810">
        <v>5523</v>
      </c>
      <c r="G138" s="810">
        <v>350</v>
      </c>
      <c r="H138" s="810">
        <v>1933</v>
      </c>
      <c r="I138" s="810">
        <v>6000</v>
      </c>
      <c r="J138" s="810">
        <v>410</v>
      </c>
      <c r="K138" s="810">
        <v>2460</v>
      </c>
      <c r="L138" s="810">
        <v>6000</v>
      </c>
      <c r="M138" s="810">
        <v>750</v>
      </c>
      <c r="N138" s="810">
        <v>4500</v>
      </c>
      <c r="O138" s="810">
        <v>1980</v>
      </c>
      <c r="P138" s="810">
        <v>8000</v>
      </c>
      <c r="Q138" s="810">
        <v>15840</v>
      </c>
      <c r="R138" s="810" t="s">
        <v>88</v>
      </c>
      <c r="S138" s="810" t="s">
        <v>88</v>
      </c>
      <c r="T138" s="810" t="s">
        <v>88</v>
      </c>
      <c r="U138" s="810" t="s">
        <v>18</v>
      </c>
      <c r="V138" s="810" t="s">
        <v>18</v>
      </c>
      <c r="W138" s="810" t="s">
        <v>18</v>
      </c>
      <c r="X138" s="810">
        <f>C138+F138+I138+O138</f>
        <v>32903</v>
      </c>
      <c r="Y138" s="810">
        <f>E138+H138+K138+Q138</f>
        <v>37111</v>
      </c>
    </row>
    <row r="139" spans="1:25" hidden="1" x14ac:dyDescent="0.25">
      <c r="A139" s="812" t="s">
        <v>163</v>
      </c>
      <c r="B139" s="810" t="s">
        <v>256</v>
      </c>
      <c r="C139" s="810">
        <v>40000</v>
      </c>
      <c r="D139" s="810">
        <v>1080</v>
      </c>
      <c r="E139" s="810">
        <v>43200</v>
      </c>
      <c r="F139" s="810">
        <v>7144</v>
      </c>
      <c r="G139" s="810">
        <v>355</v>
      </c>
      <c r="H139" s="810">
        <v>2536</v>
      </c>
      <c r="I139" s="810">
        <v>3000</v>
      </c>
      <c r="J139" s="810">
        <v>445</v>
      </c>
      <c r="K139" s="810">
        <v>1335</v>
      </c>
      <c r="L139" s="810">
        <v>5540</v>
      </c>
      <c r="M139" s="810">
        <v>800</v>
      </c>
      <c r="N139" s="810">
        <v>4432</v>
      </c>
      <c r="O139" s="810">
        <v>167</v>
      </c>
      <c r="P139" s="810">
        <v>8000</v>
      </c>
      <c r="Q139" s="810">
        <v>1300</v>
      </c>
      <c r="R139" s="810" t="s">
        <v>88</v>
      </c>
      <c r="S139" s="810" t="s">
        <v>88</v>
      </c>
      <c r="T139" s="810" t="s">
        <v>88</v>
      </c>
      <c r="U139" s="810" t="s">
        <v>18</v>
      </c>
      <c r="V139" s="810" t="s">
        <v>18</v>
      </c>
      <c r="W139" s="810" t="s">
        <v>18</v>
      </c>
      <c r="X139" s="810">
        <f>C139+F139+I139+O139</f>
        <v>50311</v>
      </c>
      <c r="Y139" s="810">
        <f>E139+H139+K139+Q139</f>
        <v>48371</v>
      </c>
    </row>
    <row r="140" spans="1:25" hidden="1" x14ac:dyDescent="0.25">
      <c r="A140" s="812" t="s">
        <v>52</v>
      </c>
      <c r="B140" s="810" t="s">
        <v>256</v>
      </c>
      <c r="C140" s="810">
        <v>34300</v>
      </c>
      <c r="D140" s="810">
        <v>1300</v>
      </c>
      <c r="E140" s="810">
        <v>44590</v>
      </c>
      <c r="F140" s="810">
        <v>300</v>
      </c>
      <c r="G140" s="810">
        <v>300</v>
      </c>
      <c r="H140" s="810">
        <v>90</v>
      </c>
      <c r="I140" s="810">
        <v>6000</v>
      </c>
      <c r="J140" s="810">
        <v>500</v>
      </c>
      <c r="K140" s="810">
        <v>3000</v>
      </c>
      <c r="L140" s="810">
        <v>14360</v>
      </c>
      <c r="M140" s="810">
        <v>950</v>
      </c>
      <c r="N140" s="810">
        <v>13642</v>
      </c>
      <c r="O140" s="810">
        <v>280</v>
      </c>
      <c r="P140" s="810">
        <v>8000</v>
      </c>
      <c r="Q140" s="810">
        <v>2240</v>
      </c>
      <c r="R140" s="810" t="s">
        <v>88</v>
      </c>
      <c r="S140" s="810" t="s">
        <v>88</v>
      </c>
      <c r="T140" s="810" t="s">
        <v>88</v>
      </c>
      <c r="U140" s="810" t="s">
        <v>18</v>
      </c>
      <c r="V140" s="810" t="s">
        <v>18</v>
      </c>
      <c r="W140" s="810" t="s">
        <v>18</v>
      </c>
      <c r="X140" s="810">
        <f>C140+F140+I140+O140</f>
        <v>40880</v>
      </c>
      <c r="Y140" s="810">
        <f>G140+K140+Q140</f>
        <v>5540</v>
      </c>
    </row>
    <row r="141" spans="1:25" hidden="1" x14ac:dyDescent="0.25">
      <c r="A141" s="812" t="s">
        <v>15</v>
      </c>
      <c r="B141" s="810" t="s">
        <v>257</v>
      </c>
      <c r="C141" s="820">
        <v>23583</v>
      </c>
      <c r="D141" s="810">
        <v>600</v>
      </c>
      <c r="E141" s="810">
        <f t="shared" ref="E141:E149" si="3">C141*D141/1000</f>
        <v>14149.8</v>
      </c>
      <c r="F141" s="810">
        <v>2760</v>
      </c>
      <c r="G141" s="810">
        <v>250</v>
      </c>
      <c r="H141" s="810">
        <f t="shared" ref="H141:H149" si="4">F141*G141/1000</f>
        <v>690</v>
      </c>
      <c r="I141" s="810"/>
      <c r="J141" s="810"/>
      <c r="K141" s="810">
        <f t="shared" ref="K141:K149" si="5">I141*J141/1000</f>
        <v>0</v>
      </c>
      <c r="L141" s="810">
        <v>6600</v>
      </c>
      <c r="M141" s="810">
        <v>500</v>
      </c>
      <c r="N141" s="810">
        <f t="shared" ref="N141:N149" si="6">L141*M141/1000</f>
        <v>3300</v>
      </c>
      <c r="O141" s="810"/>
      <c r="P141" s="810"/>
      <c r="Q141" s="810">
        <f t="shared" ref="Q141:Q149" si="7">O141*P141/1000</f>
        <v>0</v>
      </c>
      <c r="R141" s="810"/>
      <c r="S141" s="810"/>
      <c r="T141" s="810">
        <f t="shared" ref="T141:T149" si="8">R141*S141/1000</f>
        <v>0</v>
      </c>
      <c r="U141" s="810"/>
      <c r="V141" s="810"/>
      <c r="W141" s="810">
        <f t="shared" ref="W141:W149" si="9">U141*V141/1000</f>
        <v>0</v>
      </c>
      <c r="X141" s="810">
        <f t="shared" ref="X141:X155" si="10">SUM(C141+F141+I141+L141+O141+U141+R141)</f>
        <v>32943</v>
      </c>
      <c r="Y141" s="810">
        <f t="shared" ref="Y141:Y155" si="11">SUM(E141+H141+K141+N141+Q141+W141+T141)</f>
        <v>18139.8</v>
      </c>
    </row>
    <row r="142" spans="1:25" hidden="1" x14ac:dyDescent="0.25">
      <c r="A142" s="812" t="s">
        <v>89</v>
      </c>
      <c r="B142" s="810" t="s">
        <v>257</v>
      </c>
      <c r="C142" s="820"/>
      <c r="D142" s="810"/>
      <c r="E142" s="810">
        <f t="shared" si="3"/>
        <v>0</v>
      </c>
      <c r="F142" s="810"/>
      <c r="G142" s="810"/>
      <c r="H142" s="810">
        <f t="shared" si="4"/>
        <v>0</v>
      </c>
      <c r="I142" s="810"/>
      <c r="J142" s="810"/>
      <c r="K142" s="810">
        <f t="shared" si="5"/>
        <v>0</v>
      </c>
      <c r="L142" s="810"/>
      <c r="M142" s="810"/>
      <c r="N142" s="810">
        <f t="shared" si="6"/>
        <v>0</v>
      </c>
      <c r="O142" s="810"/>
      <c r="P142" s="810"/>
      <c r="Q142" s="810">
        <f t="shared" si="7"/>
        <v>0</v>
      </c>
      <c r="R142" s="810"/>
      <c r="S142" s="810"/>
      <c r="T142" s="810">
        <f t="shared" si="8"/>
        <v>0</v>
      </c>
      <c r="U142" s="810"/>
      <c r="V142" s="810"/>
      <c r="W142" s="810">
        <f t="shared" si="9"/>
        <v>0</v>
      </c>
      <c r="X142" s="810">
        <f t="shared" si="10"/>
        <v>0</v>
      </c>
      <c r="Y142" s="810">
        <f t="shared" si="11"/>
        <v>0</v>
      </c>
    </row>
    <row r="143" spans="1:25" hidden="1" x14ac:dyDescent="0.25">
      <c r="A143" s="812" t="s">
        <v>17</v>
      </c>
      <c r="B143" s="810" t="s">
        <v>257</v>
      </c>
      <c r="C143" s="820">
        <v>7000</v>
      </c>
      <c r="D143" s="810">
        <v>790</v>
      </c>
      <c r="E143" s="810">
        <f t="shared" si="3"/>
        <v>5530</v>
      </c>
      <c r="F143" s="810">
        <v>325</v>
      </c>
      <c r="G143" s="810">
        <v>200</v>
      </c>
      <c r="H143" s="810">
        <f t="shared" si="4"/>
        <v>65</v>
      </c>
      <c r="I143" s="810"/>
      <c r="J143" s="810"/>
      <c r="K143" s="810">
        <f t="shared" si="5"/>
        <v>0</v>
      </c>
      <c r="L143" s="810">
        <v>277</v>
      </c>
      <c r="M143" s="810">
        <v>500</v>
      </c>
      <c r="N143" s="810">
        <f t="shared" si="6"/>
        <v>138.5</v>
      </c>
      <c r="O143" s="810"/>
      <c r="P143" s="810"/>
      <c r="Q143" s="810">
        <f t="shared" si="7"/>
        <v>0</v>
      </c>
      <c r="R143" s="810"/>
      <c r="S143" s="810"/>
      <c r="T143" s="810">
        <f t="shared" si="8"/>
        <v>0</v>
      </c>
      <c r="U143" s="810"/>
      <c r="V143" s="810"/>
      <c r="W143" s="810">
        <f t="shared" si="9"/>
        <v>0</v>
      </c>
      <c r="X143" s="810">
        <f t="shared" si="10"/>
        <v>7602</v>
      </c>
      <c r="Y143" s="810">
        <f t="shared" si="11"/>
        <v>5733.5</v>
      </c>
    </row>
    <row r="144" spans="1:25" hidden="1" x14ac:dyDescent="0.25">
      <c r="A144" s="812" t="s">
        <v>103</v>
      </c>
      <c r="B144" s="810" t="s">
        <v>257</v>
      </c>
      <c r="C144" s="820">
        <v>139432</v>
      </c>
      <c r="D144" s="810">
        <v>900</v>
      </c>
      <c r="E144" s="810">
        <f t="shared" si="3"/>
        <v>125488.8</v>
      </c>
      <c r="F144" s="810">
        <v>1007</v>
      </c>
      <c r="G144" s="810">
        <v>300</v>
      </c>
      <c r="H144" s="810">
        <f t="shared" si="4"/>
        <v>302.10000000000002</v>
      </c>
      <c r="I144" s="810"/>
      <c r="J144" s="810"/>
      <c r="K144" s="810">
        <f t="shared" si="5"/>
        <v>0</v>
      </c>
      <c r="L144" s="810">
        <v>2288</v>
      </c>
      <c r="M144" s="810">
        <v>600</v>
      </c>
      <c r="N144" s="810">
        <f t="shared" si="6"/>
        <v>1372.8</v>
      </c>
      <c r="O144" s="810">
        <v>410</v>
      </c>
      <c r="P144" s="810">
        <v>10000</v>
      </c>
      <c r="Q144" s="810">
        <f t="shared" si="7"/>
        <v>4100</v>
      </c>
      <c r="R144" s="810" t="s">
        <v>94</v>
      </c>
      <c r="S144" s="810" t="s">
        <v>95</v>
      </c>
      <c r="T144" s="810">
        <f t="shared" si="8"/>
        <v>5880</v>
      </c>
      <c r="U144" s="810"/>
      <c r="V144" s="810"/>
      <c r="W144" s="810">
        <f t="shared" si="9"/>
        <v>0</v>
      </c>
      <c r="X144" s="810">
        <f t="shared" si="10"/>
        <v>143627</v>
      </c>
      <c r="Y144" s="810">
        <f t="shared" si="11"/>
        <v>137143.70000000001</v>
      </c>
    </row>
    <row r="145" spans="1:25" hidden="1" x14ac:dyDescent="0.25">
      <c r="A145" s="812" t="s">
        <v>20</v>
      </c>
      <c r="B145" s="810" t="s">
        <v>257</v>
      </c>
      <c r="C145" s="820">
        <v>18660</v>
      </c>
      <c r="D145" s="810">
        <v>800</v>
      </c>
      <c r="E145" s="810">
        <f t="shared" si="3"/>
        <v>14928</v>
      </c>
      <c r="F145" s="810">
        <v>6700</v>
      </c>
      <c r="G145" s="810">
        <v>500</v>
      </c>
      <c r="H145" s="810">
        <f t="shared" si="4"/>
        <v>3350</v>
      </c>
      <c r="I145" s="810"/>
      <c r="J145" s="810"/>
      <c r="K145" s="810">
        <f t="shared" si="5"/>
        <v>0</v>
      </c>
      <c r="L145" s="810">
        <v>2510</v>
      </c>
      <c r="M145" s="897">
        <v>600</v>
      </c>
      <c r="N145" s="810">
        <f t="shared" si="6"/>
        <v>1506</v>
      </c>
      <c r="O145" s="810"/>
      <c r="P145" s="810"/>
      <c r="Q145" s="810">
        <f t="shared" si="7"/>
        <v>0</v>
      </c>
      <c r="R145" s="810"/>
      <c r="S145" s="810"/>
      <c r="T145" s="810">
        <f t="shared" si="8"/>
        <v>0</v>
      </c>
      <c r="U145" s="810"/>
      <c r="V145" s="810"/>
      <c r="W145" s="810">
        <f t="shared" si="9"/>
        <v>0</v>
      </c>
      <c r="X145" s="810">
        <f t="shared" si="10"/>
        <v>27870</v>
      </c>
      <c r="Y145" s="810">
        <f t="shared" si="11"/>
        <v>19784</v>
      </c>
    </row>
    <row r="146" spans="1:25" hidden="1" x14ac:dyDescent="0.25">
      <c r="A146" s="812" t="s">
        <v>21</v>
      </c>
      <c r="B146" s="810" t="s">
        <v>257</v>
      </c>
      <c r="C146" s="820"/>
      <c r="D146" s="810"/>
      <c r="E146" s="810">
        <f t="shared" si="3"/>
        <v>0</v>
      </c>
      <c r="F146" s="810"/>
      <c r="G146" s="810"/>
      <c r="H146" s="810">
        <f t="shared" si="4"/>
        <v>0</v>
      </c>
      <c r="I146" s="810"/>
      <c r="J146" s="810"/>
      <c r="K146" s="810">
        <f t="shared" si="5"/>
        <v>0</v>
      </c>
      <c r="L146" s="810">
        <v>1740</v>
      </c>
      <c r="M146" s="810">
        <v>300</v>
      </c>
      <c r="N146" s="810">
        <f t="shared" si="6"/>
        <v>522</v>
      </c>
      <c r="O146" s="810"/>
      <c r="P146" s="810"/>
      <c r="Q146" s="810">
        <f t="shared" si="7"/>
        <v>0</v>
      </c>
      <c r="R146" s="810"/>
      <c r="S146" s="810"/>
      <c r="T146" s="810">
        <f t="shared" si="8"/>
        <v>0</v>
      </c>
      <c r="U146" s="810"/>
      <c r="V146" s="810"/>
      <c r="W146" s="810">
        <f t="shared" si="9"/>
        <v>0</v>
      </c>
      <c r="X146" s="810">
        <f t="shared" si="10"/>
        <v>1740</v>
      </c>
      <c r="Y146" s="810">
        <f t="shared" si="11"/>
        <v>522</v>
      </c>
    </row>
    <row r="147" spans="1:25" hidden="1" x14ac:dyDescent="0.25">
      <c r="A147" s="812" t="s">
        <v>22</v>
      </c>
      <c r="B147" s="810" t="s">
        <v>257</v>
      </c>
      <c r="C147" s="820"/>
      <c r="D147" s="810"/>
      <c r="E147" s="810">
        <f t="shared" si="3"/>
        <v>0</v>
      </c>
      <c r="F147" s="810"/>
      <c r="G147" s="810"/>
      <c r="H147" s="810">
        <f t="shared" si="4"/>
        <v>0</v>
      </c>
      <c r="I147" s="810"/>
      <c r="J147" s="810"/>
      <c r="K147" s="810">
        <f t="shared" si="5"/>
        <v>0</v>
      </c>
      <c r="L147" s="810"/>
      <c r="M147" s="897"/>
      <c r="N147" s="810">
        <f t="shared" si="6"/>
        <v>0</v>
      </c>
      <c r="O147" s="810">
        <v>225</v>
      </c>
      <c r="P147" s="810">
        <v>20000</v>
      </c>
      <c r="Q147" s="810">
        <f t="shared" si="7"/>
        <v>4500</v>
      </c>
      <c r="R147" s="810" t="s">
        <v>96</v>
      </c>
      <c r="S147" s="810" t="s">
        <v>97</v>
      </c>
      <c r="T147" s="810">
        <f t="shared" si="8"/>
        <v>1275</v>
      </c>
      <c r="U147" s="810"/>
      <c r="V147" s="810"/>
      <c r="W147" s="810">
        <f t="shared" si="9"/>
        <v>0</v>
      </c>
      <c r="X147" s="810">
        <f t="shared" si="10"/>
        <v>310</v>
      </c>
      <c r="Y147" s="810">
        <f t="shared" si="11"/>
        <v>5775</v>
      </c>
    </row>
    <row r="148" spans="1:25" hidden="1" x14ac:dyDescent="0.25">
      <c r="A148" s="813" t="s">
        <v>23</v>
      </c>
      <c r="B148" s="810" t="s">
        <v>257</v>
      </c>
      <c r="C148" s="820">
        <v>108426</v>
      </c>
      <c r="D148" s="810">
        <v>994</v>
      </c>
      <c r="E148" s="810">
        <f t="shared" si="3"/>
        <v>107775.444</v>
      </c>
      <c r="F148" s="810">
        <v>7918</v>
      </c>
      <c r="G148" s="810">
        <v>660</v>
      </c>
      <c r="H148" s="810">
        <f t="shared" si="4"/>
        <v>5225.88</v>
      </c>
      <c r="I148" s="810">
        <v>9804</v>
      </c>
      <c r="J148" s="810">
        <v>672</v>
      </c>
      <c r="K148" s="810">
        <f t="shared" si="5"/>
        <v>6588.2879999999996</v>
      </c>
      <c r="L148" s="810">
        <v>12700</v>
      </c>
      <c r="M148" s="810">
        <v>600</v>
      </c>
      <c r="N148" s="810">
        <f t="shared" si="6"/>
        <v>7620</v>
      </c>
      <c r="O148" s="810"/>
      <c r="P148" s="810"/>
      <c r="Q148" s="810">
        <f t="shared" si="7"/>
        <v>0</v>
      </c>
      <c r="R148" s="810"/>
      <c r="S148" s="810"/>
      <c r="T148" s="810">
        <f t="shared" si="8"/>
        <v>0</v>
      </c>
      <c r="U148" s="810"/>
      <c r="V148" s="810"/>
      <c r="W148" s="810">
        <f t="shared" si="9"/>
        <v>0</v>
      </c>
      <c r="X148" s="810">
        <f t="shared" si="10"/>
        <v>138848</v>
      </c>
      <c r="Y148" s="810">
        <f t="shared" si="11"/>
        <v>127209.61200000001</v>
      </c>
    </row>
    <row r="149" spans="1:25" hidden="1" x14ac:dyDescent="0.25">
      <c r="A149" s="812" t="s">
        <v>24</v>
      </c>
      <c r="B149" s="810" t="s">
        <v>257</v>
      </c>
      <c r="C149" s="820">
        <v>39472</v>
      </c>
      <c r="D149" s="810">
        <v>1000</v>
      </c>
      <c r="E149" s="810">
        <f t="shared" si="3"/>
        <v>39472</v>
      </c>
      <c r="F149" s="810">
        <v>3100</v>
      </c>
      <c r="G149" s="810">
        <v>600</v>
      </c>
      <c r="H149" s="810">
        <f t="shared" si="4"/>
        <v>1860</v>
      </c>
      <c r="I149" s="810"/>
      <c r="J149" s="810"/>
      <c r="K149" s="810">
        <f t="shared" si="5"/>
        <v>0</v>
      </c>
      <c r="L149" s="810">
        <v>8767</v>
      </c>
      <c r="M149" s="810">
        <v>600</v>
      </c>
      <c r="N149" s="810">
        <f t="shared" si="6"/>
        <v>5260.2</v>
      </c>
      <c r="O149" s="810">
        <v>400</v>
      </c>
      <c r="P149" s="810">
        <v>12000</v>
      </c>
      <c r="Q149" s="810">
        <f t="shared" si="7"/>
        <v>4800</v>
      </c>
      <c r="R149" s="810" t="s">
        <v>98</v>
      </c>
      <c r="S149" s="810" t="s">
        <v>95</v>
      </c>
      <c r="T149" s="810">
        <f t="shared" si="8"/>
        <v>3420</v>
      </c>
      <c r="U149" s="810"/>
      <c r="V149" s="810"/>
      <c r="W149" s="810">
        <f t="shared" si="9"/>
        <v>0</v>
      </c>
      <c r="X149" s="810">
        <f t="shared" si="10"/>
        <v>52024</v>
      </c>
      <c r="Y149" s="810">
        <f t="shared" si="11"/>
        <v>54812.2</v>
      </c>
    </row>
    <row r="150" spans="1:25" hidden="1" x14ac:dyDescent="0.25">
      <c r="A150" s="812" t="s">
        <v>26</v>
      </c>
      <c r="B150" s="810" t="s">
        <v>257</v>
      </c>
      <c r="C150" s="810">
        <v>50175</v>
      </c>
      <c r="D150" s="810">
        <v>930</v>
      </c>
      <c r="E150" s="810">
        <f t="shared" ref="E150:E155" si="12">C150*D150/1000</f>
        <v>46662.75</v>
      </c>
      <c r="F150" s="810">
        <v>11150</v>
      </c>
      <c r="G150" s="810">
        <v>530</v>
      </c>
      <c r="H150" s="810">
        <f t="shared" ref="H150:H155" si="13">F150*G150/1000</f>
        <v>5909.5</v>
      </c>
      <c r="I150" s="810"/>
      <c r="J150" s="810"/>
      <c r="K150" s="810">
        <f>I150*J150/1000</f>
        <v>0</v>
      </c>
      <c r="L150" s="810"/>
      <c r="M150" s="810"/>
      <c r="N150" s="810">
        <f t="shared" ref="N150:N155" si="14">L150*M150/1000</f>
        <v>0</v>
      </c>
      <c r="O150" s="810">
        <v>29461</v>
      </c>
      <c r="P150" s="810">
        <v>11000</v>
      </c>
      <c r="Q150" s="810">
        <f>O150*P150/1000</f>
        <v>324071</v>
      </c>
      <c r="R150" s="810"/>
      <c r="S150" s="810"/>
      <c r="T150" s="810">
        <f>R150*S150/1000</f>
        <v>0</v>
      </c>
      <c r="U150" s="810">
        <v>800</v>
      </c>
      <c r="V150" s="810">
        <v>800</v>
      </c>
      <c r="W150" s="810">
        <f>U150*V150/1000</f>
        <v>640</v>
      </c>
      <c r="X150" s="810">
        <f t="shared" si="10"/>
        <v>91586</v>
      </c>
      <c r="Y150" s="810">
        <f t="shared" si="11"/>
        <v>377283.25</v>
      </c>
    </row>
    <row r="151" spans="1:25" hidden="1" x14ac:dyDescent="0.25">
      <c r="A151" s="813" t="s">
        <v>27</v>
      </c>
      <c r="B151" s="810" t="s">
        <v>257</v>
      </c>
      <c r="C151" s="810">
        <v>21035</v>
      </c>
      <c r="D151" s="810">
        <v>760</v>
      </c>
      <c r="E151" s="810">
        <f t="shared" si="12"/>
        <v>15986.6</v>
      </c>
      <c r="F151" s="810">
        <v>5410</v>
      </c>
      <c r="G151" s="810">
        <v>270</v>
      </c>
      <c r="H151" s="810">
        <f t="shared" si="13"/>
        <v>1460.7</v>
      </c>
      <c r="I151" s="810"/>
      <c r="J151" s="810"/>
      <c r="K151" s="810">
        <f>I151*J151/1000</f>
        <v>0</v>
      </c>
      <c r="L151" s="810"/>
      <c r="M151" s="810"/>
      <c r="N151" s="810">
        <f t="shared" si="14"/>
        <v>0</v>
      </c>
      <c r="O151" s="810">
        <v>2132</v>
      </c>
      <c r="P151" s="810">
        <v>10000</v>
      </c>
      <c r="Q151" s="810">
        <f>O151*P151/1000</f>
        <v>21320</v>
      </c>
      <c r="R151" s="810"/>
      <c r="S151" s="810"/>
      <c r="T151" s="810">
        <f>R151*S151/1000</f>
        <v>0</v>
      </c>
      <c r="U151" s="810"/>
      <c r="V151" s="810"/>
      <c r="W151" s="810">
        <f>U151*V151/1000</f>
        <v>0</v>
      </c>
      <c r="X151" s="810">
        <f t="shared" si="10"/>
        <v>28577</v>
      </c>
      <c r="Y151" s="810">
        <f t="shared" si="11"/>
        <v>38767.300000000003</v>
      </c>
    </row>
    <row r="152" spans="1:25" hidden="1" x14ac:dyDescent="0.25">
      <c r="A152" s="812" t="s">
        <v>50</v>
      </c>
      <c r="B152" s="810" t="s">
        <v>257</v>
      </c>
      <c r="C152" s="810">
        <v>19162</v>
      </c>
      <c r="D152" s="810">
        <v>980</v>
      </c>
      <c r="E152" s="810">
        <f t="shared" si="12"/>
        <v>18778.759999999998</v>
      </c>
      <c r="F152" s="810">
        <v>6386</v>
      </c>
      <c r="G152" s="810">
        <v>340</v>
      </c>
      <c r="H152" s="810">
        <f t="shared" si="13"/>
        <v>2171.2399999999998</v>
      </c>
      <c r="I152" s="810"/>
      <c r="J152" s="810"/>
      <c r="K152" s="810">
        <f>I152*J152/1000</f>
        <v>0</v>
      </c>
      <c r="L152" s="810"/>
      <c r="M152" s="810"/>
      <c r="N152" s="810">
        <f t="shared" si="14"/>
        <v>0</v>
      </c>
      <c r="O152" s="810">
        <v>3732</v>
      </c>
      <c r="P152" s="810">
        <v>10000</v>
      </c>
      <c r="Q152" s="810">
        <f>O152*P152/1000</f>
        <v>37320</v>
      </c>
      <c r="R152" s="810"/>
      <c r="S152" s="810"/>
      <c r="T152" s="810">
        <f>R152*S152/1000</f>
        <v>0</v>
      </c>
      <c r="U152" s="810"/>
      <c r="V152" s="810"/>
      <c r="W152" s="810">
        <f>U152*V152/1000</f>
        <v>0</v>
      </c>
      <c r="X152" s="810">
        <f t="shared" si="10"/>
        <v>29280</v>
      </c>
      <c r="Y152" s="810">
        <f t="shared" si="11"/>
        <v>58270</v>
      </c>
    </row>
    <row r="153" spans="1:25" hidden="1" x14ac:dyDescent="0.25">
      <c r="A153" s="812" t="s">
        <v>163</v>
      </c>
      <c r="B153" s="810" t="s">
        <v>257</v>
      </c>
      <c r="C153" s="810">
        <v>35487</v>
      </c>
      <c r="D153" s="810">
        <v>950</v>
      </c>
      <c r="E153" s="810">
        <f t="shared" si="12"/>
        <v>33712.65</v>
      </c>
      <c r="F153" s="810">
        <v>12280</v>
      </c>
      <c r="G153" s="810">
        <v>350</v>
      </c>
      <c r="H153" s="810">
        <f t="shared" si="13"/>
        <v>4298</v>
      </c>
      <c r="I153" s="810"/>
      <c r="J153" s="810"/>
      <c r="K153" s="810">
        <f>I153*J153/1000</f>
        <v>0</v>
      </c>
      <c r="L153" s="810"/>
      <c r="M153" s="810"/>
      <c r="N153" s="810">
        <f t="shared" si="14"/>
        <v>0</v>
      </c>
      <c r="O153" s="810">
        <v>4317</v>
      </c>
      <c r="P153" s="810">
        <v>11000</v>
      </c>
      <c r="Q153" s="810">
        <f>O153*P153/1000</f>
        <v>47487</v>
      </c>
      <c r="R153" s="810"/>
      <c r="S153" s="810"/>
      <c r="T153" s="810">
        <f>R153*S153/1000</f>
        <v>0</v>
      </c>
      <c r="U153" s="810"/>
      <c r="V153" s="810"/>
      <c r="W153" s="810">
        <f>U153*V153/1000</f>
        <v>0</v>
      </c>
      <c r="X153" s="810">
        <f t="shared" si="10"/>
        <v>52084</v>
      </c>
      <c r="Y153" s="810">
        <f t="shared" si="11"/>
        <v>85497.65</v>
      </c>
    </row>
    <row r="154" spans="1:25" hidden="1" x14ac:dyDescent="0.25">
      <c r="A154" s="812" t="s">
        <v>52</v>
      </c>
      <c r="B154" s="810" t="s">
        <v>257</v>
      </c>
      <c r="C154" s="810">
        <v>65742</v>
      </c>
      <c r="D154" s="810">
        <v>970</v>
      </c>
      <c r="E154" s="810">
        <f t="shared" si="12"/>
        <v>63769.74</v>
      </c>
      <c r="F154" s="810">
        <v>2111</v>
      </c>
      <c r="G154" s="810">
        <v>270</v>
      </c>
      <c r="H154" s="810">
        <f t="shared" si="13"/>
        <v>569.97</v>
      </c>
      <c r="I154" s="810"/>
      <c r="J154" s="810"/>
      <c r="K154" s="810">
        <f>I154*J154/1000</f>
        <v>0</v>
      </c>
      <c r="L154" s="810"/>
      <c r="M154" s="810"/>
      <c r="N154" s="810">
        <f t="shared" si="14"/>
        <v>0</v>
      </c>
      <c r="O154" s="810">
        <v>25065</v>
      </c>
      <c r="P154" s="810">
        <v>12000</v>
      </c>
      <c r="Q154" s="810">
        <f>O154*P154/1000</f>
        <v>300780</v>
      </c>
      <c r="R154" s="810"/>
      <c r="S154" s="810"/>
      <c r="T154" s="810">
        <f>R154*S154/1000</f>
        <v>0</v>
      </c>
      <c r="U154" s="810"/>
      <c r="V154" s="810"/>
      <c r="W154" s="810">
        <f>U154*V154/1000</f>
        <v>0</v>
      </c>
      <c r="X154" s="810">
        <f t="shared" si="10"/>
        <v>92918</v>
      </c>
      <c r="Y154" s="810">
        <f t="shared" si="11"/>
        <v>365119.71</v>
      </c>
    </row>
    <row r="155" spans="1:25" hidden="1" x14ac:dyDescent="0.25">
      <c r="A155" s="812" t="s">
        <v>15</v>
      </c>
      <c r="B155" s="810" t="s">
        <v>258</v>
      </c>
      <c r="C155" s="820">
        <v>10000</v>
      </c>
      <c r="D155" s="810">
        <v>500</v>
      </c>
      <c r="E155" s="810">
        <f t="shared" si="12"/>
        <v>5000</v>
      </c>
      <c r="F155" s="810">
        <v>2500</v>
      </c>
      <c r="G155" s="810">
        <v>200</v>
      </c>
      <c r="H155" s="810">
        <f t="shared" si="13"/>
        <v>500</v>
      </c>
      <c r="I155" s="810"/>
      <c r="J155" s="810"/>
      <c r="K155" s="810"/>
      <c r="L155" s="810">
        <v>3000</v>
      </c>
      <c r="M155" s="810">
        <v>500</v>
      </c>
      <c r="N155" s="810">
        <f t="shared" si="14"/>
        <v>1500</v>
      </c>
      <c r="O155" s="810"/>
      <c r="P155" s="810"/>
      <c r="Q155" s="810"/>
      <c r="R155" s="810"/>
      <c r="S155" s="810"/>
      <c r="T155" s="810"/>
      <c r="U155" s="810"/>
      <c r="V155" s="810"/>
      <c r="W155" s="810"/>
      <c r="X155" s="810">
        <f t="shared" si="10"/>
        <v>15500</v>
      </c>
      <c r="Y155" s="810">
        <f t="shared" si="11"/>
        <v>7000</v>
      </c>
    </row>
    <row r="156" spans="1:25" hidden="1" x14ac:dyDescent="0.25">
      <c r="A156" s="812" t="s">
        <v>89</v>
      </c>
      <c r="B156" s="810" t="s">
        <v>258</v>
      </c>
      <c r="C156" s="898" t="s">
        <v>18</v>
      </c>
      <c r="D156" s="810"/>
      <c r="E156" s="810"/>
      <c r="F156" s="810"/>
      <c r="G156" s="810"/>
      <c r="H156" s="810"/>
      <c r="I156" s="810"/>
      <c r="J156" s="810"/>
      <c r="K156" s="810"/>
      <c r="L156" s="810"/>
      <c r="M156" s="810"/>
      <c r="N156" s="810"/>
      <c r="O156" s="810"/>
      <c r="P156" s="810"/>
      <c r="Q156" s="810"/>
      <c r="R156" s="810"/>
      <c r="S156" s="810"/>
      <c r="T156" s="810"/>
      <c r="U156" s="810"/>
      <c r="V156" s="810"/>
      <c r="W156" s="810"/>
      <c r="X156" s="810"/>
      <c r="Y156" s="810"/>
    </row>
    <row r="157" spans="1:25" hidden="1" x14ac:dyDescent="0.25">
      <c r="A157" s="812" t="s">
        <v>17</v>
      </c>
      <c r="B157" s="810" t="s">
        <v>258</v>
      </c>
      <c r="C157" s="820">
        <v>1012</v>
      </c>
      <c r="D157" s="810">
        <v>400</v>
      </c>
      <c r="E157" s="810">
        <f>C157*D157/1000</f>
        <v>404.8</v>
      </c>
      <c r="F157" s="810"/>
      <c r="G157" s="810"/>
      <c r="H157" s="810"/>
      <c r="I157" s="810"/>
      <c r="J157" s="810"/>
      <c r="K157" s="810"/>
      <c r="L157" s="810"/>
      <c r="M157" s="810"/>
      <c r="N157" s="810"/>
      <c r="O157" s="810"/>
      <c r="P157" s="810"/>
      <c r="Q157" s="810"/>
      <c r="R157" s="810"/>
      <c r="S157" s="810"/>
      <c r="T157" s="810"/>
      <c r="U157" s="810"/>
      <c r="V157" s="810"/>
      <c r="W157" s="810"/>
      <c r="X157" s="810">
        <f t="shared" ref="X157:X168" si="15">SUM(C157+F157+I157+L157+O157+U157+R157)</f>
        <v>1012</v>
      </c>
      <c r="Y157" s="810">
        <f t="shared" ref="Y157:Y168" si="16">SUM(E157+H157+K157+N157+Q157+W157+T157)</f>
        <v>404.8</v>
      </c>
    </row>
    <row r="158" spans="1:25" hidden="1" x14ac:dyDescent="0.25">
      <c r="A158" s="812" t="s">
        <v>103</v>
      </c>
      <c r="B158" s="810" t="s">
        <v>258</v>
      </c>
      <c r="C158" s="820">
        <v>75000</v>
      </c>
      <c r="D158" s="810">
        <v>750</v>
      </c>
      <c r="E158" s="810">
        <f>C158*D158/1000</f>
        <v>56250</v>
      </c>
      <c r="F158" s="810">
        <v>2000</v>
      </c>
      <c r="G158" s="810">
        <v>300</v>
      </c>
      <c r="H158" s="810">
        <f>F158*G158/1000</f>
        <v>600</v>
      </c>
      <c r="I158" s="810"/>
      <c r="J158" s="810"/>
      <c r="K158" s="810"/>
      <c r="L158" s="810">
        <v>19000</v>
      </c>
      <c r="M158" s="810">
        <v>500</v>
      </c>
      <c r="N158" s="810">
        <f>L158*M158/1000</f>
        <v>9500</v>
      </c>
      <c r="O158" s="810">
        <v>3000</v>
      </c>
      <c r="P158" s="810">
        <v>6000</v>
      </c>
      <c r="Q158" s="810">
        <f>O158*P158/1000</f>
        <v>18000</v>
      </c>
      <c r="R158" s="810"/>
      <c r="S158" s="810"/>
      <c r="T158" s="810"/>
      <c r="U158" s="810"/>
      <c r="V158" s="810"/>
      <c r="W158" s="810"/>
      <c r="X158" s="810">
        <f t="shared" si="15"/>
        <v>99000</v>
      </c>
      <c r="Y158" s="810">
        <f t="shared" si="16"/>
        <v>84350</v>
      </c>
    </row>
    <row r="159" spans="1:25" hidden="1" x14ac:dyDescent="0.25">
      <c r="A159" s="812" t="s">
        <v>20</v>
      </c>
      <c r="B159" s="810" t="s">
        <v>258</v>
      </c>
      <c r="C159" s="820">
        <v>15056</v>
      </c>
      <c r="D159" s="810">
        <v>790</v>
      </c>
      <c r="E159" s="810">
        <f>C159*D159/1000</f>
        <v>11894.24</v>
      </c>
      <c r="F159" s="810">
        <v>55412</v>
      </c>
      <c r="G159" s="810">
        <v>500</v>
      </c>
      <c r="H159" s="810">
        <f>F159*G159/1000</f>
        <v>27706</v>
      </c>
      <c r="I159" s="810"/>
      <c r="J159" s="810"/>
      <c r="K159" s="810"/>
      <c r="L159" s="810"/>
      <c r="M159" s="897"/>
      <c r="N159" s="810"/>
      <c r="O159" s="810">
        <v>13334</v>
      </c>
      <c r="P159" s="810">
        <v>4300</v>
      </c>
      <c r="Q159" s="810">
        <f>O159*P159/1000</f>
        <v>57336.2</v>
      </c>
      <c r="R159" s="810"/>
      <c r="S159" s="810"/>
      <c r="T159" s="810"/>
      <c r="U159" s="810"/>
      <c r="V159" s="810"/>
      <c r="W159" s="810"/>
      <c r="X159" s="810">
        <f t="shared" si="15"/>
        <v>83802</v>
      </c>
      <c r="Y159" s="810">
        <f t="shared" si="16"/>
        <v>96936.44</v>
      </c>
    </row>
    <row r="160" spans="1:25" hidden="1" x14ac:dyDescent="0.25">
      <c r="A160" s="812" t="s">
        <v>21</v>
      </c>
      <c r="B160" s="810" t="s">
        <v>258</v>
      </c>
      <c r="C160" s="820"/>
      <c r="D160" s="810"/>
      <c r="E160" s="810"/>
      <c r="F160" s="810"/>
      <c r="G160" s="810"/>
      <c r="H160" s="810"/>
      <c r="I160" s="810"/>
      <c r="J160" s="810"/>
      <c r="K160" s="810"/>
      <c r="L160" s="810"/>
      <c r="M160" s="810"/>
      <c r="N160" s="810"/>
      <c r="O160" s="810"/>
      <c r="P160" s="810"/>
      <c r="Q160" s="810"/>
      <c r="R160" s="810"/>
      <c r="S160" s="810"/>
      <c r="T160" s="810"/>
      <c r="U160" s="810"/>
      <c r="V160" s="810"/>
      <c r="W160" s="810"/>
      <c r="X160" s="810">
        <f t="shared" si="15"/>
        <v>0</v>
      </c>
      <c r="Y160" s="810">
        <f t="shared" si="16"/>
        <v>0</v>
      </c>
    </row>
    <row r="161" spans="1:25" hidden="1" x14ac:dyDescent="0.25">
      <c r="A161" s="812" t="s">
        <v>22</v>
      </c>
      <c r="B161" s="810" t="s">
        <v>258</v>
      </c>
      <c r="C161" s="820"/>
      <c r="D161" s="810"/>
      <c r="E161" s="810"/>
      <c r="F161" s="810"/>
      <c r="G161" s="810"/>
      <c r="H161" s="810"/>
      <c r="I161" s="810"/>
      <c r="J161" s="810"/>
      <c r="K161" s="810"/>
      <c r="L161" s="810"/>
      <c r="M161" s="897"/>
      <c r="N161" s="810"/>
      <c r="O161" s="810">
        <v>195</v>
      </c>
      <c r="P161" s="810">
        <v>8000</v>
      </c>
      <c r="Q161" s="810">
        <f>O161*P161/1000</f>
        <v>1560</v>
      </c>
      <c r="R161" s="810"/>
      <c r="S161" s="810"/>
      <c r="T161" s="810"/>
      <c r="U161" s="810"/>
      <c r="V161" s="810"/>
      <c r="W161" s="810"/>
      <c r="X161" s="810">
        <f t="shared" si="15"/>
        <v>195</v>
      </c>
      <c r="Y161" s="810">
        <f t="shared" si="16"/>
        <v>1560</v>
      </c>
    </row>
    <row r="162" spans="1:25" hidden="1" x14ac:dyDescent="0.25">
      <c r="A162" s="813" t="s">
        <v>23</v>
      </c>
      <c r="B162" s="810" t="s">
        <v>258</v>
      </c>
      <c r="C162" s="820">
        <v>124776</v>
      </c>
      <c r="D162" s="810">
        <v>1100</v>
      </c>
      <c r="E162" s="810">
        <f t="shared" ref="E162:E168" si="17">C162*D162/1000</f>
        <v>137253.6</v>
      </c>
      <c r="F162" s="810">
        <v>9802</v>
      </c>
      <c r="G162" s="810">
        <v>350</v>
      </c>
      <c r="H162" s="810">
        <f t="shared" ref="H162:H168" si="18">F162*G162/1000</f>
        <v>3430.7</v>
      </c>
      <c r="I162" s="810"/>
      <c r="J162" s="810"/>
      <c r="K162" s="810"/>
      <c r="L162" s="810"/>
      <c r="M162" s="810"/>
      <c r="N162" s="810"/>
      <c r="O162" s="810"/>
      <c r="P162" s="810"/>
      <c r="Q162" s="810"/>
      <c r="R162" s="810"/>
      <c r="S162" s="810"/>
      <c r="T162" s="810"/>
      <c r="U162" s="810"/>
      <c r="V162" s="810"/>
      <c r="W162" s="810"/>
      <c r="X162" s="810">
        <f t="shared" si="15"/>
        <v>134578</v>
      </c>
      <c r="Y162" s="810">
        <f t="shared" si="16"/>
        <v>140684.30000000002</v>
      </c>
    </row>
    <row r="163" spans="1:25" hidden="1" x14ac:dyDescent="0.25">
      <c r="A163" s="812" t="s">
        <v>24</v>
      </c>
      <c r="B163" s="810" t="s">
        <v>258</v>
      </c>
      <c r="C163" s="820">
        <v>9943</v>
      </c>
      <c r="D163" s="810">
        <v>900</v>
      </c>
      <c r="E163" s="810">
        <f t="shared" si="17"/>
        <v>8948.7000000000007</v>
      </c>
      <c r="F163" s="810">
        <v>2245</v>
      </c>
      <c r="G163" s="810">
        <v>450</v>
      </c>
      <c r="H163" s="810">
        <f t="shared" si="18"/>
        <v>1010.25</v>
      </c>
      <c r="I163" s="810"/>
      <c r="J163" s="810"/>
      <c r="K163" s="810"/>
      <c r="L163" s="810">
        <v>981</v>
      </c>
      <c r="M163" s="810">
        <v>600</v>
      </c>
      <c r="N163" s="810">
        <f>L163*M163/1000</f>
        <v>588.6</v>
      </c>
      <c r="O163" s="810">
        <v>358</v>
      </c>
      <c r="P163" s="810">
        <v>3500</v>
      </c>
      <c r="Q163" s="810">
        <f t="shared" ref="Q163:Q168" si="19">O163*P163/1000</f>
        <v>1253</v>
      </c>
      <c r="R163" s="810"/>
      <c r="S163" s="810"/>
      <c r="T163" s="810"/>
      <c r="U163" s="810"/>
      <c r="V163" s="810"/>
      <c r="W163" s="810"/>
      <c r="X163" s="810">
        <f t="shared" si="15"/>
        <v>13527</v>
      </c>
      <c r="Y163" s="810">
        <f t="shared" si="16"/>
        <v>11800.550000000001</v>
      </c>
    </row>
    <row r="164" spans="1:25" hidden="1" x14ac:dyDescent="0.25">
      <c r="A164" s="812" t="s">
        <v>26</v>
      </c>
      <c r="B164" s="810" t="s">
        <v>258</v>
      </c>
      <c r="C164" s="810">
        <v>61051</v>
      </c>
      <c r="D164" s="810">
        <v>950</v>
      </c>
      <c r="E164" s="810">
        <f t="shared" si="17"/>
        <v>57998.45</v>
      </c>
      <c r="F164" s="810">
        <v>24327</v>
      </c>
      <c r="G164" s="810">
        <v>500</v>
      </c>
      <c r="H164" s="810">
        <f t="shared" si="18"/>
        <v>12163.5</v>
      </c>
      <c r="I164" s="810"/>
      <c r="J164" s="810"/>
      <c r="K164" s="810"/>
      <c r="L164" s="810"/>
      <c r="M164" s="810"/>
      <c r="N164" s="810"/>
      <c r="O164" s="810">
        <v>19441</v>
      </c>
      <c r="P164" s="810">
        <v>7788</v>
      </c>
      <c r="Q164" s="810">
        <f t="shared" si="19"/>
        <v>151406.508</v>
      </c>
      <c r="R164" s="810"/>
      <c r="S164" s="810"/>
      <c r="T164" s="810"/>
      <c r="U164" s="810">
        <v>8000</v>
      </c>
      <c r="V164" s="810">
        <v>6000</v>
      </c>
      <c r="W164" s="810">
        <f>U164*V164/1000</f>
        <v>48000</v>
      </c>
      <c r="X164" s="810">
        <f t="shared" si="15"/>
        <v>112819</v>
      </c>
      <c r="Y164" s="810">
        <f t="shared" si="16"/>
        <v>269568.45799999998</v>
      </c>
    </row>
    <row r="165" spans="1:25" hidden="1" x14ac:dyDescent="0.25">
      <c r="A165" s="813" t="s">
        <v>27</v>
      </c>
      <c r="B165" s="810" t="s">
        <v>258</v>
      </c>
      <c r="C165" s="810">
        <v>50370</v>
      </c>
      <c r="D165" s="810">
        <v>760</v>
      </c>
      <c r="E165" s="810">
        <f t="shared" si="17"/>
        <v>38281.199999999997</v>
      </c>
      <c r="F165" s="810">
        <v>16188</v>
      </c>
      <c r="G165" s="810">
        <v>270</v>
      </c>
      <c r="H165" s="810">
        <f t="shared" si="18"/>
        <v>4370.76</v>
      </c>
      <c r="I165" s="810"/>
      <c r="J165" s="810"/>
      <c r="K165" s="810"/>
      <c r="L165" s="810">
        <v>3750</v>
      </c>
      <c r="M165" s="810">
        <v>500</v>
      </c>
      <c r="N165" s="810">
        <f>L165*M165/1000</f>
        <v>1875</v>
      </c>
      <c r="O165" s="810">
        <v>14966</v>
      </c>
      <c r="P165" s="810">
        <v>6000</v>
      </c>
      <c r="Q165" s="810">
        <f t="shared" si="19"/>
        <v>89796</v>
      </c>
      <c r="R165" s="810" t="s">
        <v>105</v>
      </c>
      <c r="S165" s="810" t="s">
        <v>106</v>
      </c>
      <c r="T165" s="810">
        <f>R165*S165/1000</f>
        <v>1074</v>
      </c>
      <c r="U165" s="810">
        <v>195</v>
      </c>
      <c r="V165" s="810">
        <v>6000</v>
      </c>
      <c r="W165" s="810">
        <f>U165*V165/1000</f>
        <v>1170</v>
      </c>
      <c r="X165" s="810">
        <f t="shared" si="15"/>
        <v>85648</v>
      </c>
      <c r="Y165" s="810">
        <f t="shared" si="16"/>
        <v>136566.96</v>
      </c>
    </row>
    <row r="166" spans="1:25" hidden="1" x14ac:dyDescent="0.25">
      <c r="A166" s="812" t="s">
        <v>50</v>
      </c>
      <c r="B166" s="810" t="s">
        <v>258</v>
      </c>
      <c r="C166" s="810">
        <v>35445</v>
      </c>
      <c r="D166" s="810">
        <v>980</v>
      </c>
      <c r="E166" s="810">
        <f t="shared" si="17"/>
        <v>34736.1</v>
      </c>
      <c r="F166" s="810">
        <v>10422</v>
      </c>
      <c r="G166" s="810">
        <v>340</v>
      </c>
      <c r="H166" s="810">
        <f t="shared" si="18"/>
        <v>3543.48</v>
      </c>
      <c r="I166" s="810"/>
      <c r="J166" s="810"/>
      <c r="K166" s="810"/>
      <c r="L166" s="810"/>
      <c r="M166" s="810"/>
      <c r="N166" s="810"/>
      <c r="O166" s="810">
        <v>16572</v>
      </c>
      <c r="P166" s="810">
        <v>6279</v>
      </c>
      <c r="Q166" s="810">
        <f t="shared" si="19"/>
        <v>104055.588</v>
      </c>
      <c r="R166" s="810"/>
      <c r="S166" s="810"/>
      <c r="T166" s="810"/>
      <c r="U166" s="810"/>
      <c r="V166" s="810"/>
      <c r="W166" s="810"/>
      <c r="X166" s="810">
        <f t="shared" si="15"/>
        <v>62439</v>
      </c>
      <c r="Y166" s="810">
        <f t="shared" si="16"/>
        <v>142335.16800000001</v>
      </c>
    </row>
    <row r="167" spans="1:25" hidden="1" x14ac:dyDescent="0.25">
      <c r="A167" s="812" t="s">
        <v>163</v>
      </c>
      <c r="B167" s="810" t="s">
        <v>258</v>
      </c>
      <c r="C167" s="810">
        <v>41825</v>
      </c>
      <c r="D167" s="810">
        <v>950</v>
      </c>
      <c r="E167" s="810">
        <f t="shared" si="17"/>
        <v>39733.75</v>
      </c>
      <c r="F167" s="810">
        <v>21448</v>
      </c>
      <c r="G167" s="810">
        <v>355</v>
      </c>
      <c r="H167" s="810">
        <f t="shared" si="18"/>
        <v>7614.04</v>
      </c>
      <c r="I167" s="810"/>
      <c r="J167" s="810"/>
      <c r="K167" s="810"/>
      <c r="L167" s="810"/>
      <c r="M167" s="810"/>
      <c r="N167" s="810"/>
      <c r="O167" s="810">
        <v>8250</v>
      </c>
      <c r="P167" s="810">
        <v>3384</v>
      </c>
      <c r="Q167" s="810">
        <f t="shared" si="19"/>
        <v>27918</v>
      </c>
      <c r="R167" s="810"/>
      <c r="S167" s="810"/>
      <c r="T167" s="810"/>
      <c r="U167" s="810"/>
      <c r="V167" s="810"/>
      <c r="W167" s="810"/>
      <c r="X167" s="810">
        <f t="shared" si="15"/>
        <v>71523</v>
      </c>
      <c r="Y167" s="810">
        <f t="shared" si="16"/>
        <v>75265.790000000008</v>
      </c>
    </row>
    <row r="168" spans="1:25" hidden="1" x14ac:dyDescent="0.25">
      <c r="A168" s="812" t="s">
        <v>52</v>
      </c>
      <c r="B168" s="810" t="s">
        <v>258</v>
      </c>
      <c r="C168" s="810">
        <v>61490</v>
      </c>
      <c r="D168" s="810">
        <v>480</v>
      </c>
      <c r="E168" s="810">
        <f t="shared" si="17"/>
        <v>29515.200000000001</v>
      </c>
      <c r="F168" s="810">
        <v>4114</v>
      </c>
      <c r="G168" s="810">
        <v>270</v>
      </c>
      <c r="H168" s="810">
        <f t="shared" si="18"/>
        <v>1110.78</v>
      </c>
      <c r="I168" s="810"/>
      <c r="J168" s="810"/>
      <c r="K168" s="810"/>
      <c r="L168" s="810"/>
      <c r="M168" s="810"/>
      <c r="N168" s="810"/>
      <c r="O168" s="810">
        <v>6816</v>
      </c>
      <c r="P168" s="810">
        <v>2770</v>
      </c>
      <c r="Q168" s="810">
        <f t="shared" si="19"/>
        <v>18880.32</v>
      </c>
      <c r="R168" s="810"/>
      <c r="S168" s="810"/>
      <c r="T168" s="810"/>
      <c r="U168" s="810"/>
      <c r="V168" s="810"/>
      <c r="W168" s="810"/>
      <c r="X168" s="810">
        <f t="shared" si="15"/>
        <v>72420</v>
      </c>
      <c r="Y168" s="810">
        <f t="shared" si="16"/>
        <v>49506.3</v>
      </c>
    </row>
    <row r="169" spans="1:25" hidden="1" x14ac:dyDescent="0.25">
      <c r="A169" s="812" t="s">
        <v>15</v>
      </c>
      <c r="B169" s="810" t="s">
        <v>259</v>
      </c>
      <c r="C169" s="810">
        <v>19120</v>
      </c>
      <c r="D169" s="810">
        <v>500</v>
      </c>
      <c r="E169" s="810">
        <f t="shared" ref="E169:E177" si="20">C169*D169/1000</f>
        <v>9560</v>
      </c>
      <c r="F169" s="810">
        <v>5260</v>
      </c>
      <c r="G169" s="810">
        <v>250</v>
      </c>
      <c r="H169" s="810">
        <f t="shared" ref="H169:H177" si="21">F169*G169/1000</f>
        <v>1315</v>
      </c>
      <c r="I169" s="810"/>
      <c r="J169" s="810"/>
      <c r="K169" s="810">
        <f t="shared" ref="K169:K177" si="22">I169*J169/1000</f>
        <v>0</v>
      </c>
      <c r="L169" s="810">
        <v>180</v>
      </c>
      <c r="M169" s="848">
        <v>500</v>
      </c>
      <c r="N169" s="810">
        <f t="shared" ref="N169:N177" si="23">L169*M169/1000</f>
        <v>90</v>
      </c>
      <c r="O169" s="810"/>
      <c r="P169" s="810"/>
      <c r="Q169" s="810">
        <f t="shared" ref="Q169:Q177" si="24">O169*P169/1000</f>
        <v>0</v>
      </c>
      <c r="R169" s="810"/>
      <c r="S169" s="810"/>
      <c r="T169" s="810">
        <f t="shared" ref="T169:T177" si="25">R169*S169/1000</f>
        <v>0</v>
      </c>
      <c r="U169" s="810"/>
      <c r="V169" s="810"/>
      <c r="W169" s="810">
        <f t="shared" ref="W169:W177" si="26">U169*V169/1000</f>
        <v>0</v>
      </c>
      <c r="X169" s="810">
        <f t="shared" ref="X169:X182" si="27">SUM(C169+F169+L169+I169+O169+R169+U169)</f>
        <v>24560</v>
      </c>
      <c r="Y169" s="810">
        <f t="shared" ref="Y169:Y182" si="28">SUM(E169+H169+N169+K169+Q169+T169+W169)</f>
        <v>10965</v>
      </c>
    </row>
    <row r="170" spans="1:25" hidden="1" x14ac:dyDescent="0.25">
      <c r="A170" s="812" t="s">
        <v>89</v>
      </c>
      <c r="B170" s="810" t="s">
        <v>259</v>
      </c>
      <c r="C170" s="810"/>
      <c r="D170" s="810"/>
      <c r="E170" s="810">
        <f t="shared" si="20"/>
        <v>0</v>
      </c>
      <c r="F170" s="810"/>
      <c r="G170" s="810"/>
      <c r="H170" s="810">
        <f t="shared" si="21"/>
        <v>0</v>
      </c>
      <c r="I170" s="810"/>
      <c r="J170" s="810"/>
      <c r="K170" s="810">
        <f t="shared" si="22"/>
        <v>0</v>
      </c>
      <c r="L170" s="810"/>
      <c r="M170" s="848"/>
      <c r="N170" s="810">
        <f t="shared" si="23"/>
        <v>0</v>
      </c>
      <c r="O170" s="810"/>
      <c r="P170" s="810"/>
      <c r="Q170" s="810">
        <f t="shared" si="24"/>
        <v>0</v>
      </c>
      <c r="R170" s="810"/>
      <c r="S170" s="810"/>
      <c r="T170" s="810">
        <f t="shared" si="25"/>
        <v>0</v>
      </c>
      <c r="U170" s="810"/>
      <c r="V170" s="810"/>
      <c r="W170" s="810">
        <f t="shared" si="26"/>
        <v>0</v>
      </c>
      <c r="X170" s="810">
        <f t="shared" si="27"/>
        <v>0</v>
      </c>
      <c r="Y170" s="810">
        <f t="shared" si="28"/>
        <v>0</v>
      </c>
    </row>
    <row r="171" spans="1:25" hidden="1" x14ac:dyDescent="0.25">
      <c r="A171" s="812" t="s">
        <v>17</v>
      </c>
      <c r="B171" s="810" t="s">
        <v>259</v>
      </c>
      <c r="C171" s="810"/>
      <c r="D171" s="810"/>
      <c r="E171" s="810">
        <f t="shared" si="20"/>
        <v>0</v>
      </c>
      <c r="F171" s="810"/>
      <c r="G171" s="810"/>
      <c r="H171" s="810">
        <f t="shared" si="21"/>
        <v>0</v>
      </c>
      <c r="I171" s="810"/>
      <c r="J171" s="810"/>
      <c r="K171" s="810">
        <f t="shared" si="22"/>
        <v>0</v>
      </c>
      <c r="L171" s="810"/>
      <c r="M171" s="848"/>
      <c r="N171" s="810">
        <f t="shared" si="23"/>
        <v>0</v>
      </c>
      <c r="O171" s="810"/>
      <c r="P171" s="810"/>
      <c r="Q171" s="810">
        <f t="shared" si="24"/>
        <v>0</v>
      </c>
      <c r="R171" s="810"/>
      <c r="S171" s="810"/>
      <c r="T171" s="810">
        <f t="shared" si="25"/>
        <v>0</v>
      </c>
      <c r="U171" s="810"/>
      <c r="V171" s="810"/>
      <c r="W171" s="810">
        <f t="shared" si="26"/>
        <v>0</v>
      </c>
      <c r="X171" s="810">
        <f t="shared" si="27"/>
        <v>0</v>
      </c>
      <c r="Y171" s="810">
        <f t="shared" si="28"/>
        <v>0</v>
      </c>
    </row>
    <row r="172" spans="1:25" hidden="1" x14ac:dyDescent="0.25">
      <c r="A172" s="812" t="s">
        <v>103</v>
      </c>
      <c r="B172" s="810" t="s">
        <v>259</v>
      </c>
      <c r="C172" s="810">
        <v>19854</v>
      </c>
      <c r="D172" s="810">
        <v>857</v>
      </c>
      <c r="E172" s="810">
        <f t="shared" si="20"/>
        <v>17014.878000000001</v>
      </c>
      <c r="F172" s="810">
        <v>30</v>
      </c>
      <c r="G172" s="810">
        <v>260</v>
      </c>
      <c r="H172" s="810">
        <f t="shared" si="21"/>
        <v>7.8</v>
      </c>
      <c r="I172" s="810"/>
      <c r="J172" s="810"/>
      <c r="K172" s="810">
        <f t="shared" si="22"/>
        <v>0</v>
      </c>
      <c r="L172" s="810"/>
      <c r="M172" s="882"/>
      <c r="N172" s="810">
        <f t="shared" si="23"/>
        <v>0</v>
      </c>
      <c r="O172" s="810"/>
      <c r="P172" s="810"/>
      <c r="Q172" s="810">
        <f t="shared" si="24"/>
        <v>0</v>
      </c>
      <c r="R172" s="810"/>
      <c r="S172" s="810"/>
      <c r="T172" s="810">
        <f t="shared" si="25"/>
        <v>0</v>
      </c>
      <c r="U172" s="810"/>
      <c r="V172" s="810"/>
      <c r="W172" s="810">
        <f t="shared" si="26"/>
        <v>0</v>
      </c>
      <c r="X172" s="810">
        <f t="shared" si="27"/>
        <v>19884</v>
      </c>
      <c r="Y172" s="810">
        <f t="shared" si="28"/>
        <v>17022.678</v>
      </c>
    </row>
    <row r="173" spans="1:25" hidden="1" x14ac:dyDescent="0.25">
      <c r="A173" s="812" t="s">
        <v>20</v>
      </c>
      <c r="B173" s="810" t="s">
        <v>259</v>
      </c>
      <c r="C173" s="810">
        <v>6390</v>
      </c>
      <c r="D173" s="810">
        <v>1527</v>
      </c>
      <c r="E173" s="810">
        <f t="shared" si="20"/>
        <v>9757.5300000000007</v>
      </c>
      <c r="F173" s="810">
        <v>7690</v>
      </c>
      <c r="G173" s="810">
        <v>500</v>
      </c>
      <c r="H173" s="810">
        <f t="shared" si="21"/>
        <v>3845</v>
      </c>
      <c r="I173" s="810"/>
      <c r="J173" s="810"/>
      <c r="K173" s="810">
        <f t="shared" si="22"/>
        <v>0</v>
      </c>
      <c r="L173" s="810">
        <v>65</v>
      </c>
      <c r="M173" s="899">
        <v>600</v>
      </c>
      <c r="N173" s="810">
        <f t="shared" si="23"/>
        <v>39</v>
      </c>
      <c r="O173" s="810"/>
      <c r="P173" s="810"/>
      <c r="Q173" s="810">
        <f t="shared" si="24"/>
        <v>0</v>
      </c>
      <c r="R173" s="810"/>
      <c r="S173" s="810"/>
      <c r="T173" s="810">
        <f t="shared" si="25"/>
        <v>0</v>
      </c>
      <c r="U173" s="810"/>
      <c r="V173" s="810"/>
      <c r="W173" s="810">
        <f t="shared" si="26"/>
        <v>0</v>
      </c>
      <c r="X173" s="810">
        <f t="shared" si="27"/>
        <v>14145</v>
      </c>
      <c r="Y173" s="810">
        <f t="shared" si="28"/>
        <v>13641.53</v>
      </c>
    </row>
    <row r="174" spans="1:25" hidden="1" x14ac:dyDescent="0.25">
      <c r="A174" s="812" t="s">
        <v>21</v>
      </c>
      <c r="B174" s="810" t="s">
        <v>259</v>
      </c>
      <c r="C174" s="810"/>
      <c r="D174" s="810"/>
      <c r="E174" s="810">
        <f t="shared" si="20"/>
        <v>0</v>
      </c>
      <c r="F174" s="810"/>
      <c r="G174" s="810"/>
      <c r="H174" s="810">
        <f t="shared" si="21"/>
        <v>0</v>
      </c>
      <c r="I174" s="810"/>
      <c r="J174" s="810"/>
      <c r="K174" s="810">
        <f t="shared" si="22"/>
        <v>0</v>
      </c>
      <c r="L174" s="810"/>
      <c r="M174" s="848"/>
      <c r="N174" s="810">
        <f t="shared" si="23"/>
        <v>0</v>
      </c>
      <c r="O174" s="810"/>
      <c r="P174" s="810"/>
      <c r="Q174" s="810">
        <f t="shared" si="24"/>
        <v>0</v>
      </c>
      <c r="R174" s="810"/>
      <c r="S174" s="810"/>
      <c r="T174" s="810">
        <f t="shared" si="25"/>
        <v>0</v>
      </c>
      <c r="U174" s="810"/>
      <c r="V174" s="810"/>
      <c r="W174" s="810">
        <f t="shared" si="26"/>
        <v>0</v>
      </c>
      <c r="X174" s="810">
        <f t="shared" si="27"/>
        <v>0</v>
      </c>
      <c r="Y174" s="810">
        <f t="shared" si="28"/>
        <v>0</v>
      </c>
    </row>
    <row r="175" spans="1:25" hidden="1" x14ac:dyDescent="0.25">
      <c r="A175" s="812" t="s">
        <v>22</v>
      </c>
      <c r="B175" s="810" t="s">
        <v>259</v>
      </c>
      <c r="C175" s="810"/>
      <c r="D175" s="810"/>
      <c r="E175" s="810">
        <f t="shared" si="20"/>
        <v>0</v>
      </c>
      <c r="F175" s="810"/>
      <c r="G175" s="810"/>
      <c r="H175" s="810">
        <f t="shared" si="21"/>
        <v>0</v>
      </c>
      <c r="I175" s="810"/>
      <c r="J175" s="810"/>
      <c r="K175" s="810">
        <f t="shared" si="22"/>
        <v>0</v>
      </c>
      <c r="L175" s="810"/>
      <c r="M175" s="899"/>
      <c r="N175" s="810">
        <f t="shared" si="23"/>
        <v>0</v>
      </c>
      <c r="O175" s="810"/>
      <c r="P175" s="810"/>
      <c r="Q175" s="810">
        <f t="shared" si="24"/>
        <v>0</v>
      </c>
      <c r="R175" s="810"/>
      <c r="S175" s="810"/>
      <c r="T175" s="810">
        <f t="shared" si="25"/>
        <v>0</v>
      </c>
      <c r="U175" s="810"/>
      <c r="V175" s="810"/>
      <c r="W175" s="810">
        <f t="shared" si="26"/>
        <v>0</v>
      </c>
      <c r="X175" s="810">
        <f t="shared" si="27"/>
        <v>0</v>
      </c>
      <c r="Y175" s="810">
        <f t="shared" si="28"/>
        <v>0</v>
      </c>
    </row>
    <row r="176" spans="1:25" hidden="1" x14ac:dyDescent="0.25">
      <c r="A176" s="813" t="s">
        <v>23</v>
      </c>
      <c r="B176" s="810" t="s">
        <v>259</v>
      </c>
      <c r="C176" s="810">
        <v>113983</v>
      </c>
      <c r="D176" s="810">
        <v>950</v>
      </c>
      <c r="E176" s="810">
        <f t="shared" si="20"/>
        <v>108283.85</v>
      </c>
      <c r="F176" s="810">
        <v>11435</v>
      </c>
      <c r="G176" s="810">
        <v>510</v>
      </c>
      <c r="H176" s="810">
        <f t="shared" si="21"/>
        <v>5831.85</v>
      </c>
      <c r="I176" s="810"/>
      <c r="J176" s="810"/>
      <c r="K176" s="810">
        <f t="shared" si="22"/>
        <v>0</v>
      </c>
      <c r="L176" s="810">
        <v>39310</v>
      </c>
      <c r="M176" s="882">
        <v>700</v>
      </c>
      <c r="N176" s="810">
        <f t="shared" si="23"/>
        <v>27517</v>
      </c>
      <c r="O176" s="810"/>
      <c r="P176" s="810"/>
      <c r="Q176" s="810">
        <f t="shared" si="24"/>
        <v>0</v>
      </c>
      <c r="R176" s="810"/>
      <c r="S176" s="810"/>
      <c r="T176" s="810">
        <f t="shared" si="25"/>
        <v>0</v>
      </c>
      <c r="U176" s="810"/>
      <c r="V176" s="810"/>
      <c r="W176" s="810">
        <f t="shared" si="26"/>
        <v>0</v>
      </c>
      <c r="X176" s="810">
        <f t="shared" si="27"/>
        <v>164728</v>
      </c>
      <c r="Y176" s="810">
        <f t="shared" si="28"/>
        <v>141632.70000000001</v>
      </c>
    </row>
    <row r="177" spans="1:25" hidden="1" x14ac:dyDescent="0.25">
      <c r="A177" s="812" t="s">
        <v>24</v>
      </c>
      <c r="B177" s="810" t="s">
        <v>259</v>
      </c>
      <c r="C177" s="810">
        <v>7660</v>
      </c>
      <c r="D177" s="810">
        <v>900</v>
      </c>
      <c r="E177" s="810">
        <f t="shared" si="20"/>
        <v>6894</v>
      </c>
      <c r="F177" s="810">
        <v>1090</v>
      </c>
      <c r="G177" s="810">
        <v>400</v>
      </c>
      <c r="H177" s="810">
        <f t="shared" si="21"/>
        <v>436</v>
      </c>
      <c r="I177" s="810"/>
      <c r="J177" s="810"/>
      <c r="K177" s="810">
        <f t="shared" si="22"/>
        <v>0</v>
      </c>
      <c r="L177" s="810">
        <v>690</v>
      </c>
      <c r="M177" s="882">
        <v>600</v>
      </c>
      <c r="N177" s="810">
        <f t="shared" si="23"/>
        <v>414</v>
      </c>
      <c r="O177" s="810"/>
      <c r="P177" s="810"/>
      <c r="Q177" s="810">
        <f t="shared" si="24"/>
        <v>0</v>
      </c>
      <c r="R177" s="810"/>
      <c r="S177" s="810"/>
      <c r="T177" s="810">
        <f t="shared" si="25"/>
        <v>0</v>
      </c>
      <c r="U177" s="810"/>
      <c r="V177" s="810"/>
      <c r="W177" s="810">
        <f t="shared" si="26"/>
        <v>0</v>
      </c>
      <c r="X177" s="810">
        <f t="shared" si="27"/>
        <v>9440</v>
      </c>
      <c r="Y177" s="810">
        <f t="shared" si="28"/>
        <v>7744</v>
      </c>
    </row>
    <row r="178" spans="1:25" hidden="1" x14ac:dyDescent="0.25">
      <c r="A178" s="812" t="s">
        <v>26</v>
      </c>
      <c r="B178" s="810" t="s">
        <v>259</v>
      </c>
      <c r="C178" s="810">
        <v>101103</v>
      </c>
      <c r="D178" s="882">
        <v>950</v>
      </c>
      <c r="E178" s="810">
        <f>C178*D178/1000</f>
        <v>96047.85</v>
      </c>
      <c r="F178" s="810">
        <v>26880</v>
      </c>
      <c r="G178" s="848">
        <v>500</v>
      </c>
      <c r="H178" s="810">
        <f>F178*G178/1000</f>
        <v>13440</v>
      </c>
      <c r="I178" s="810"/>
      <c r="J178" s="810"/>
      <c r="K178" s="810">
        <f>I178*J178/1000</f>
        <v>0</v>
      </c>
      <c r="L178" s="810">
        <v>56292</v>
      </c>
      <c r="M178" s="810">
        <v>600</v>
      </c>
      <c r="N178" s="810">
        <f>L178*M178/1000</f>
        <v>33775.199999999997</v>
      </c>
      <c r="O178" s="810">
        <v>17817</v>
      </c>
      <c r="P178" s="810">
        <v>5620</v>
      </c>
      <c r="Q178" s="810">
        <f>O178*P178/1000</f>
        <v>100131.54</v>
      </c>
      <c r="R178" s="810">
        <v>1486</v>
      </c>
      <c r="S178" s="810">
        <v>5600</v>
      </c>
      <c r="T178" s="810">
        <f>R178*S178/1000</f>
        <v>8321.6</v>
      </c>
      <c r="U178" s="810">
        <v>4655</v>
      </c>
      <c r="V178" s="810">
        <v>6000</v>
      </c>
      <c r="W178" s="810">
        <f>U178*V178/1000</f>
        <v>27930</v>
      </c>
      <c r="X178" s="810">
        <f t="shared" si="27"/>
        <v>208233</v>
      </c>
      <c r="Y178" s="810">
        <f t="shared" si="28"/>
        <v>279646.18999999994</v>
      </c>
    </row>
    <row r="179" spans="1:25" hidden="1" x14ac:dyDescent="0.25">
      <c r="A179" s="813" t="s">
        <v>27</v>
      </c>
      <c r="B179" s="810" t="s">
        <v>259</v>
      </c>
      <c r="C179" s="810">
        <v>24866</v>
      </c>
      <c r="D179" s="882">
        <v>760</v>
      </c>
      <c r="E179" s="810">
        <f>C179*D179/1000</f>
        <v>18898.16</v>
      </c>
      <c r="F179" s="810">
        <v>4227</v>
      </c>
      <c r="G179" s="848">
        <v>270</v>
      </c>
      <c r="H179" s="810">
        <f>F179*G179/1000</f>
        <v>1141.29</v>
      </c>
      <c r="I179" s="810"/>
      <c r="J179" s="810"/>
      <c r="K179" s="810">
        <f>I179*J179/1000</f>
        <v>0</v>
      </c>
      <c r="L179" s="810">
        <v>3817</v>
      </c>
      <c r="M179" s="882">
        <v>500</v>
      </c>
      <c r="N179" s="810">
        <f>L179*M179/1000</f>
        <v>1908.5</v>
      </c>
      <c r="O179" s="810">
        <v>3512</v>
      </c>
      <c r="P179" s="810">
        <v>5000</v>
      </c>
      <c r="Q179" s="810">
        <f>O179*P179/1000</f>
        <v>17560</v>
      </c>
      <c r="R179" s="810">
        <v>4904</v>
      </c>
      <c r="S179" s="810">
        <v>7230</v>
      </c>
      <c r="T179" s="810">
        <f>R179*S179/1000</f>
        <v>35455.919999999998</v>
      </c>
      <c r="U179" s="810"/>
      <c r="V179" s="810"/>
      <c r="W179" s="810">
        <f>U179*V179/1000</f>
        <v>0</v>
      </c>
      <c r="X179" s="810">
        <f t="shared" si="27"/>
        <v>41326</v>
      </c>
      <c r="Y179" s="810">
        <f t="shared" si="28"/>
        <v>74963.87</v>
      </c>
    </row>
    <row r="180" spans="1:25" hidden="1" x14ac:dyDescent="0.25">
      <c r="A180" s="812" t="s">
        <v>50</v>
      </c>
      <c r="B180" s="810" t="s">
        <v>259</v>
      </c>
      <c r="C180" s="810">
        <v>47135</v>
      </c>
      <c r="D180" s="882">
        <v>1673</v>
      </c>
      <c r="E180" s="810">
        <f>C180*D180/1000</f>
        <v>78856.854999999996</v>
      </c>
      <c r="F180" s="810">
        <v>18306</v>
      </c>
      <c r="G180" s="848">
        <v>340</v>
      </c>
      <c r="H180" s="810">
        <f>F180*G180/1000</f>
        <v>6224.04</v>
      </c>
      <c r="I180" s="810"/>
      <c r="J180" s="810"/>
      <c r="K180" s="810">
        <f>I180*J180/1000</f>
        <v>0</v>
      </c>
      <c r="L180" s="810">
        <v>4525</v>
      </c>
      <c r="M180" s="810">
        <v>450</v>
      </c>
      <c r="N180" s="810">
        <f>L180*M180/1000</f>
        <v>2036.25</v>
      </c>
      <c r="O180" s="810">
        <v>7847</v>
      </c>
      <c r="P180" s="810">
        <v>4800</v>
      </c>
      <c r="Q180" s="810">
        <f>O180*P180/1000</f>
        <v>37665.599999999999</v>
      </c>
      <c r="R180" s="810">
        <v>2776</v>
      </c>
      <c r="S180" s="810">
        <v>5000</v>
      </c>
      <c r="T180" s="810">
        <f>R180*S180/1000</f>
        <v>13880</v>
      </c>
      <c r="U180" s="810"/>
      <c r="V180" s="810"/>
      <c r="W180" s="810">
        <f>U180*V180/1000</f>
        <v>0</v>
      </c>
      <c r="X180" s="810">
        <f t="shared" si="27"/>
        <v>80589</v>
      </c>
      <c r="Y180" s="810">
        <f t="shared" si="28"/>
        <v>138662.745</v>
      </c>
    </row>
    <row r="181" spans="1:25" hidden="1" x14ac:dyDescent="0.25">
      <c r="A181" s="812" t="s">
        <v>163</v>
      </c>
      <c r="B181" s="810" t="s">
        <v>259</v>
      </c>
      <c r="C181" s="810">
        <v>50809</v>
      </c>
      <c r="D181" s="882">
        <v>850</v>
      </c>
      <c r="E181" s="810">
        <f>C181*D181/1000</f>
        <v>43187.65</v>
      </c>
      <c r="F181" s="810">
        <v>16472</v>
      </c>
      <c r="G181" s="848">
        <v>355</v>
      </c>
      <c r="H181" s="810">
        <f>F181*G181/1000</f>
        <v>5847.56</v>
      </c>
      <c r="I181" s="810"/>
      <c r="J181" s="810"/>
      <c r="K181" s="810">
        <f>I181*J181/1000</f>
        <v>0</v>
      </c>
      <c r="L181" s="810">
        <v>5786</v>
      </c>
      <c r="M181" s="810">
        <v>450</v>
      </c>
      <c r="N181" s="810">
        <f>L181*M181/1000</f>
        <v>2603.6999999999998</v>
      </c>
      <c r="O181" s="810">
        <v>7367</v>
      </c>
      <c r="P181" s="810">
        <v>4500</v>
      </c>
      <c r="Q181" s="810">
        <f>O181*P181/1000</f>
        <v>33151.5</v>
      </c>
      <c r="R181" s="810"/>
      <c r="S181" s="810"/>
      <c r="T181" s="810">
        <f>R181*S181/1000</f>
        <v>0</v>
      </c>
      <c r="U181" s="810"/>
      <c r="V181" s="810"/>
      <c r="W181" s="810">
        <f>U181*V181/1000</f>
        <v>0</v>
      </c>
      <c r="X181" s="810">
        <f t="shared" si="27"/>
        <v>80434</v>
      </c>
      <c r="Y181" s="810">
        <f t="shared" si="28"/>
        <v>84790.41</v>
      </c>
    </row>
    <row r="182" spans="1:25" hidden="1" x14ac:dyDescent="0.25">
      <c r="A182" s="812" t="s">
        <v>52</v>
      </c>
      <c r="B182" s="810" t="s">
        <v>259</v>
      </c>
      <c r="C182" s="810">
        <v>62667</v>
      </c>
      <c r="D182" s="882">
        <v>1210</v>
      </c>
      <c r="E182" s="810">
        <f>C182*D182/1000</f>
        <v>75827.070000000007</v>
      </c>
      <c r="F182" s="810">
        <v>4881</v>
      </c>
      <c r="G182" s="848">
        <v>400</v>
      </c>
      <c r="H182" s="810">
        <f>F182*G182/1000</f>
        <v>1952.4</v>
      </c>
      <c r="I182" s="810"/>
      <c r="J182" s="810"/>
      <c r="K182" s="810">
        <f>I182*J182/1000</f>
        <v>0</v>
      </c>
      <c r="L182" s="810"/>
      <c r="M182" s="810"/>
      <c r="N182" s="810">
        <f>L182*M182/1000</f>
        <v>0</v>
      </c>
      <c r="O182" s="810">
        <v>14120</v>
      </c>
      <c r="P182" s="810">
        <v>4324</v>
      </c>
      <c r="Q182" s="810">
        <f>O182*P182/1000</f>
        <v>61054.879999999997</v>
      </c>
      <c r="R182" s="810"/>
      <c r="S182" s="810"/>
      <c r="T182" s="810">
        <f>R182*S182/1000</f>
        <v>0</v>
      </c>
      <c r="U182" s="810"/>
      <c r="V182" s="810"/>
      <c r="W182" s="810">
        <f>U182*V182/1000</f>
        <v>0</v>
      </c>
      <c r="X182" s="810">
        <f t="shared" si="27"/>
        <v>81668</v>
      </c>
      <c r="Y182" s="810">
        <f t="shared" si="28"/>
        <v>138834.35</v>
      </c>
    </row>
    <row r="183" spans="1:25" hidden="1" x14ac:dyDescent="0.25">
      <c r="A183" s="812" t="s">
        <v>15</v>
      </c>
      <c r="B183" s="810" t="s">
        <v>260</v>
      </c>
      <c r="C183" s="820">
        <v>18140</v>
      </c>
      <c r="D183" s="810">
        <v>500</v>
      </c>
      <c r="E183" s="810">
        <f t="shared" ref="E183:E191" si="29">C183*D183/1000</f>
        <v>9070</v>
      </c>
      <c r="F183" s="810">
        <v>1610</v>
      </c>
      <c r="G183" s="810">
        <v>250</v>
      </c>
      <c r="H183" s="810">
        <f t="shared" ref="H183:H191" si="30">F183*G183/1000</f>
        <v>402.5</v>
      </c>
      <c r="I183" s="810"/>
      <c r="J183" s="810"/>
      <c r="K183" s="810">
        <f t="shared" ref="K183:K191" si="31">I183*J183/1000</f>
        <v>0</v>
      </c>
      <c r="L183" s="810">
        <v>13235</v>
      </c>
      <c r="M183" s="810">
        <v>500</v>
      </c>
      <c r="N183" s="810">
        <f t="shared" ref="N183:N191" si="32">L183*M183/1000</f>
        <v>6617.5</v>
      </c>
      <c r="O183" s="810"/>
      <c r="P183" s="810"/>
      <c r="Q183" s="810">
        <f t="shared" ref="Q183:Q191" si="33">O183*P183/1000</f>
        <v>0</v>
      </c>
      <c r="R183" s="810"/>
      <c r="S183" s="810"/>
      <c r="T183" s="810">
        <f t="shared" ref="T183:T191" si="34">R183*S183/1000</f>
        <v>0</v>
      </c>
      <c r="U183" s="810"/>
      <c r="V183" s="810"/>
      <c r="W183" s="810">
        <f t="shared" ref="W183:W191" si="35">U183*V183/1000</f>
        <v>0</v>
      </c>
      <c r="X183" s="810">
        <f t="shared" ref="X183:X228" si="36">C183+F183+L183+I183+O183+R183+U183</f>
        <v>32985</v>
      </c>
      <c r="Y183" s="810">
        <f t="shared" ref="Y183:Y229" si="37">E183+H183+N183+K183+Q183+T183+W183</f>
        <v>16090</v>
      </c>
    </row>
    <row r="184" spans="1:25" hidden="1" x14ac:dyDescent="0.25">
      <c r="A184" s="812" t="s">
        <v>89</v>
      </c>
      <c r="B184" s="810" t="s">
        <v>260</v>
      </c>
      <c r="C184" s="898"/>
      <c r="D184" s="810"/>
      <c r="E184" s="810">
        <f t="shared" si="29"/>
        <v>0</v>
      </c>
      <c r="F184" s="810"/>
      <c r="G184" s="810"/>
      <c r="H184" s="810">
        <f t="shared" si="30"/>
        <v>0</v>
      </c>
      <c r="I184" s="810"/>
      <c r="J184" s="810"/>
      <c r="K184" s="810">
        <f t="shared" si="31"/>
        <v>0</v>
      </c>
      <c r="L184" s="810"/>
      <c r="M184" s="810"/>
      <c r="N184" s="810">
        <f t="shared" si="32"/>
        <v>0</v>
      </c>
      <c r="O184" s="810"/>
      <c r="P184" s="810"/>
      <c r="Q184" s="810">
        <f t="shared" si="33"/>
        <v>0</v>
      </c>
      <c r="R184" s="810"/>
      <c r="S184" s="810"/>
      <c r="T184" s="810">
        <f t="shared" si="34"/>
        <v>0</v>
      </c>
      <c r="U184" s="810"/>
      <c r="V184" s="810"/>
      <c r="W184" s="810">
        <f t="shared" si="35"/>
        <v>0</v>
      </c>
      <c r="X184" s="810">
        <f t="shared" si="36"/>
        <v>0</v>
      </c>
      <c r="Y184" s="810">
        <f t="shared" si="37"/>
        <v>0</v>
      </c>
    </row>
    <row r="185" spans="1:25" hidden="1" x14ac:dyDescent="0.25">
      <c r="A185" s="812" t="s">
        <v>17</v>
      </c>
      <c r="B185" s="810" t="s">
        <v>260</v>
      </c>
      <c r="C185" s="820">
        <v>18000</v>
      </c>
      <c r="D185" s="810">
        <v>1160</v>
      </c>
      <c r="E185" s="810">
        <f t="shared" si="29"/>
        <v>20880</v>
      </c>
      <c r="F185" s="810"/>
      <c r="G185" s="810"/>
      <c r="H185" s="810">
        <f t="shared" si="30"/>
        <v>0</v>
      </c>
      <c r="I185" s="810"/>
      <c r="J185" s="810"/>
      <c r="K185" s="810">
        <f t="shared" si="31"/>
        <v>0</v>
      </c>
      <c r="L185" s="810"/>
      <c r="M185" s="810"/>
      <c r="N185" s="810">
        <f t="shared" si="32"/>
        <v>0</v>
      </c>
      <c r="O185" s="810"/>
      <c r="P185" s="810"/>
      <c r="Q185" s="810">
        <f t="shared" si="33"/>
        <v>0</v>
      </c>
      <c r="R185" s="810"/>
      <c r="S185" s="810"/>
      <c r="T185" s="810">
        <f t="shared" si="34"/>
        <v>0</v>
      </c>
      <c r="U185" s="810"/>
      <c r="V185" s="810"/>
      <c r="W185" s="810">
        <f t="shared" si="35"/>
        <v>0</v>
      </c>
      <c r="X185" s="810">
        <f t="shared" si="36"/>
        <v>18000</v>
      </c>
      <c r="Y185" s="810">
        <f t="shared" si="37"/>
        <v>20880</v>
      </c>
    </row>
    <row r="186" spans="1:25" hidden="1" x14ac:dyDescent="0.25">
      <c r="A186" s="812" t="s">
        <v>103</v>
      </c>
      <c r="B186" s="810" t="s">
        <v>260</v>
      </c>
      <c r="C186" s="820">
        <v>120973</v>
      </c>
      <c r="D186" s="810">
        <v>600</v>
      </c>
      <c r="E186" s="810">
        <f t="shared" si="29"/>
        <v>72583.8</v>
      </c>
      <c r="F186" s="810">
        <v>7754</v>
      </c>
      <c r="G186" s="810">
        <v>300</v>
      </c>
      <c r="H186" s="810">
        <f t="shared" si="30"/>
        <v>2326.1999999999998</v>
      </c>
      <c r="I186" s="810"/>
      <c r="J186" s="810"/>
      <c r="K186" s="810">
        <f t="shared" si="31"/>
        <v>0</v>
      </c>
      <c r="L186" s="810">
        <v>28233</v>
      </c>
      <c r="M186" s="810">
        <v>500</v>
      </c>
      <c r="N186" s="810">
        <f t="shared" si="32"/>
        <v>14116.5</v>
      </c>
      <c r="O186" s="810"/>
      <c r="P186" s="810"/>
      <c r="Q186" s="810">
        <f t="shared" si="33"/>
        <v>0</v>
      </c>
      <c r="R186" s="810"/>
      <c r="S186" s="810"/>
      <c r="T186" s="810">
        <f t="shared" si="34"/>
        <v>0</v>
      </c>
      <c r="U186" s="810"/>
      <c r="V186" s="810"/>
      <c r="W186" s="810">
        <f t="shared" si="35"/>
        <v>0</v>
      </c>
      <c r="X186" s="810">
        <f t="shared" si="36"/>
        <v>156960</v>
      </c>
      <c r="Y186" s="810">
        <f t="shared" si="37"/>
        <v>89026.5</v>
      </c>
    </row>
    <row r="187" spans="1:25" hidden="1" x14ac:dyDescent="0.25">
      <c r="A187" s="812" t="s">
        <v>20</v>
      </c>
      <c r="B187" s="810" t="s">
        <v>260</v>
      </c>
      <c r="C187" s="820">
        <v>46000</v>
      </c>
      <c r="D187" s="810">
        <v>1073</v>
      </c>
      <c r="E187" s="810">
        <f t="shared" si="29"/>
        <v>49358</v>
      </c>
      <c r="F187" s="810">
        <v>11000</v>
      </c>
      <c r="G187" s="810">
        <v>658</v>
      </c>
      <c r="H187" s="810">
        <f t="shared" si="30"/>
        <v>7238</v>
      </c>
      <c r="I187" s="810"/>
      <c r="J187" s="897"/>
      <c r="K187" s="810">
        <f t="shared" si="31"/>
        <v>0</v>
      </c>
      <c r="L187" s="810">
        <v>18000</v>
      </c>
      <c r="M187" s="810">
        <v>600</v>
      </c>
      <c r="N187" s="810">
        <f t="shared" si="32"/>
        <v>10800</v>
      </c>
      <c r="O187" s="810"/>
      <c r="P187" s="810"/>
      <c r="Q187" s="810">
        <f t="shared" si="33"/>
        <v>0</v>
      </c>
      <c r="R187" s="810"/>
      <c r="S187" s="810"/>
      <c r="T187" s="810">
        <f t="shared" si="34"/>
        <v>0</v>
      </c>
      <c r="U187" s="810"/>
      <c r="V187" s="810"/>
      <c r="W187" s="810">
        <f t="shared" si="35"/>
        <v>0</v>
      </c>
      <c r="X187" s="810">
        <f t="shared" si="36"/>
        <v>75000</v>
      </c>
      <c r="Y187" s="810">
        <f t="shared" si="37"/>
        <v>67396</v>
      </c>
    </row>
    <row r="188" spans="1:25" hidden="1" x14ac:dyDescent="0.25">
      <c r="A188" s="812" t="s">
        <v>21</v>
      </c>
      <c r="B188" s="810" t="s">
        <v>260</v>
      </c>
      <c r="C188" s="820"/>
      <c r="D188" s="810"/>
      <c r="E188" s="810">
        <f t="shared" si="29"/>
        <v>0</v>
      </c>
      <c r="F188" s="810"/>
      <c r="G188" s="810"/>
      <c r="H188" s="810">
        <f t="shared" si="30"/>
        <v>0</v>
      </c>
      <c r="I188" s="810"/>
      <c r="J188" s="810"/>
      <c r="K188" s="810">
        <f t="shared" si="31"/>
        <v>0</v>
      </c>
      <c r="L188" s="810">
        <v>7750</v>
      </c>
      <c r="M188" s="810">
        <v>250</v>
      </c>
      <c r="N188" s="810">
        <f t="shared" si="32"/>
        <v>1937.5</v>
      </c>
      <c r="O188" s="810"/>
      <c r="P188" s="810"/>
      <c r="Q188" s="810">
        <f t="shared" si="33"/>
        <v>0</v>
      </c>
      <c r="R188" s="810"/>
      <c r="S188" s="810"/>
      <c r="T188" s="810">
        <f t="shared" si="34"/>
        <v>0</v>
      </c>
      <c r="U188" s="810"/>
      <c r="V188" s="810"/>
      <c r="W188" s="810">
        <f t="shared" si="35"/>
        <v>0</v>
      </c>
      <c r="X188" s="810">
        <f t="shared" si="36"/>
        <v>7750</v>
      </c>
      <c r="Y188" s="810">
        <f t="shared" si="37"/>
        <v>1937.5</v>
      </c>
    </row>
    <row r="189" spans="1:25" hidden="1" x14ac:dyDescent="0.25">
      <c r="A189" s="812" t="s">
        <v>22</v>
      </c>
      <c r="B189" s="810" t="s">
        <v>260</v>
      </c>
      <c r="C189" s="820">
        <v>1311</v>
      </c>
      <c r="D189" s="810">
        <v>700</v>
      </c>
      <c r="E189" s="810">
        <f t="shared" si="29"/>
        <v>917.7</v>
      </c>
      <c r="F189" s="810"/>
      <c r="G189" s="810"/>
      <c r="H189" s="810">
        <f t="shared" si="30"/>
        <v>0</v>
      </c>
      <c r="I189" s="810"/>
      <c r="J189" s="897"/>
      <c r="K189" s="810">
        <f t="shared" si="31"/>
        <v>0</v>
      </c>
      <c r="L189" s="810"/>
      <c r="M189" s="810"/>
      <c r="N189" s="810">
        <f t="shared" si="32"/>
        <v>0</v>
      </c>
      <c r="O189" s="810">
        <v>356</v>
      </c>
      <c r="P189" s="810">
        <v>7000</v>
      </c>
      <c r="Q189" s="810">
        <f t="shared" si="33"/>
        <v>2492</v>
      </c>
      <c r="R189" s="810">
        <v>157</v>
      </c>
      <c r="S189" s="810">
        <v>6000</v>
      </c>
      <c r="T189" s="810">
        <f t="shared" si="34"/>
        <v>942</v>
      </c>
      <c r="U189" s="810"/>
      <c r="V189" s="810"/>
      <c r="W189" s="810">
        <f t="shared" si="35"/>
        <v>0</v>
      </c>
      <c r="X189" s="810">
        <f t="shared" si="36"/>
        <v>1824</v>
      </c>
      <c r="Y189" s="810">
        <f t="shared" si="37"/>
        <v>4351.7</v>
      </c>
    </row>
    <row r="190" spans="1:25" hidden="1" x14ac:dyDescent="0.25">
      <c r="A190" s="813" t="s">
        <v>23</v>
      </c>
      <c r="B190" s="810" t="s">
        <v>260</v>
      </c>
      <c r="C190" s="820">
        <v>120000</v>
      </c>
      <c r="D190" s="810">
        <v>700</v>
      </c>
      <c r="E190" s="810">
        <f t="shared" si="29"/>
        <v>84000</v>
      </c>
      <c r="F190" s="810">
        <v>15000</v>
      </c>
      <c r="G190" s="810">
        <v>300</v>
      </c>
      <c r="H190" s="810">
        <f t="shared" si="30"/>
        <v>4500</v>
      </c>
      <c r="I190" s="810"/>
      <c r="J190" s="810"/>
      <c r="K190" s="810">
        <f t="shared" si="31"/>
        <v>0</v>
      </c>
      <c r="L190" s="810">
        <v>12600</v>
      </c>
      <c r="M190" s="810">
        <v>600</v>
      </c>
      <c r="N190" s="810">
        <f t="shared" si="32"/>
        <v>7560</v>
      </c>
      <c r="O190" s="810">
        <v>195</v>
      </c>
      <c r="P190" s="810">
        <v>6000</v>
      </c>
      <c r="Q190" s="810">
        <f t="shared" si="33"/>
        <v>1170</v>
      </c>
      <c r="R190" s="810"/>
      <c r="S190" s="810"/>
      <c r="T190" s="810">
        <f t="shared" si="34"/>
        <v>0</v>
      </c>
      <c r="U190" s="810"/>
      <c r="V190" s="810"/>
      <c r="W190" s="810">
        <f t="shared" si="35"/>
        <v>0</v>
      </c>
      <c r="X190" s="810">
        <f t="shared" si="36"/>
        <v>147795</v>
      </c>
      <c r="Y190" s="810">
        <f t="shared" si="37"/>
        <v>97230</v>
      </c>
    </row>
    <row r="191" spans="1:25" hidden="1" x14ac:dyDescent="0.25">
      <c r="A191" s="812" t="s">
        <v>24</v>
      </c>
      <c r="B191" s="810" t="s">
        <v>260</v>
      </c>
      <c r="C191" s="820">
        <v>9501</v>
      </c>
      <c r="D191" s="810">
        <v>596</v>
      </c>
      <c r="E191" s="810">
        <f t="shared" si="29"/>
        <v>5662.5959999999995</v>
      </c>
      <c r="F191" s="810">
        <v>2047</v>
      </c>
      <c r="G191" s="810">
        <v>400</v>
      </c>
      <c r="H191" s="810">
        <f t="shared" si="30"/>
        <v>818.8</v>
      </c>
      <c r="I191" s="810">
        <v>61</v>
      </c>
      <c r="J191" s="810">
        <v>1000</v>
      </c>
      <c r="K191" s="810">
        <f t="shared" si="31"/>
        <v>61</v>
      </c>
      <c r="L191" s="810">
        <v>2968</v>
      </c>
      <c r="M191" s="810">
        <v>600</v>
      </c>
      <c r="N191" s="810">
        <f t="shared" si="32"/>
        <v>1780.8</v>
      </c>
      <c r="O191" s="810">
        <v>490</v>
      </c>
      <c r="P191" s="810">
        <v>6000</v>
      </c>
      <c r="Q191" s="810">
        <f t="shared" si="33"/>
        <v>2940</v>
      </c>
      <c r="R191" s="810"/>
      <c r="S191" s="810"/>
      <c r="T191" s="810">
        <f t="shared" si="34"/>
        <v>0</v>
      </c>
      <c r="U191" s="810"/>
      <c r="V191" s="810"/>
      <c r="W191" s="810">
        <f t="shared" si="35"/>
        <v>0</v>
      </c>
      <c r="X191" s="810">
        <f t="shared" si="36"/>
        <v>15067</v>
      </c>
      <c r="Y191" s="810">
        <f t="shared" si="37"/>
        <v>11263.196</v>
      </c>
    </row>
    <row r="192" spans="1:25" hidden="1" x14ac:dyDescent="0.25">
      <c r="A192" s="812" t="s">
        <v>26</v>
      </c>
      <c r="B192" s="810" t="s">
        <v>260</v>
      </c>
      <c r="C192" s="810">
        <v>116450</v>
      </c>
      <c r="D192" s="810">
        <v>1500</v>
      </c>
      <c r="E192" s="810">
        <f>C192*D192/1000</f>
        <v>174675</v>
      </c>
      <c r="F192" s="810">
        <v>16000</v>
      </c>
      <c r="G192" s="810">
        <v>500</v>
      </c>
      <c r="H192" s="810">
        <f>F192*G192/1000</f>
        <v>8000</v>
      </c>
      <c r="I192" s="810"/>
      <c r="J192" s="810"/>
      <c r="K192" s="810">
        <f>I192*J192/1000</f>
        <v>0</v>
      </c>
      <c r="L192" s="810">
        <v>19200</v>
      </c>
      <c r="M192" s="810">
        <v>650</v>
      </c>
      <c r="N192" s="810">
        <f>L192*M192/1000</f>
        <v>12480</v>
      </c>
      <c r="O192" s="810">
        <v>10000</v>
      </c>
      <c r="P192" s="810">
        <v>6000</v>
      </c>
      <c r="Q192" s="810">
        <f>O192*P192/1000</f>
        <v>60000</v>
      </c>
      <c r="R192" s="810">
        <v>1500</v>
      </c>
      <c r="S192" s="810">
        <v>5600</v>
      </c>
      <c r="T192" s="810">
        <f>R192*S192/1000</f>
        <v>8400</v>
      </c>
      <c r="U192" s="810">
        <v>4250</v>
      </c>
      <c r="V192" s="810">
        <v>6000</v>
      </c>
      <c r="W192" s="810">
        <f>U192*V192/1000</f>
        <v>25500</v>
      </c>
      <c r="X192" s="810">
        <f t="shared" si="36"/>
        <v>167400</v>
      </c>
      <c r="Y192" s="810">
        <f t="shared" si="37"/>
        <v>289055</v>
      </c>
    </row>
    <row r="193" spans="1:25" hidden="1" x14ac:dyDescent="0.25">
      <c r="A193" s="813" t="s">
        <v>27</v>
      </c>
      <c r="B193" s="810" t="s">
        <v>260</v>
      </c>
      <c r="C193" s="810">
        <v>15000</v>
      </c>
      <c r="D193" s="810">
        <v>957</v>
      </c>
      <c r="E193" s="810">
        <f>C193*D193/1000</f>
        <v>14355</v>
      </c>
      <c r="F193" s="810">
        <v>8000</v>
      </c>
      <c r="G193" s="810">
        <v>270</v>
      </c>
      <c r="H193" s="810">
        <f>F193*G193/1000</f>
        <v>2160</v>
      </c>
      <c r="I193" s="810"/>
      <c r="J193" s="810"/>
      <c r="K193" s="810">
        <f>I193*J193/1000</f>
        <v>0</v>
      </c>
      <c r="L193" s="810">
        <v>3500</v>
      </c>
      <c r="M193" s="810">
        <v>500</v>
      </c>
      <c r="N193" s="810">
        <f>L193*M193/1000</f>
        <v>1750</v>
      </c>
      <c r="O193" s="810">
        <v>3200</v>
      </c>
      <c r="P193" s="810">
        <v>5000</v>
      </c>
      <c r="Q193" s="810">
        <f>O193*P193/1000</f>
        <v>16000</v>
      </c>
      <c r="R193" s="810">
        <v>4000</v>
      </c>
      <c r="S193" s="810">
        <v>6000</v>
      </c>
      <c r="T193" s="810">
        <f>R193*S193/1000</f>
        <v>24000</v>
      </c>
      <c r="U193" s="810"/>
      <c r="V193" s="810"/>
      <c r="W193" s="810">
        <f>U193*V193/1000</f>
        <v>0</v>
      </c>
      <c r="X193" s="810">
        <f t="shared" si="36"/>
        <v>33700</v>
      </c>
      <c r="Y193" s="810">
        <f t="shared" si="37"/>
        <v>58265</v>
      </c>
    </row>
    <row r="194" spans="1:25" hidden="1" x14ac:dyDescent="0.25">
      <c r="A194" s="812" t="s">
        <v>50</v>
      </c>
      <c r="B194" s="810" t="s">
        <v>260</v>
      </c>
      <c r="C194" s="810">
        <v>23000</v>
      </c>
      <c r="D194" s="810">
        <v>1440</v>
      </c>
      <c r="E194" s="810">
        <f>C194*D194/1000</f>
        <v>33120</v>
      </c>
      <c r="F194" s="810">
        <v>20500</v>
      </c>
      <c r="G194" s="810">
        <v>340</v>
      </c>
      <c r="H194" s="810">
        <f>F194*G194/1000</f>
        <v>6970</v>
      </c>
      <c r="I194" s="810"/>
      <c r="J194" s="810"/>
      <c r="K194" s="810">
        <f>I194*J194/1000</f>
        <v>0</v>
      </c>
      <c r="L194" s="810">
        <v>4500</v>
      </c>
      <c r="M194" s="810">
        <v>390</v>
      </c>
      <c r="N194" s="810">
        <f>L194*M194/1000</f>
        <v>1755</v>
      </c>
      <c r="O194" s="810">
        <v>3400</v>
      </c>
      <c r="P194" s="810">
        <v>4800</v>
      </c>
      <c r="Q194" s="810">
        <f>O194*P194/1000</f>
        <v>16320</v>
      </c>
      <c r="R194" s="810">
        <v>2000</v>
      </c>
      <c r="S194" s="810">
        <v>5000</v>
      </c>
      <c r="T194" s="810">
        <f>R194*S194/1000</f>
        <v>10000</v>
      </c>
      <c r="U194" s="810"/>
      <c r="V194" s="810"/>
      <c r="W194" s="810">
        <f>U194*V194/1000</f>
        <v>0</v>
      </c>
      <c r="X194" s="810">
        <f t="shared" si="36"/>
        <v>53400</v>
      </c>
      <c r="Y194" s="810">
        <f t="shared" si="37"/>
        <v>68165</v>
      </c>
    </row>
    <row r="195" spans="1:25" hidden="1" x14ac:dyDescent="0.25">
      <c r="A195" s="812" t="s">
        <v>163</v>
      </c>
      <c r="B195" s="810" t="s">
        <v>260</v>
      </c>
      <c r="C195" s="810">
        <v>22000</v>
      </c>
      <c r="D195" s="810">
        <v>950</v>
      </c>
      <c r="E195" s="810">
        <f>C195*D195/1000</f>
        <v>20900</v>
      </c>
      <c r="F195" s="810">
        <v>21300</v>
      </c>
      <c r="G195" s="810">
        <v>355</v>
      </c>
      <c r="H195" s="810">
        <f>F195*G195/1000</f>
        <v>7561.5</v>
      </c>
      <c r="I195" s="810"/>
      <c r="J195" s="810"/>
      <c r="K195" s="810">
        <f>I195*J195/1000</f>
        <v>0</v>
      </c>
      <c r="L195" s="810">
        <v>5000</v>
      </c>
      <c r="M195" s="810">
        <v>650</v>
      </c>
      <c r="N195" s="810">
        <f>L195*M195/1000</f>
        <v>3250</v>
      </c>
      <c r="O195" s="810">
        <v>4450</v>
      </c>
      <c r="P195" s="810">
        <v>4500</v>
      </c>
      <c r="Q195" s="810">
        <f>O195*P195/1000</f>
        <v>20025</v>
      </c>
      <c r="R195" s="810"/>
      <c r="S195" s="810"/>
      <c r="T195" s="810">
        <f>R195*S195/1000</f>
        <v>0</v>
      </c>
      <c r="U195" s="810"/>
      <c r="V195" s="810"/>
      <c r="W195" s="810">
        <f>U195*V195/1000</f>
        <v>0</v>
      </c>
      <c r="X195" s="810">
        <f t="shared" si="36"/>
        <v>52750</v>
      </c>
      <c r="Y195" s="810">
        <f t="shared" si="37"/>
        <v>51736.5</v>
      </c>
    </row>
    <row r="196" spans="1:25" hidden="1" x14ac:dyDescent="0.25">
      <c r="A196" s="812" t="s">
        <v>52</v>
      </c>
      <c r="B196" s="810" t="s">
        <v>260</v>
      </c>
      <c r="C196" s="810">
        <v>36000</v>
      </c>
      <c r="D196" s="810">
        <v>1745</v>
      </c>
      <c r="E196" s="810">
        <f>C196*D196/1000</f>
        <v>62820</v>
      </c>
      <c r="F196" s="810">
        <v>2000</v>
      </c>
      <c r="G196" s="810">
        <v>270</v>
      </c>
      <c r="H196" s="810">
        <f>F196*G196/1000</f>
        <v>540</v>
      </c>
      <c r="I196" s="810"/>
      <c r="J196" s="810"/>
      <c r="K196" s="810">
        <f>I196*J196/1000</f>
        <v>0</v>
      </c>
      <c r="L196" s="810"/>
      <c r="M196" s="810"/>
      <c r="N196" s="810">
        <f>L196*M196/1000</f>
        <v>0</v>
      </c>
      <c r="O196" s="810">
        <v>8800</v>
      </c>
      <c r="P196" s="810">
        <v>4800</v>
      </c>
      <c r="Q196" s="810">
        <f>O196*P196/1000</f>
        <v>42240</v>
      </c>
      <c r="R196" s="810"/>
      <c r="S196" s="810"/>
      <c r="T196" s="810">
        <f>R196*S196/1000</f>
        <v>0</v>
      </c>
      <c r="U196" s="810"/>
      <c r="V196" s="810"/>
      <c r="W196" s="810">
        <f>U196*V196/1000</f>
        <v>0</v>
      </c>
      <c r="X196" s="810">
        <f t="shared" si="36"/>
        <v>46800</v>
      </c>
      <c r="Y196" s="810">
        <f t="shared" si="37"/>
        <v>105600</v>
      </c>
    </row>
    <row r="197" spans="1:25" hidden="1" x14ac:dyDescent="0.25">
      <c r="A197" s="812" t="s">
        <v>15</v>
      </c>
      <c r="B197" s="810" t="s">
        <v>261</v>
      </c>
      <c r="C197" s="820">
        <v>25381</v>
      </c>
      <c r="D197" s="810">
        <f>E197/C197*1000</f>
        <v>176.62818643867459</v>
      </c>
      <c r="E197" s="810">
        <v>4483</v>
      </c>
      <c r="F197" s="810">
        <v>25581</v>
      </c>
      <c r="G197" s="810">
        <f>H197/F197*1000</f>
        <v>167.19440209530512</v>
      </c>
      <c r="H197" s="810">
        <v>4277</v>
      </c>
      <c r="I197" s="810"/>
      <c r="J197" s="810"/>
      <c r="K197" s="810"/>
      <c r="L197" s="810">
        <v>314</v>
      </c>
      <c r="M197" s="810">
        <f>N197/L197*1000</f>
        <v>1996.8152866242037</v>
      </c>
      <c r="N197" s="810">
        <v>627</v>
      </c>
      <c r="O197" s="810"/>
      <c r="P197" s="810"/>
      <c r="Q197" s="810"/>
      <c r="R197" s="810"/>
      <c r="S197" s="810"/>
      <c r="T197" s="810"/>
      <c r="U197" s="810"/>
      <c r="V197" s="810"/>
      <c r="W197" s="810"/>
      <c r="X197" s="810">
        <f t="shared" si="36"/>
        <v>51276</v>
      </c>
      <c r="Y197" s="810">
        <f t="shared" si="37"/>
        <v>9387</v>
      </c>
    </row>
    <row r="198" spans="1:25" hidden="1" x14ac:dyDescent="0.25">
      <c r="A198" s="812" t="s">
        <v>89</v>
      </c>
      <c r="B198" s="810" t="s">
        <v>261</v>
      </c>
      <c r="C198" s="900"/>
      <c r="D198" s="818"/>
      <c r="E198" s="818"/>
      <c r="F198" s="818"/>
      <c r="G198" s="818"/>
      <c r="H198" s="818"/>
      <c r="I198" s="818"/>
      <c r="J198" s="818"/>
      <c r="K198" s="818"/>
      <c r="L198" s="818"/>
      <c r="M198" s="818"/>
      <c r="N198" s="818"/>
      <c r="O198" s="818"/>
      <c r="P198" s="818"/>
      <c r="Q198" s="818"/>
      <c r="R198" s="818"/>
      <c r="S198" s="818"/>
      <c r="T198" s="818"/>
      <c r="U198" s="818"/>
      <c r="V198" s="818"/>
      <c r="W198" s="818"/>
      <c r="X198" s="818">
        <f t="shared" si="36"/>
        <v>0</v>
      </c>
      <c r="Y198" s="818">
        <f t="shared" si="37"/>
        <v>0</v>
      </c>
    </row>
    <row r="199" spans="1:25" hidden="1" x14ac:dyDescent="0.25">
      <c r="A199" s="812" t="s">
        <v>17</v>
      </c>
      <c r="B199" s="810" t="s">
        <v>261</v>
      </c>
      <c r="C199" s="820">
        <v>14136</v>
      </c>
      <c r="D199" s="810">
        <f>E199/C199*1000</f>
        <v>603.56536502546692</v>
      </c>
      <c r="E199" s="810">
        <v>8532</v>
      </c>
      <c r="F199" s="810">
        <v>167</v>
      </c>
      <c r="G199" s="810">
        <f>H199/F199*1000</f>
        <v>137.7245508982036</v>
      </c>
      <c r="H199" s="810">
        <v>23</v>
      </c>
      <c r="I199" s="810"/>
      <c r="J199" s="810"/>
      <c r="K199" s="810"/>
      <c r="L199" s="810">
        <v>567</v>
      </c>
      <c r="M199" s="810">
        <f>N199/L199*1000</f>
        <v>195.76719576719574</v>
      </c>
      <c r="N199" s="810">
        <v>111</v>
      </c>
      <c r="O199" s="810"/>
      <c r="P199" s="810"/>
      <c r="Q199" s="810"/>
      <c r="R199" s="810"/>
      <c r="S199" s="810"/>
      <c r="T199" s="810"/>
      <c r="U199" s="810"/>
      <c r="V199" s="810"/>
      <c r="W199" s="810"/>
      <c r="X199" s="810">
        <f t="shared" si="36"/>
        <v>14870</v>
      </c>
      <c r="Y199" s="810">
        <f t="shared" si="37"/>
        <v>8666</v>
      </c>
    </row>
    <row r="200" spans="1:25" hidden="1" x14ac:dyDescent="0.25">
      <c r="A200" s="812" t="s">
        <v>103</v>
      </c>
      <c r="B200" s="810" t="s">
        <v>261</v>
      </c>
      <c r="C200" s="820">
        <v>86154</v>
      </c>
      <c r="D200" s="810">
        <f>E200/C200*1000</f>
        <v>505.50177588968592</v>
      </c>
      <c r="E200" s="810">
        <v>43551</v>
      </c>
      <c r="F200" s="810">
        <v>16592</v>
      </c>
      <c r="G200" s="810">
        <f>H200/F200*1000</f>
        <v>305.50867888138862</v>
      </c>
      <c r="H200" s="810">
        <v>5069</v>
      </c>
      <c r="I200" s="810"/>
      <c r="J200" s="810"/>
      <c r="K200" s="810"/>
      <c r="L200" s="810">
        <v>17894</v>
      </c>
      <c r="M200" s="810">
        <f>N200/L200*1000</f>
        <v>573.09712752878056</v>
      </c>
      <c r="N200" s="810">
        <v>10255</v>
      </c>
      <c r="O200" s="810">
        <v>3000</v>
      </c>
      <c r="P200" s="810">
        <f>Q200/O200*1000</f>
        <v>6000</v>
      </c>
      <c r="Q200" s="810">
        <v>18000</v>
      </c>
      <c r="R200" s="810">
        <v>1200</v>
      </c>
      <c r="S200" s="810">
        <v>8000</v>
      </c>
      <c r="T200" s="810">
        <v>9600</v>
      </c>
      <c r="U200" s="810"/>
      <c r="V200" s="810"/>
      <c r="W200" s="810"/>
      <c r="X200" s="810">
        <f t="shared" si="36"/>
        <v>124840</v>
      </c>
      <c r="Y200" s="810">
        <f t="shared" si="37"/>
        <v>86475</v>
      </c>
    </row>
    <row r="201" spans="1:25" hidden="1" x14ac:dyDescent="0.25">
      <c r="A201" s="812" t="s">
        <v>20</v>
      </c>
      <c r="B201" s="810" t="s">
        <v>261</v>
      </c>
      <c r="C201" s="820">
        <v>19967</v>
      </c>
      <c r="D201" s="810">
        <f>E201/C201*1000</f>
        <v>1404.2670406170182</v>
      </c>
      <c r="E201" s="810">
        <v>28039</v>
      </c>
      <c r="F201" s="810">
        <v>6541</v>
      </c>
      <c r="G201" s="810">
        <f>H201/F201*1000</f>
        <v>289.09952606635068</v>
      </c>
      <c r="H201" s="810">
        <v>1891</v>
      </c>
      <c r="I201" s="810">
        <v>950</v>
      </c>
      <c r="J201" s="897">
        <v>475</v>
      </c>
      <c r="K201" s="810">
        <f>I201*J201/1000</f>
        <v>451.25</v>
      </c>
      <c r="L201" s="810">
        <v>3338</v>
      </c>
      <c r="M201" s="810">
        <f>N201/L201*1000</f>
        <v>203.41521869382865</v>
      </c>
      <c r="N201" s="810">
        <v>679</v>
      </c>
      <c r="O201" s="810"/>
      <c r="P201" s="810"/>
      <c r="Q201" s="810"/>
      <c r="R201" s="810"/>
      <c r="S201" s="810"/>
      <c r="T201" s="810"/>
      <c r="U201" s="810"/>
      <c r="V201" s="810"/>
      <c r="W201" s="810"/>
      <c r="X201" s="810">
        <f t="shared" si="36"/>
        <v>30796</v>
      </c>
      <c r="Y201" s="810">
        <f t="shared" si="37"/>
        <v>31060.25</v>
      </c>
    </row>
    <row r="202" spans="1:25" hidden="1" x14ac:dyDescent="0.25">
      <c r="A202" s="812" t="s">
        <v>21</v>
      </c>
      <c r="B202" s="810" t="s">
        <v>261</v>
      </c>
      <c r="C202" s="820"/>
      <c r="D202" s="810"/>
      <c r="E202" s="810"/>
      <c r="F202" s="810"/>
      <c r="G202" s="810"/>
      <c r="H202" s="810"/>
      <c r="I202" s="810"/>
      <c r="J202" s="810"/>
      <c r="K202" s="810"/>
      <c r="L202" s="810"/>
      <c r="M202" s="810"/>
      <c r="N202" s="810"/>
      <c r="O202" s="810"/>
      <c r="P202" s="810"/>
      <c r="Q202" s="810"/>
      <c r="R202" s="810"/>
      <c r="S202" s="810"/>
      <c r="T202" s="810"/>
      <c r="U202" s="810"/>
      <c r="V202" s="810"/>
      <c r="W202" s="810"/>
      <c r="X202" s="810">
        <f t="shared" si="36"/>
        <v>0</v>
      </c>
      <c r="Y202" s="810">
        <f t="shared" si="37"/>
        <v>0</v>
      </c>
    </row>
    <row r="203" spans="1:25" hidden="1" x14ac:dyDescent="0.25">
      <c r="A203" s="812" t="s">
        <v>22</v>
      </c>
      <c r="B203" s="810" t="s">
        <v>261</v>
      </c>
      <c r="C203" s="820"/>
      <c r="D203" s="810"/>
      <c r="E203" s="810"/>
      <c r="F203" s="810"/>
      <c r="G203" s="810"/>
      <c r="H203" s="810"/>
      <c r="I203" s="810"/>
      <c r="J203" s="897"/>
      <c r="K203" s="810"/>
      <c r="L203" s="810"/>
      <c r="M203" s="810"/>
      <c r="N203" s="810"/>
      <c r="O203" s="810">
        <v>195</v>
      </c>
      <c r="P203" s="810">
        <f>Q203/O203*1000</f>
        <v>7692.3076923076924</v>
      </c>
      <c r="Q203" s="810">
        <v>1500</v>
      </c>
      <c r="R203" s="810">
        <v>157</v>
      </c>
      <c r="S203" s="810">
        <v>8000</v>
      </c>
      <c r="T203" s="810">
        <f>R203*S203/1000</f>
        <v>1256</v>
      </c>
      <c r="U203" s="810"/>
      <c r="V203" s="810"/>
      <c r="W203" s="810"/>
      <c r="X203" s="810">
        <f t="shared" si="36"/>
        <v>352</v>
      </c>
      <c r="Y203" s="810">
        <f t="shared" si="37"/>
        <v>2756</v>
      </c>
    </row>
    <row r="204" spans="1:25" hidden="1" x14ac:dyDescent="0.25">
      <c r="A204" s="813" t="s">
        <v>23</v>
      </c>
      <c r="B204" s="810" t="s">
        <v>261</v>
      </c>
      <c r="C204" s="820">
        <v>125348</v>
      </c>
      <c r="D204" s="810">
        <f>E204/C204*1000</f>
        <v>647.25404473944536</v>
      </c>
      <c r="E204" s="810">
        <v>81132</v>
      </c>
      <c r="F204" s="810">
        <v>8517</v>
      </c>
      <c r="G204" s="810">
        <f>H204/F204*1000</f>
        <v>377.94998238816487</v>
      </c>
      <c r="H204" s="810">
        <v>3219</v>
      </c>
      <c r="I204" s="810"/>
      <c r="J204" s="810"/>
      <c r="K204" s="810"/>
      <c r="L204" s="810">
        <v>7772</v>
      </c>
      <c r="M204" s="810">
        <f>N204/L204*1000</f>
        <v>218.99125064333506</v>
      </c>
      <c r="N204" s="810">
        <v>1702</v>
      </c>
      <c r="O204" s="810"/>
      <c r="P204" s="810"/>
      <c r="Q204" s="810"/>
      <c r="R204" s="810"/>
      <c r="S204" s="810"/>
      <c r="T204" s="810"/>
      <c r="U204" s="810"/>
      <c r="V204" s="810"/>
      <c r="W204" s="810"/>
      <c r="X204" s="810">
        <f t="shared" si="36"/>
        <v>141637</v>
      </c>
      <c r="Y204" s="810">
        <f t="shared" si="37"/>
        <v>86053</v>
      </c>
    </row>
    <row r="205" spans="1:25" hidden="1" x14ac:dyDescent="0.25">
      <c r="A205" s="812" t="s">
        <v>24</v>
      </c>
      <c r="B205" s="810" t="s">
        <v>261</v>
      </c>
      <c r="C205" s="820">
        <v>21304</v>
      </c>
      <c r="D205" s="810">
        <f>E205/C205*1000</f>
        <v>1048.770184003004</v>
      </c>
      <c r="E205" s="810">
        <v>22343</v>
      </c>
      <c r="F205" s="810">
        <v>2332</v>
      </c>
      <c r="G205" s="810">
        <f>H205/F205*1000</f>
        <v>696.39794168096057</v>
      </c>
      <c r="H205" s="810">
        <v>1624</v>
      </c>
      <c r="I205" s="810">
        <v>75</v>
      </c>
      <c r="J205" s="810">
        <v>500</v>
      </c>
      <c r="K205" s="810">
        <f t="shared" ref="K205:K210" si="38">I205*J205/1000</f>
        <v>37.5</v>
      </c>
      <c r="L205" s="810">
        <v>9508</v>
      </c>
      <c r="M205" s="810">
        <f>N205/L205*1000</f>
        <v>1423.9587715607909</v>
      </c>
      <c r="N205" s="810">
        <v>13539</v>
      </c>
      <c r="O205" s="810">
        <v>1340</v>
      </c>
      <c r="P205" s="810">
        <v>4000</v>
      </c>
      <c r="Q205" s="810">
        <f>O205*P205/1000</f>
        <v>5360</v>
      </c>
      <c r="R205" s="810">
        <v>125</v>
      </c>
      <c r="S205" s="810">
        <v>8000</v>
      </c>
      <c r="T205" s="810">
        <f>R205*S205/1000</f>
        <v>1000</v>
      </c>
      <c r="U205" s="810"/>
      <c r="V205" s="810"/>
      <c r="W205" s="810"/>
      <c r="X205" s="810">
        <f t="shared" si="36"/>
        <v>34684</v>
      </c>
      <c r="Y205" s="810">
        <f t="shared" si="37"/>
        <v>43903.5</v>
      </c>
    </row>
    <row r="206" spans="1:25" hidden="1" x14ac:dyDescent="0.25">
      <c r="A206" s="812" t="s">
        <v>26</v>
      </c>
      <c r="B206" s="810" t="s">
        <v>261</v>
      </c>
      <c r="C206" s="810">
        <v>104053</v>
      </c>
      <c r="D206" s="810">
        <f t="shared" ref="D206:D210" si="39">E206/C206*1000</f>
        <v>1065.7165098555542</v>
      </c>
      <c r="E206" s="810">
        <v>110891</v>
      </c>
      <c r="F206" s="810">
        <v>24450</v>
      </c>
      <c r="G206" s="810">
        <f t="shared" ref="G206:G210" si="40">H206/F206*1000</f>
        <v>340.12269938650309</v>
      </c>
      <c r="H206" s="810">
        <v>8316</v>
      </c>
      <c r="I206" s="810">
        <v>2500</v>
      </c>
      <c r="J206" s="810">
        <v>490</v>
      </c>
      <c r="K206" s="810">
        <f t="shared" si="38"/>
        <v>1225</v>
      </c>
      <c r="L206" s="810">
        <v>15771</v>
      </c>
      <c r="M206" s="810">
        <f t="shared" ref="M206:M210" si="41">N206/L206*1000</f>
        <v>639.97210069114192</v>
      </c>
      <c r="N206" s="810">
        <v>10093</v>
      </c>
      <c r="O206" s="810">
        <v>13389</v>
      </c>
      <c r="P206" s="810">
        <f t="shared" ref="P206:P210" si="42">Q206/O206*1000</f>
        <v>3479.6474718052132</v>
      </c>
      <c r="Q206" s="810">
        <v>46589</v>
      </c>
      <c r="R206" s="810">
        <v>1500</v>
      </c>
      <c r="S206" s="810">
        <v>5000</v>
      </c>
      <c r="T206" s="810">
        <f>R206*S206/1000</f>
        <v>7500</v>
      </c>
      <c r="U206" s="810">
        <v>4692</v>
      </c>
      <c r="V206" s="810">
        <f>W206/U206*1000</f>
        <v>6000</v>
      </c>
      <c r="W206" s="810">
        <v>28152</v>
      </c>
      <c r="X206" s="810">
        <f t="shared" si="36"/>
        <v>166355</v>
      </c>
      <c r="Y206" s="810">
        <f t="shared" si="37"/>
        <v>212766</v>
      </c>
    </row>
    <row r="207" spans="1:25" hidden="1" x14ac:dyDescent="0.25">
      <c r="A207" s="813" t="s">
        <v>27</v>
      </c>
      <c r="B207" s="810" t="s">
        <v>261</v>
      </c>
      <c r="C207" s="810">
        <v>37375</v>
      </c>
      <c r="D207" s="810">
        <f t="shared" si="39"/>
        <v>665.09698996655516</v>
      </c>
      <c r="E207" s="810">
        <v>24858</v>
      </c>
      <c r="F207" s="810">
        <v>17806</v>
      </c>
      <c r="G207" s="810">
        <f t="shared" si="40"/>
        <v>377.00775019656294</v>
      </c>
      <c r="H207" s="810">
        <v>6713</v>
      </c>
      <c r="I207" s="810">
        <v>1250</v>
      </c>
      <c r="J207" s="810">
        <v>400</v>
      </c>
      <c r="K207" s="810">
        <f t="shared" si="38"/>
        <v>500</v>
      </c>
      <c r="L207" s="810">
        <v>4935</v>
      </c>
      <c r="M207" s="810">
        <f t="shared" si="41"/>
        <v>614.9949341438703</v>
      </c>
      <c r="N207" s="810">
        <v>3035</v>
      </c>
      <c r="O207" s="810">
        <v>7315</v>
      </c>
      <c r="P207" s="810">
        <f t="shared" si="42"/>
        <v>4537.3889268626108</v>
      </c>
      <c r="Q207" s="810">
        <v>33191</v>
      </c>
      <c r="R207" s="810">
        <v>1000</v>
      </c>
      <c r="S207" s="810">
        <v>5000</v>
      </c>
      <c r="T207" s="810">
        <f>R207*S207/1000</f>
        <v>5000</v>
      </c>
      <c r="U207" s="810"/>
      <c r="V207" s="810"/>
      <c r="W207" s="810"/>
      <c r="X207" s="810">
        <f t="shared" si="36"/>
        <v>69681</v>
      </c>
      <c r="Y207" s="810">
        <f t="shared" si="37"/>
        <v>73297</v>
      </c>
    </row>
    <row r="208" spans="1:25" hidden="1" x14ac:dyDescent="0.25">
      <c r="A208" s="812" t="s">
        <v>50</v>
      </c>
      <c r="B208" s="810" t="s">
        <v>261</v>
      </c>
      <c r="C208" s="810">
        <v>64886</v>
      </c>
      <c r="D208" s="810">
        <f t="shared" si="39"/>
        <v>912.9087938846593</v>
      </c>
      <c r="E208" s="810">
        <v>59235</v>
      </c>
      <c r="F208" s="810">
        <v>36253</v>
      </c>
      <c r="G208" s="810">
        <f t="shared" si="40"/>
        <v>418.58604805119575</v>
      </c>
      <c r="H208" s="810">
        <v>15175</v>
      </c>
      <c r="I208" s="810">
        <v>2000</v>
      </c>
      <c r="J208" s="810">
        <v>410</v>
      </c>
      <c r="K208" s="810">
        <f t="shared" si="38"/>
        <v>820</v>
      </c>
      <c r="L208" s="810">
        <v>1850</v>
      </c>
      <c r="M208" s="810">
        <f t="shared" si="41"/>
        <v>350.27027027027026</v>
      </c>
      <c r="N208" s="810">
        <v>648</v>
      </c>
      <c r="O208" s="810">
        <v>5883</v>
      </c>
      <c r="P208" s="810">
        <f t="shared" si="42"/>
        <v>4226.5850756416794</v>
      </c>
      <c r="Q208" s="810">
        <v>24865</v>
      </c>
      <c r="R208" s="810">
        <v>1000</v>
      </c>
      <c r="S208" s="810">
        <v>4500</v>
      </c>
      <c r="T208" s="810">
        <f>R208*S208/1000</f>
        <v>4500</v>
      </c>
      <c r="U208" s="810"/>
      <c r="V208" s="810"/>
      <c r="W208" s="810"/>
      <c r="X208" s="810">
        <f t="shared" si="36"/>
        <v>111872</v>
      </c>
      <c r="Y208" s="810">
        <f t="shared" si="37"/>
        <v>105243</v>
      </c>
    </row>
    <row r="209" spans="1:25" hidden="1" x14ac:dyDescent="0.25">
      <c r="A209" s="812" t="s">
        <v>163</v>
      </c>
      <c r="B209" s="810" t="s">
        <v>261</v>
      </c>
      <c r="C209" s="810">
        <v>50231</v>
      </c>
      <c r="D209" s="810">
        <f t="shared" si="39"/>
        <v>965.59893292986396</v>
      </c>
      <c r="E209" s="810">
        <v>48503</v>
      </c>
      <c r="F209" s="810">
        <v>26795</v>
      </c>
      <c r="G209" s="810">
        <f t="shared" si="40"/>
        <v>394.06605710020528</v>
      </c>
      <c r="H209" s="810">
        <v>10559</v>
      </c>
      <c r="I209" s="810">
        <v>1000</v>
      </c>
      <c r="J209" s="810">
        <v>445</v>
      </c>
      <c r="K209" s="810">
        <f t="shared" si="38"/>
        <v>445</v>
      </c>
      <c r="L209" s="810">
        <v>2958</v>
      </c>
      <c r="M209" s="810">
        <f t="shared" si="41"/>
        <v>569.97971602434075</v>
      </c>
      <c r="N209" s="810">
        <v>1686</v>
      </c>
      <c r="O209" s="810">
        <v>6609</v>
      </c>
      <c r="P209" s="810">
        <f t="shared" si="42"/>
        <v>3679.9818429414436</v>
      </c>
      <c r="Q209" s="810">
        <v>24321</v>
      </c>
      <c r="R209" s="810"/>
      <c r="S209" s="810"/>
      <c r="T209" s="810"/>
      <c r="U209" s="810"/>
      <c r="V209" s="810"/>
      <c r="W209" s="810"/>
      <c r="X209" s="810">
        <f t="shared" si="36"/>
        <v>87593</v>
      </c>
      <c r="Y209" s="810">
        <f t="shared" si="37"/>
        <v>85514</v>
      </c>
    </row>
    <row r="210" spans="1:25" hidden="1" x14ac:dyDescent="0.25">
      <c r="A210" s="812" t="s">
        <v>52</v>
      </c>
      <c r="B210" s="810" t="s">
        <v>261</v>
      </c>
      <c r="C210" s="810">
        <v>76166</v>
      </c>
      <c r="D210" s="810">
        <f t="shared" si="39"/>
        <v>1127.5634797678756</v>
      </c>
      <c r="E210" s="810">
        <v>85882</v>
      </c>
      <c r="F210" s="810">
        <v>13448</v>
      </c>
      <c r="G210" s="810">
        <f t="shared" si="40"/>
        <v>338.26591314693633</v>
      </c>
      <c r="H210" s="810">
        <v>4549</v>
      </c>
      <c r="I210" s="810">
        <v>3500</v>
      </c>
      <c r="J210" s="810">
        <v>500</v>
      </c>
      <c r="K210" s="810">
        <f t="shared" si="38"/>
        <v>1750</v>
      </c>
      <c r="L210" s="810">
        <v>10577</v>
      </c>
      <c r="M210" s="810">
        <f t="shared" si="41"/>
        <v>580.03214522076212</v>
      </c>
      <c r="N210" s="810">
        <v>6135</v>
      </c>
      <c r="O210" s="810">
        <v>10851</v>
      </c>
      <c r="P210" s="810">
        <f t="shared" si="42"/>
        <v>3474.4263201548242</v>
      </c>
      <c r="Q210" s="810">
        <v>37701</v>
      </c>
      <c r="R210" s="810"/>
      <c r="S210" s="810"/>
      <c r="T210" s="810"/>
      <c r="U210" s="810"/>
      <c r="V210" s="810"/>
      <c r="W210" s="810"/>
      <c r="X210" s="810">
        <f t="shared" si="36"/>
        <v>114542</v>
      </c>
      <c r="Y210" s="810">
        <f t="shared" si="37"/>
        <v>136017</v>
      </c>
    </row>
    <row r="211" spans="1:25" hidden="1" x14ac:dyDescent="0.25">
      <c r="A211" s="812" t="s">
        <v>15</v>
      </c>
      <c r="B211" s="810" t="s">
        <v>262</v>
      </c>
      <c r="C211" s="820">
        <v>24607</v>
      </c>
      <c r="D211" s="810">
        <v>600</v>
      </c>
      <c r="E211" s="810">
        <f>C211*D211/1000</f>
        <v>14764.2</v>
      </c>
      <c r="F211" s="810">
        <v>4008</v>
      </c>
      <c r="G211" s="810">
        <v>250</v>
      </c>
      <c r="H211" s="810">
        <f>F211*G211/1000</f>
        <v>1002</v>
      </c>
      <c r="I211" s="810"/>
      <c r="J211" s="810"/>
      <c r="K211" s="810"/>
      <c r="L211" s="810">
        <v>14097</v>
      </c>
      <c r="M211" s="810">
        <v>500</v>
      </c>
      <c r="N211" s="810">
        <f>L211*M211/1000</f>
        <v>7048.5</v>
      </c>
      <c r="O211" s="810"/>
      <c r="P211" s="810"/>
      <c r="Q211" s="810"/>
      <c r="R211" s="810"/>
      <c r="S211" s="810"/>
      <c r="T211" s="810"/>
      <c r="U211" s="810"/>
      <c r="V211" s="810"/>
      <c r="W211" s="810"/>
      <c r="X211" s="810">
        <f t="shared" si="36"/>
        <v>42712</v>
      </c>
      <c r="Y211" s="810">
        <f t="shared" si="37"/>
        <v>22814.7</v>
      </c>
    </row>
    <row r="212" spans="1:25" hidden="1" x14ac:dyDescent="0.25">
      <c r="A212" s="887" t="s">
        <v>187</v>
      </c>
      <c r="B212" s="810" t="s">
        <v>262</v>
      </c>
      <c r="C212" s="872"/>
      <c r="D212" s="872"/>
      <c r="E212" s="872"/>
      <c r="F212" s="872"/>
      <c r="G212" s="872"/>
      <c r="H212" s="872"/>
      <c r="I212" s="872"/>
      <c r="J212" s="872"/>
      <c r="K212" s="872"/>
      <c r="L212" s="872"/>
      <c r="M212" s="872"/>
      <c r="N212" s="872"/>
      <c r="O212" s="872"/>
      <c r="P212" s="872"/>
      <c r="Q212" s="872"/>
      <c r="R212" s="872"/>
      <c r="S212" s="872"/>
      <c r="T212" s="872"/>
      <c r="U212" s="872"/>
      <c r="V212" s="872"/>
      <c r="W212" s="872"/>
      <c r="X212" s="810">
        <f t="shared" si="36"/>
        <v>0</v>
      </c>
      <c r="Y212" s="810">
        <f t="shared" si="37"/>
        <v>0</v>
      </c>
    </row>
    <row r="213" spans="1:25" hidden="1" x14ac:dyDescent="0.25">
      <c r="A213" s="812" t="s">
        <v>103</v>
      </c>
      <c r="B213" s="810" t="s">
        <v>262</v>
      </c>
      <c r="C213" s="898">
        <v>39498</v>
      </c>
      <c r="D213" s="810">
        <v>1024</v>
      </c>
      <c r="E213" s="810">
        <v>40460</v>
      </c>
      <c r="F213" s="810">
        <v>8474</v>
      </c>
      <c r="G213" s="810">
        <v>500</v>
      </c>
      <c r="H213" s="810">
        <f>F213*G213/1000</f>
        <v>4237</v>
      </c>
      <c r="I213" s="810"/>
      <c r="J213" s="810"/>
      <c r="K213" s="810"/>
      <c r="L213" s="810">
        <v>12418</v>
      </c>
      <c r="M213" s="810">
        <v>1220</v>
      </c>
      <c r="N213" s="810">
        <f>L213*M213/1000</f>
        <v>15149.96</v>
      </c>
      <c r="O213" s="810"/>
      <c r="P213" s="810"/>
      <c r="Q213" s="810"/>
      <c r="R213" s="810"/>
      <c r="S213" s="810"/>
      <c r="T213" s="810"/>
      <c r="U213" s="810"/>
      <c r="V213" s="810"/>
      <c r="W213" s="810"/>
      <c r="X213" s="810">
        <f t="shared" si="36"/>
        <v>60390</v>
      </c>
      <c r="Y213" s="810">
        <f t="shared" si="37"/>
        <v>59846.96</v>
      </c>
    </row>
    <row r="214" spans="1:25" hidden="1" x14ac:dyDescent="0.25">
      <c r="A214" s="812" t="s">
        <v>20</v>
      </c>
      <c r="B214" s="810" t="s">
        <v>262</v>
      </c>
      <c r="C214" s="898">
        <v>26497</v>
      </c>
      <c r="D214" s="810">
        <v>1530</v>
      </c>
      <c r="E214" s="810">
        <f>C214*D214/1000</f>
        <v>40540.410000000003</v>
      </c>
      <c r="F214" s="810">
        <v>7404</v>
      </c>
      <c r="G214" s="810">
        <v>500</v>
      </c>
      <c r="H214" s="810">
        <f>F214*G214/1000</f>
        <v>3702</v>
      </c>
      <c r="I214" s="810"/>
      <c r="J214" s="810"/>
      <c r="K214" s="810"/>
      <c r="L214" s="810">
        <v>4716</v>
      </c>
      <c r="M214" s="810">
        <v>650</v>
      </c>
      <c r="N214" s="810">
        <f>L214*M214/1000</f>
        <v>3065.4</v>
      </c>
      <c r="O214" s="810"/>
      <c r="P214" s="810"/>
      <c r="Q214" s="810"/>
      <c r="R214" s="810"/>
      <c r="S214" s="810"/>
      <c r="T214" s="810"/>
      <c r="U214" s="810"/>
      <c r="V214" s="810"/>
      <c r="W214" s="810"/>
      <c r="X214" s="810">
        <f t="shared" si="36"/>
        <v>38617</v>
      </c>
      <c r="Y214" s="810">
        <f t="shared" si="37"/>
        <v>47307.810000000005</v>
      </c>
    </row>
    <row r="215" spans="1:25" hidden="1" x14ac:dyDescent="0.25">
      <c r="A215" s="812" t="s">
        <v>133</v>
      </c>
      <c r="B215" s="810" t="s">
        <v>262</v>
      </c>
      <c r="C215" s="820">
        <v>63150</v>
      </c>
      <c r="D215" s="810">
        <v>750</v>
      </c>
      <c r="E215" s="810">
        <f>C215*D215/1000</f>
        <v>47362.5</v>
      </c>
      <c r="F215" s="810">
        <v>3400</v>
      </c>
      <c r="G215" s="810">
        <v>450</v>
      </c>
      <c r="H215" s="810">
        <f>F215*G215/1000</f>
        <v>1530</v>
      </c>
      <c r="I215" s="810"/>
      <c r="J215" s="810"/>
      <c r="K215" s="810"/>
      <c r="L215" s="810">
        <v>15633</v>
      </c>
      <c r="M215" s="810">
        <v>450</v>
      </c>
      <c r="N215" s="810">
        <f>L215*M215/1000</f>
        <v>7034.85</v>
      </c>
      <c r="O215" s="810"/>
      <c r="P215" s="810"/>
      <c r="Q215" s="810"/>
      <c r="R215" s="810"/>
      <c r="S215" s="810"/>
      <c r="T215" s="810"/>
      <c r="U215" s="810"/>
      <c r="V215" s="810"/>
      <c r="W215" s="810"/>
      <c r="X215" s="810">
        <f t="shared" si="36"/>
        <v>82183</v>
      </c>
      <c r="Y215" s="810">
        <f t="shared" si="37"/>
        <v>55927.35</v>
      </c>
    </row>
    <row r="216" spans="1:25" hidden="1" x14ac:dyDescent="0.25">
      <c r="A216" s="812" t="s">
        <v>21</v>
      </c>
      <c r="B216" s="810" t="s">
        <v>262</v>
      </c>
      <c r="C216" s="872"/>
      <c r="D216" s="872"/>
      <c r="E216" s="872"/>
      <c r="F216" s="872"/>
      <c r="G216" s="872"/>
      <c r="H216" s="872"/>
      <c r="I216" s="810"/>
      <c r="J216" s="810"/>
      <c r="K216" s="810"/>
      <c r="L216" s="872"/>
      <c r="M216" s="872"/>
      <c r="N216" s="872"/>
      <c r="O216" s="810"/>
      <c r="P216" s="810"/>
      <c r="Q216" s="810"/>
      <c r="R216" s="810"/>
      <c r="S216" s="810"/>
      <c r="T216" s="810"/>
      <c r="U216" s="810"/>
      <c r="V216" s="810"/>
      <c r="W216" s="810"/>
      <c r="X216" s="810">
        <f t="shared" si="36"/>
        <v>0</v>
      </c>
      <c r="Y216" s="810">
        <f t="shared" si="37"/>
        <v>0</v>
      </c>
    </row>
    <row r="217" spans="1:25" hidden="1" x14ac:dyDescent="0.25">
      <c r="A217" s="812" t="s">
        <v>22</v>
      </c>
      <c r="B217" s="810" t="s">
        <v>262</v>
      </c>
      <c r="C217" s="872"/>
      <c r="D217" s="872"/>
      <c r="E217" s="872"/>
      <c r="F217" s="872"/>
      <c r="G217" s="872"/>
      <c r="H217" s="872"/>
      <c r="I217" s="810"/>
      <c r="J217" s="897"/>
      <c r="K217" s="810"/>
      <c r="L217" s="810">
        <v>6</v>
      </c>
      <c r="M217" s="810">
        <v>835</v>
      </c>
      <c r="N217" s="810">
        <f>L217*M217/1000</f>
        <v>5.01</v>
      </c>
      <c r="O217" s="810">
        <v>71</v>
      </c>
      <c r="P217" s="810">
        <v>22675</v>
      </c>
      <c r="Q217" s="810">
        <f>O217*P217/1000</f>
        <v>1609.925</v>
      </c>
      <c r="R217" s="810">
        <v>30</v>
      </c>
      <c r="S217" s="810">
        <v>16400</v>
      </c>
      <c r="T217" s="810">
        <f>R217*S217/1000</f>
        <v>492</v>
      </c>
      <c r="U217" s="810"/>
      <c r="V217" s="810"/>
      <c r="W217" s="810"/>
      <c r="X217" s="810">
        <f t="shared" si="36"/>
        <v>107</v>
      </c>
      <c r="Y217" s="810">
        <f t="shared" si="37"/>
        <v>2106.9349999999999</v>
      </c>
    </row>
    <row r="218" spans="1:25" hidden="1" x14ac:dyDescent="0.25">
      <c r="A218" s="813" t="s">
        <v>23</v>
      </c>
      <c r="B218" s="810" t="s">
        <v>262</v>
      </c>
      <c r="C218" s="820">
        <v>173035</v>
      </c>
      <c r="D218" s="810">
        <v>950</v>
      </c>
      <c r="E218" s="810">
        <f>C218*D218/1000</f>
        <v>164383.25</v>
      </c>
      <c r="F218" s="810">
        <v>2927</v>
      </c>
      <c r="G218" s="810">
        <v>510</v>
      </c>
      <c r="H218" s="810">
        <f>F218*G218/1000</f>
        <v>1492.77</v>
      </c>
      <c r="I218" s="810"/>
      <c r="J218" s="810"/>
      <c r="K218" s="810"/>
      <c r="L218" s="810">
        <v>3548</v>
      </c>
      <c r="M218" s="810">
        <v>700</v>
      </c>
      <c r="N218" s="810">
        <f>L218*M218/1000</f>
        <v>2483.6</v>
      </c>
      <c r="O218" s="810"/>
      <c r="P218" s="810"/>
      <c r="Q218" s="810"/>
      <c r="R218" s="810"/>
      <c r="S218" s="810"/>
      <c r="T218" s="810"/>
      <c r="U218" s="810"/>
      <c r="V218" s="810"/>
      <c r="W218" s="810"/>
      <c r="X218" s="810">
        <f t="shared" si="36"/>
        <v>179510</v>
      </c>
      <c r="Y218" s="810">
        <f t="shared" si="37"/>
        <v>168359.62</v>
      </c>
    </row>
    <row r="219" spans="1:25" hidden="1" x14ac:dyDescent="0.25">
      <c r="A219" s="812" t="s">
        <v>24</v>
      </c>
      <c r="B219" s="810" t="s">
        <v>262</v>
      </c>
      <c r="C219" s="820">
        <v>12133</v>
      </c>
      <c r="D219" s="810">
        <v>900</v>
      </c>
      <c r="E219" s="810">
        <f>C219*D219/1000</f>
        <v>10919.7</v>
      </c>
      <c r="F219" s="810">
        <v>8736</v>
      </c>
      <c r="G219" s="810">
        <v>500</v>
      </c>
      <c r="H219" s="810">
        <f>F219*G219/1000</f>
        <v>4368</v>
      </c>
      <c r="I219" s="810"/>
      <c r="J219" s="897"/>
      <c r="K219" s="810"/>
      <c r="L219" s="810">
        <v>3197</v>
      </c>
      <c r="M219" s="810">
        <v>600</v>
      </c>
      <c r="N219" s="810">
        <f>L219*M219/1000</f>
        <v>1918.2</v>
      </c>
      <c r="O219" s="810"/>
      <c r="P219" s="810"/>
      <c r="Q219" s="810"/>
      <c r="R219" s="810"/>
      <c r="S219" s="810"/>
      <c r="T219" s="810"/>
      <c r="U219" s="810"/>
      <c r="V219" s="810"/>
      <c r="W219" s="810"/>
      <c r="X219" s="810">
        <f t="shared" si="36"/>
        <v>24066</v>
      </c>
      <c r="Y219" s="810">
        <f t="shared" si="37"/>
        <v>17205.900000000001</v>
      </c>
    </row>
    <row r="220" spans="1:25" hidden="1" x14ac:dyDescent="0.25">
      <c r="A220" s="812" t="s">
        <v>134</v>
      </c>
      <c r="B220" s="810" t="s">
        <v>262</v>
      </c>
      <c r="C220" s="820">
        <v>294839</v>
      </c>
      <c r="D220" s="810">
        <v>900</v>
      </c>
      <c r="E220" s="810">
        <f>C220*D220/1000</f>
        <v>265355.09999999998</v>
      </c>
      <c r="F220" s="810">
        <v>69785</v>
      </c>
      <c r="G220" s="810">
        <v>500</v>
      </c>
      <c r="H220" s="810">
        <f>F220*G220/1000</f>
        <v>34892.5</v>
      </c>
      <c r="I220" s="810"/>
      <c r="J220" s="810"/>
      <c r="K220" s="810"/>
      <c r="L220" s="810">
        <v>8672</v>
      </c>
      <c r="M220" s="810">
        <v>700</v>
      </c>
      <c r="N220" s="810">
        <f>L220*M220/1000</f>
        <v>6070.4</v>
      </c>
      <c r="O220" s="810"/>
      <c r="P220" s="810"/>
      <c r="Q220" s="810"/>
      <c r="R220" s="810"/>
      <c r="S220" s="810"/>
      <c r="T220" s="810"/>
      <c r="U220" s="810"/>
      <c r="V220" s="810"/>
      <c r="W220" s="810"/>
      <c r="X220" s="810">
        <f t="shared" si="36"/>
        <v>373296</v>
      </c>
      <c r="Y220" s="810">
        <f t="shared" si="37"/>
        <v>306318</v>
      </c>
    </row>
    <row r="221" spans="1:25" hidden="1" x14ac:dyDescent="0.25">
      <c r="A221" s="812" t="s">
        <v>161</v>
      </c>
      <c r="B221" s="810" t="s">
        <v>262</v>
      </c>
      <c r="C221" s="820">
        <v>28673</v>
      </c>
      <c r="D221" s="810">
        <v>800</v>
      </c>
      <c r="E221" s="810">
        <f>C221*D221/1000</f>
        <v>22938.400000000001</v>
      </c>
      <c r="F221" s="810">
        <v>623</v>
      </c>
      <c r="G221" s="810">
        <v>500</v>
      </c>
      <c r="H221" s="810">
        <f>F221*G221/1000</f>
        <v>311.5</v>
      </c>
      <c r="I221" s="810"/>
      <c r="J221" s="810"/>
      <c r="K221" s="810"/>
      <c r="L221" s="810">
        <v>5022</v>
      </c>
      <c r="M221" s="810">
        <v>700</v>
      </c>
      <c r="N221" s="810">
        <f>L221*M221/1000</f>
        <v>3515.4</v>
      </c>
      <c r="O221" s="810"/>
      <c r="P221" s="810"/>
      <c r="Q221" s="810"/>
      <c r="R221" s="810"/>
      <c r="S221" s="810"/>
      <c r="T221" s="810"/>
      <c r="U221" s="810"/>
      <c r="V221" s="810"/>
      <c r="W221" s="810"/>
      <c r="X221" s="810">
        <f t="shared" si="36"/>
        <v>34318</v>
      </c>
      <c r="Y221" s="810">
        <f t="shared" si="37"/>
        <v>26765.300000000003</v>
      </c>
    </row>
    <row r="222" spans="1:25" hidden="1" x14ac:dyDescent="0.25">
      <c r="A222" s="812" t="s">
        <v>135</v>
      </c>
      <c r="B222" s="810" t="s">
        <v>262</v>
      </c>
      <c r="C222" s="810">
        <v>28820</v>
      </c>
      <c r="D222" s="810">
        <v>1672</v>
      </c>
      <c r="E222" s="810">
        <f t="shared" ref="E222:E228" si="43">C222*D222/1000</f>
        <v>48187.040000000001</v>
      </c>
      <c r="F222" s="810">
        <v>13254</v>
      </c>
      <c r="G222" s="810">
        <v>725</v>
      </c>
      <c r="H222" s="810">
        <f t="shared" ref="H222:H228" si="44">F222*G222/1000</f>
        <v>9609.15</v>
      </c>
      <c r="I222" s="810"/>
      <c r="J222" s="810"/>
      <c r="K222" s="810"/>
      <c r="L222" s="810">
        <v>10431</v>
      </c>
      <c r="M222" s="810">
        <v>680</v>
      </c>
      <c r="N222" s="810">
        <f t="shared" ref="N222:N228" si="45">L222*M222/1000</f>
        <v>7093.08</v>
      </c>
      <c r="O222" s="810">
        <v>3309</v>
      </c>
      <c r="P222" s="810">
        <v>2505</v>
      </c>
      <c r="Q222" s="810">
        <f t="shared" ref="Q222:Q228" si="46">O222*P222/1000</f>
        <v>8289.0450000000001</v>
      </c>
      <c r="R222" s="810">
        <v>1900</v>
      </c>
      <c r="S222" s="810">
        <v>6500</v>
      </c>
      <c r="T222" s="810">
        <f>R222*S222/1000</f>
        <v>12350</v>
      </c>
      <c r="U222" s="810">
        <v>794</v>
      </c>
      <c r="V222" s="810">
        <v>6000</v>
      </c>
      <c r="W222" s="810">
        <f>U222*V222/1000</f>
        <v>4764</v>
      </c>
      <c r="X222" s="810">
        <f t="shared" si="36"/>
        <v>58508</v>
      </c>
      <c r="Y222" s="810">
        <f t="shared" si="37"/>
        <v>90292.315000000002</v>
      </c>
    </row>
    <row r="223" spans="1:25" hidden="1" x14ac:dyDescent="0.25">
      <c r="A223" s="812" t="s">
        <v>281</v>
      </c>
      <c r="B223" s="810" t="s">
        <v>262</v>
      </c>
      <c r="C223" s="810">
        <v>53820</v>
      </c>
      <c r="D223" s="810">
        <v>1220</v>
      </c>
      <c r="E223" s="810">
        <f t="shared" si="43"/>
        <v>65660.399999999994</v>
      </c>
      <c r="F223" s="810">
        <v>17887</v>
      </c>
      <c r="G223" s="810">
        <v>500</v>
      </c>
      <c r="H223" s="810">
        <f t="shared" si="44"/>
        <v>8943.5</v>
      </c>
      <c r="I223" s="810">
        <v>16175</v>
      </c>
      <c r="J223" s="810">
        <v>404</v>
      </c>
      <c r="K223" s="810">
        <f>I223*J223/1000</f>
        <v>6534.7</v>
      </c>
      <c r="L223" s="810">
        <v>25909</v>
      </c>
      <c r="M223" s="810">
        <v>242</v>
      </c>
      <c r="N223" s="810">
        <f t="shared" si="45"/>
        <v>6269.9780000000001</v>
      </c>
      <c r="O223" s="810">
        <v>9016</v>
      </c>
      <c r="P223" s="810">
        <v>2293</v>
      </c>
      <c r="Q223" s="810">
        <f t="shared" si="46"/>
        <v>20673.687999999998</v>
      </c>
      <c r="R223" s="810"/>
      <c r="S223" s="810"/>
      <c r="T223" s="810"/>
      <c r="U223" s="810">
        <v>4460</v>
      </c>
      <c r="V223" s="810">
        <v>2387</v>
      </c>
      <c r="W223" s="810">
        <f>U223*V223/1000</f>
        <v>10646.02</v>
      </c>
      <c r="X223" s="810">
        <f t="shared" si="36"/>
        <v>127267</v>
      </c>
      <c r="Y223" s="810">
        <f t="shared" si="37"/>
        <v>118728.28599999999</v>
      </c>
    </row>
    <row r="224" spans="1:25" hidden="1" x14ac:dyDescent="0.25">
      <c r="A224" s="812" t="s">
        <v>282</v>
      </c>
      <c r="B224" s="810" t="s">
        <v>262</v>
      </c>
      <c r="C224" s="810">
        <v>66002</v>
      </c>
      <c r="D224" s="810">
        <v>880</v>
      </c>
      <c r="E224" s="810">
        <f t="shared" si="43"/>
        <v>58081.760000000002</v>
      </c>
      <c r="F224" s="810">
        <v>9553</v>
      </c>
      <c r="G224" s="810">
        <v>510</v>
      </c>
      <c r="H224" s="810">
        <f t="shared" si="44"/>
        <v>4872.03</v>
      </c>
      <c r="I224" s="810">
        <v>1050</v>
      </c>
      <c r="J224" s="810">
        <v>490</v>
      </c>
      <c r="K224" s="810">
        <f>I224*J224/1000</f>
        <v>514.5</v>
      </c>
      <c r="L224" s="810">
        <v>14488</v>
      </c>
      <c r="M224" s="810">
        <v>448</v>
      </c>
      <c r="N224" s="810">
        <f t="shared" si="45"/>
        <v>6490.6239999999998</v>
      </c>
      <c r="O224" s="810">
        <v>8191</v>
      </c>
      <c r="P224" s="810">
        <v>1626</v>
      </c>
      <c r="Q224" s="810">
        <f t="shared" si="46"/>
        <v>13318.566000000001</v>
      </c>
      <c r="R224" s="810"/>
      <c r="S224" s="810"/>
      <c r="T224" s="810"/>
      <c r="U224" s="810">
        <v>1682</v>
      </c>
      <c r="V224" s="810">
        <v>6330</v>
      </c>
      <c r="W224" s="810">
        <f>U224*V224/1000</f>
        <v>10647.06</v>
      </c>
      <c r="X224" s="810">
        <f t="shared" si="36"/>
        <v>100966</v>
      </c>
      <c r="Y224" s="810">
        <f t="shared" si="37"/>
        <v>93924.540000000008</v>
      </c>
    </row>
    <row r="225" spans="1:25" hidden="1" x14ac:dyDescent="0.25">
      <c r="A225" s="812" t="s">
        <v>52</v>
      </c>
      <c r="B225" s="810" t="s">
        <v>262</v>
      </c>
      <c r="C225" s="810">
        <v>52349</v>
      </c>
      <c r="D225" s="810">
        <v>1130</v>
      </c>
      <c r="E225" s="810">
        <f t="shared" si="43"/>
        <v>59154.37</v>
      </c>
      <c r="F225" s="810">
        <v>5194</v>
      </c>
      <c r="G225" s="810">
        <v>404</v>
      </c>
      <c r="H225" s="810">
        <f t="shared" si="44"/>
        <v>2098.3760000000002</v>
      </c>
      <c r="I225" s="810"/>
      <c r="J225" s="810"/>
      <c r="K225" s="810"/>
      <c r="L225" s="810">
        <v>13597</v>
      </c>
      <c r="M225" s="810">
        <v>515</v>
      </c>
      <c r="N225" s="810">
        <f t="shared" si="45"/>
        <v>7002.4549999999999</v>
      </c>
      <c r="O225" s="810">
        <v>5759</v>
      </c>
      <c r="P225" s="810">
        <v>4079</v>
      </c>
      <c r="Q225" s="810">
        <f t="shared" si="46"/>
        <v>23490.960999999999</v>
      </c>
      <c r="R225" s="810">
        <v>2100</v>
      </c>
      <c r="S225" s="810">
        <v>7000</v>
      </c>
      <c r="T225" s="810">
        <f>R225*S225/1000</f>
        <v>14700</v>
      </c>
      <c r="U225" s="810">
        <v>1286</v>
      </c>
      <c r="V225" s="810">
        <v>6000</v>
      </c>
      <c r="W225" s="810">
        <f>U225*V225/1000</f>
        <v>7716</v>
      </c>
      <c r="X225" s="810">
        <f t="shared" si="36"/>
        <v>80285</v>
      </c>
      <c r="Y225" s="810">
        <f t="shared" si="37"/>
        <v>114162.162</v>
      </c>
    </row>
    <row r="226" spans="1:25" hidden="1" x14ac:dyDescent="0.25">
      <c r="A226" s="812" t="s">
        <v>50</v>
      </c>
      <c r="B226" s="810" t="s">
        <v>262</v>
      </c>
      <c r="C226" s="810">
        <v>70077</v>
      </c>
      <c r="D226" s="810">
        <v>1076</v>
      </c>
      <c r="E226" s="810">
        <f t="shared" si="43"/>
        <v>75402.851999999999</v>
      </c>
      <c r="F226" s="810">
        <v>42064</v>
      </c>
      <c r="G226" s="810">
        <v>405</v>
      </c>
      <c r="H226" s="810">
        <f t="shared" si="44"/>
        <v>17035.919999999998</v>
      </c>
      <c r="I226" s="810"/>
      <c r="J226" s="810"/>
      <c r="K226" s="810"/>
      <c r="L226" s="810">
        <v>15388</v>
      </c>
      <c r="M226" s="810">
        <v>380</v>
      </c>
      <c r="N226" s="810">
        <f t="shared" si="45"/>
        <v>5847.44</v>
      </c>
      <c r="O226" s="810">
        <v>18353</v>
      </c>
      <c r="P226" s="810">
        <v>9115</v>
      </c>
      <c r="Q226" s="810">
        <f t="shared" si="46"/>
        <v>167287.595</v>
      </c>
      <c r="R226" s="810">
        <v>328</v>
      </c>
      <c r="S226" s="810">
        <v>7000</v>
      </c>
      <c r="T226" s="810">
        <f>R226*S226/1000</f>
        <v>2296</v>
      </c>
      <c r="U226" s="810">
        <v>32</v>
      </c>
      <c r="V226" s="810">
        <v>4000</v>
      </c>
      <c r="W226" s="810">
        <f>U226*V226/1000</f>
        <v>128</v>
      </c>
      <c r="X226" s="810">
        <f t="shared" si="36"/>
        <v>146242</v>
      </c>
      <c r="Y226" s="810">
        <f t="shared" si="37"/>
        <v>267997.80700000003</v>
      </c>
    </row>
    <row r="227" spans="1:25" hidden="1" x14ac:dyDescent="0.25">
      <c r="A227" s="812" t="s">
        <v>163</v>
      </c>
      <c r="B227" s="810" t="s">
        <v>262</v>
      </c>
      <c r="C227" s="810">
        <v>53546</v>
      </c>
      <c r="D227" s="810">
        <v>2430</v>
      </c>
      <c r="E227" s="810">
        <f t="shared" si="43"/>
        <v>130116.78</v>
      </c>
      <c r="F227" s="810">
        <v>29867</v>
      </c>
      <c r="G227" s="810">
        <v>910</v>
      </c>
      <c r="H227" s="810">
        <f t="shared" si="44"/>
        <v>27178.97</v>
      </c>
      <c r="I227" s="810"/>
      <c r="J227" s="810"/>
      <c r="K227" s="810"/>
      <c r="L227" s="810">
        <v>8863</v>
      </c>
      <c r="M227" s="810">
        <v>680</v>
      </c>
      <c r="N227" s="810">
        <f t="shared" si="45"/>
        <v>6026.84</v>
      </c>
      <c r="O227" s="810">
        <v>6327</v>
      </c>
      <c r="P227" s="810">
        <v>9033</v>
      </c>
      <c r="Q227" s="810">
        <f t="shared" si="46"/>
        <v>57151.790999999997</v>
      </c>
      <c r="R227" s="810">
        <v>2444</v>
      </c>
      <c r="S227" s="810">
        <v>6500</v>
      </c>
      <c r="T227" s="810">
        <f>R227*S227/1000</f>
        <v>15886</v>
      </c>
      <c r="U227" s="810"/>
      <c r="V227" s="810"/>
      <c r="W227" s="810"/>
      <c r="X227" s="810">
        <f t="shared" si="36"/>
        <v>101047</v>
      </c>
      <c r="Y227" s="810">
        <f t="shared" si="37"/>
        <v>236360.38099999999</v>
      </c>
    </row>
    <row r="228" spans="1:25" hidden="1" x14ac:dyDescent="0.25">
      <c r="A228" s="813" t="s">
        <v>27</v>
      </c>
      <c r="B228" s="810" t="s">
        <v>262</v>
      </c>
      <c r="C228" s="810">
        <v>52667</v>
      </c>
      <c r="D228" s="810">
        <v>1139</v>
      </c>
      <c r="E228" s="810">
        <f t="shared" si="43"/>
        <v>59987.713000000003</v>
      </c>
      <c r="F228" s="810">
        <v>15883</v>
      </c>
      <c r="G228" s="810">
        <v>300</v>
      </c>
      <c r="H228" s="810">
        <f t="shared" si="44"/>
        <v>4764.8999999999996</v>
      </c>
      <c r="I228" s="810">
        <f>SUM(I223:I227)</f>
        <v>17225</v>
      </c>
      <c r="J228" s="810"/>
      <c r="K228" s="810">
        <f>SUM(K223:K227)</f>
        <v>7049.2</v>
      </c>
      <c r="L228" s="810">
        <v>13127</v>
      </c>
      <c r="M228" s="810">
        <v>498</v>
      </c>
      <c r="N228" s="810">
        <f t="shared" si="45"/>
        <v>6537.2460000000001</v>
      </c>
      <c r="O228" s="810">
        <v>5244</v>
      </c>
      <c r="P228" s="810">
        <v>2030</v>
      </c>
      <c r="Q228" s="810">
        <f t="shared" si="46"/>
        <v>10645.32</v>
      </c>
      <c r="R228" s="810"/>
      <c r="S228" s="810"/>
      <c r="T228" s="810"/>
      <c r="U228" s="810"/>
      <c r="V228" s="810"/>
      <c r="W228" s="810"/>
      <c r="X228" s="810">
        <f t="shared" si="36"/>
        <v>104146</v>
      </c>
      <c r="Y228" s="810">
        <f t="shared" si="37"/>
        <v>88984.379000000015</v>
      </c>
    </row>
    <row r="229" spans="1:25" hidden="1" x14ac:dyDescent="0.25">
      <c r="A229" s="888" t="s">
        <v>15</v>
      </c>
      <c r="B229" s="903" t="s">
        <v>263</v>
      </c>
      <c r="C229" s="873">
        <v>18805</v>
      </c>
      <c r="D229" s="873">
        <f>(E229/C229)*1000</f>
        <v>415.86439776655141</v>
      </c>
      <c r="E229" s="873">
        <v>7820.33</v>
      </c>
      <c r="F229" s="873">
        <v>1843</v>
      </c>
      <c r="G229" s="873">
        <f>(H229/F229)*1000</f>
        <v>335.80032555615838</v>
      </c>
      <c r="H229" s="873">
        <v>618.88</v>
      </c>
      <c r="I229" s="904">
        <v>306</v>
      </c>
      <c r="J229" s="904">
        <v>650</v>
      </c>
      <c r="K229" s="905">
        <f>I229*J229/1000</f>
        <v>198.9</v>
      </c>
      <c r="L229" s="873">
        <v>9898</v>
      </c>
      <c r="M229" s="873">
        <f>(N229/L229)*1000</f>
        <v>366.89432208526972</v>
      </c>
      <c r="N229" s="873">
        <v>3631.52</v>
      </c>
      <c r="O229" s="902"/>
      <c r="P229" s="902"/>
      <c r="Q229" s="902"/>
      <c r="R229" s="902"/>
      <c r="S229" s="902"/>
      <c r="T229" s="902"/>
      <c r="U229" s="902"/>
      <c r="V229" s="902"/>
      <c r="W229" s="902"/>
      <c r="X229" s="906">
        <f>U229+R229+O229+I229+L229+F229+C229</f>
        <v>30852</v>
      </c>
      <c r="Y229" s="906">
        <f t="shared" si="37"/>
        <v>12269.63</v>
      </c>
    </row>
    <row r="230" spans="1:25" hidden="1" x14ac:dyDescent="0.25">
      <c r="A230" s="887" t="s">
        <v>187</v>
      </c>
      <c r="B230" s="903" t="s">
        <v>263</v>
      </c>
      <c r="C230" s="873"/>
      <c r="D230" s="873"/>
      <c r="E230" s="873"/>
      <c r="F230" s="873"/>
      <c r="G230" s="873"/>
      <c r="H230" s="873"/>
      <c r="I230" s="904"/>
      <c r="J230" s="905"/>
      <c r="K230" s="905"/>
      <c r="L230" s="873"/>
      <c r="M230" s="873"/>
      <c r="N230" s="873"/>
      <c r="O230" s="902"/>
      <c r="P230" s="902"/>
      <c r="Q230" s="902"/>
      <c r="R230" s="902"/>
      <c r="S230" s="902"/>
      <c r="T230" s="902"/>
      <c r="U230" s="902"/>
      <c r="V230" s="902"/>
      <c r="W230" s="902"/>
      <c r="X230" s="902"/>
      <c r="Y230" s="902"/>
    </row>
    <row r="231" spans="1:25" hidden="1" x14ac:dyDescent="0.25">
      <c r="A231" s="812" t="s">
        <v>103</v>
      </c>
      <c r="B231" s="903" t="s">
        <v>263</v>
      </c>
      <c r="C231" s="873">
        <v>58341</v>
      </c>
      <c r="D231" s="873">
        <f>(E231/C231)*1000</f>
        <v>644.44608422892986</v>
      </c>
      <c r="E231" s="873">
        <v>37597.629000000001</v>
      </c>
      <c r="F231" s="873">
        <v>6619</v>
      </c>
      <c r="G231" s="873">
        <f>(H231/F231)*1000</f>
        <v>194.4916150475903</v>
      </c>
      <c r="H231" s="873">
        <v>1287.3400000000001</v>
      </c>
      <c r="I231" s="904"/>
      <c r="J231" s="905"/>
      <c r="K231" s="905"/>
      <c r="L231" s="873">
        <v>11596</v>
      </c>
      <c r="M231" s="873">
        <f>(N231/L231)*1000</f>
        <v>573.47361159020352</v>
      </c>
      <c r="N231" s="873">
        <v>6650</v>
      </c>
      <c r="O231" s="902"/>
      <c r="P231" s="902"/>
      <c r="Q231" s="902"/>
      <c r="R231" s="902"/>
      <c r="S231" s="902"/>
      <c r="T231" s="902"/>
      <c r="U231" s="902"/>
      <c r="V231" s="902"/>
      <c r="W231" s="902"/>
      <c r="X231" s="906">
        <f t="shared" ref="X231:X246" si="47">U231+R231+O231+I231+L231+F231+C231</f>
        <v>76556</v>
      </c>
      <c r="Y231" s="906">
        <f t="shared" ref="Y231:Y246" si="48">E231+H231+N231+K231+Q231+T231+W231</f>
        <v>45534.968999999997</v>
      </c>
    </row>
    <row r="232" spans="1:25" hidden="1" x14ac:dyDescent="0.25">
      <c r="A232" s="812" t="s">
        <v>20</v>
      </c>
      <c r="B232" s="903" t="s">
        <v>263</v>
      </c>
      <c r="C232" s="873">
        <v>29802</v>
      </c>
      <c r="D232" s="873">
        <f>(E232/C232)*1000</f>
        <v>711.26266693510502</v>
      </c>
      <c r="E232" s="873">
        <v>21197.05</v>
      </c>
      <c r="F232" s="873">
        <v>8432</v>
      </c>
      <c r="G232" s="873">
        <f>(H232/F232)*1000</f>
        <v>377.66544117647055</v>
      </c>
      <c r="H232" s="873">
        <v>3184.4749999999999</v>
      </c>
      <c r="I232" s="904">
        <v>2174</v>
      </c>
      <c r="J232" s="904">
        <v>475</v>
      </c>
      <c r="K232" s="904">
        <f>I232*J232/1000</f>
        <v>1032.6500000000001</v>
      </c>
      <c r="L232" s="873">
        <v>3988</v>
      </c>
      <c r="M232" s="873">
        <f>(N232/L232)*1000</f>
        <v>247.84353059177533</v>
      </c>
      <c r="N232" s="873">
        <v>988.4</v>
      </c>
      <c r="O232" s="907">
        <v>281</v>
      </c>
      <c r="P232" s="904">
        <v>860</v>
      </c>
      <c r="Q232" s="904">
        <f>O232*P232/1000</f>
        <v>241.66</v>
      </c>
      <c r="R232" s="902"/>
      <c r="S232" s="902"/>
      <c r="T232" s="902"/>
      <c r="U232" s="902"/>
      <c r="V232" s="902"/>
      <c r="W232" s="902"/>
      <c r="X232" s="906">
        <f t="shared" si="47"/>
        <v>44677</v>
      </c>
      <c r="Y232" s="906">
        <f t="shared" si="48"/>
        <v>26644.235000000001</v>
      </c>
    </row>
    <row r="233" spans="1:25" hidden="1" x14ac:dyDescent="0.25">
      <c r="A233" s="888" t="s">
        <v>133</v>
      </c>
      <c r="B233" s="903" t="s">
        <v>263</v>
      </c>
      <c r="C233" s="873">
        <v>52184</v>
      </c>
      <c r="D233" s="873">
        <f>(E233/C233)*1000</f>
        <v>850.29863559711782</v>
      </c>
      <c r="E233" s="873">
        <v>44371.983999999997</v>
      </c>
      <c r="F233" s="873">
        <v>3000</v>
      </c>
      <c r="G233" s="873">
        <f>(H233/F233)*1000</f>
        <v>531.44999999999993</v>
      </c>
      <c r="H233" s="873">
        <v>1594.35</v>
      </c>
      <c r="I233" s="904"/>
      <c r="J233" s="905"/>
      <c r="K233" s="905"/>
      <c r="L233" s="873">
        <v>14120</v>
      </c>
      <c r="M233" s="873">
        <f>(N233/L233)*1000</f>
        <v>830.45113314447588</v>
      </c>
      <c r="N233" s="873">
        <v>11725.97</v>
      </c>
      <c r="O233" s="902"/>
      <c r="P233" s="902"/>
      <c r="Q233" s="902"/>
      <c r="R233" s="902"/>
      <c r="S233" s="902"/>
      <c r="T233" s="902"/>
      <c r="U233" s="902"/>
      <c r="V233" s="902"/>
      <c r="W233" s="902"/>
      <c r="X233" s="906">
        <f t="shared" si="47"/>
        <v>69304</v>
      </c>
      <c r="Y233" s="906">
        <f t="shared" si="48"/>
        <v>57692.303999999996</v>
      </c>
    </row>
    <row r="234" spans="1:25" hidden="1" x14ac:dyDescent="0.25">
      <c r="A234" s="888" t="s">
        <v>21</v>
      </c>
      <c r="B234" s="903" t="s">
        <v>263</v>
      </c>
      <c r="C234" s="905"/>
      <c r="D234" s="905"/>
      <c r="E234" s="905"/>
      <c r="F234" s="905"/>
      <c r="G234" s="905"/>
      <c r="H234" s="905"/>
      <c r="I234" s="904"/>
      <c r="J234" s="905"/>
      <c r="K234" s="905"/>
      <c r="L234" s="908">
        <v>140</v>
      </c>
      <c r="M234" s="905">
        <v>100</v>
      </c>
      <c r="N234" s="905">
        <f>L234*M234/1000</f>
        <v>14</v>
      </c>
      <c r="O234" s="902"/>
      <c r="P234" s="902"/>
      <c r="Q234" s="902"/>
      <c r="R234" s="902"/>
      <c r="S234" s="902"/>
      <c r="T234" s="902"/>
      <c r="U234" s="902"/>
      <c r="V234" s="902"/>
      <c r="W234" s="902"/>
      <c r="X234" s="902">
        <f t="shared" si="47"/>
        <v>140</v>
      </c>
      <c r="Y234" s="902">
        <f t="shared" si="48"/>
        <v>14</v>
      </c>
    </row>
    <row r="235" spans="1:25" hidden="1" x14ac:dyDescent="0.25">
      <c r="A235" s="888" t="s">
        <v>22</v>
      </c>
      <c r="B235" s="903" t="s">
        <v>263</v>
      </c>
      <c r="C235" s="904">
        <v>938</v>
      </c>
      <c r="D235" s="904">
        <v>140</v>
      </c>
      <c r="E235" s="904">
        <f>C235*D235/1000</f>
        <v>131.32</v>
      </c>
      <c r="F235" s="904"/>
      <c r="G235" s="904"/>
      <c r="H235" s="904"/>
      <c r="I235" s="904"/>
      <c r="J235" s="904"/>
      <c r="K235" s="904"/>
      <c r="L235" s="907">
        <v>501</v>
      </c>
      <c r="M235" s="904">
        <v>166.66666666666669</v>
      </c>
      <c r="N235" s="904">
        <f>L235*M235/1000</f>
        <v>83.500000000000014</v>
      </c>
      <c r="O235" s="873">
        <f>P235*Q235/1000</f>
        <v>199530</v>
      </c>
      <c r="P235" s="906">
        <v>9000</v>
      </c>
      <c r="Q235" s="873">
        <v>22170</v>
      </c>
      <c r="R235" s="873">
        <f>S235*T235/1000</f>
        <v>266034</v>
      </c>
      <c r="S235" s="906">
        <v>6000</v>
      </c>
      <c r="T235" s="873">
        <v>44339</v>
      </c>
      <c r="U235" s="902"/>
      <c r="V235" s="902"/>
      <c r="W235" s="902"/>
      <c r="X235" s="906">
        <f t="shared" si="47"/>
        <v>467003</v>
      </c>
      <c r="Y235" s="906">
        <f t="shared" si="48"/>
        <v>66723.820000000007</v>
      </c>
    </row>
    <row r="236" spans="1:25" hidden="1" x14ac:dyDescent="0.25">
      <c r="A236" s="813" t="s">
        <v>23</v>
      </c>
      <c r="B236" s="903" t="s">
        <v>263</v>
      </c>
      <c r="C236" s="873">
        <v>95280</v>
      </c>
      <c r="D236" s="873">
        <v>471</v>
      </c>
      <c r="E236" s="873">
        <v>44876.88</v>
      </c>
      <c r="F236" s="873">
        <v>325</v>
      </c>
      <c r="G236" s="873">
        <v>288</v>
      </c>
      <c r="H236" s="873">
        <v>93.6</v>
      </c>
      <c r="I236" s="904"/>
      <c r="J236" s="904"/>
      <c r="K236" s="904"/>
      <c r="L236" s="873">
        <v>556</v>
      </c>
      <c r="M236" s="873">
        <v>215</v>
      </c>
      <c r="N236" s="873">
        <v>119.54</v>
      </c>
      <c r="O236" s="902"/>
      <c r="P236" s="902"/>
      <c r="Q236" s="902"/>
      <c r="R236" s="902"/>
      <c r="S236" s="902"/>
      <c r="T236" s="902"/>
      <c r="U236" s="902"/>
      <c r="V236" s="902"/>
      <c r="W236" s="902"/>
      <c r="X236" s="906">
        <f t="shared" si="47"/>
        <v>96161</v>
      </c>
      <c r="Y236" s="906">
        <f t="shared" si="48"/>
        <v>45090.02</v>
      </c>
    </row>
    <row r="237" spans="1:25" hidden="1" x14ac:dyDescent="0.25">
      <c r="A237" s="888" t="s">
        <v>24</v>
      </c>
      <c r="B237" s="903" t="s">
        <v>263</v>
      </c>
      <c r="C237" s="873">
        <v>10756</v>
      </c>
      <c r="D237" s="873">
        <v>911</v>
      </c>
      <c r="E237" s="873">
        <v>9798.7160000000003</v>
      </c>
      <c r="F237" s="873">
        <v>3654</v>
      </c>
      <c r="G237" s="873">
        <v>655</v>
      </c>
      <c r="H237" s="873">
        <v>2393.37</v>
      </c>
      <c r="I237" s="904">
        <v>671</v>
      </c>
      <c r="J237" s="904">
        <v>500</v>
      </c>
      <c r="K237" s="904">
        <f>I237*J237/1000</f>
        <v>335.5</v>
      </c>
      <c r="L237" s="873">
        <v>6786</v>
      </c>
      <c r="M237" s="873">
        <v>826</v>
      </c>
      <c r="N237" s="873">
        <v>5605.2359999999999</v>
      </c>
      <c r="O237" s="902"/>
      <c r="P237" s="906"/>
      <c r="Q237" s="906"/>
      <c r="R237" s="902"/>
      <c r="S237" s="902"/>
      <c r="T237" s="902"/>
      <c r="U237" s="902"/>
      <c r="V237" s="902"/>
      <c r="W237" s="902"/>
      <c r="X237" s="906">
        <f t="shared" si="47"/>
        <v>21867</v>
      </c>
      <c r="Y237" s="906">
        <f t="shared" si="48"/>
        <v>18132.822</v>
      </c>
    </row>
    <row r="238" spans="1:25" hidden="1" x14ac:dyDescent="0.25">
      <c r="A238" s="888" t="s">
        <v>134</v>
      </c>
      <c r="B238" s="903" t="s">
        <v>263</v>
      </c>
      <c r="C238" s="873">
        <v>95164</v>
      </c>
      <c r="D238" s="873">
        <f>(E238/C238)*1000</f>
        <v>853.09422680845694</v>
      </c>
      <c r="E238" s="873">
        <v>81183.858999999997</v>
      </c>
      <c r="F238" s="873">
        <v>27276</v>
      </c>
      <c r="G238" s="873">
        <f>(H238/F238)*1000</f>
        <v>536.80627658014373</v>
      </c>
      <c r="H238" s="873">
        <v>14641.928</v>
      </c>
      <c r="I238" s="905"/>
      <c r="J238" s="905"/>
      <c r="K238" s="905"/>
      <c r="L238" s="873">
        <v>8509</v>
      </c>
      <c r="M238" s="873">
        <f>(N238/L238)*1000</f>
        <v>400.72652485603481</v>
      </c>
      <c r="N238" s="873">
        <v>3409.7820000000002</v>
      </c>
      <c r="O238" s="902"/>
      <c r="P238" s="902"/>
      <c r="Q238" s="902"/>
      <c r="R238" s="902"/>
      <c r="S238" s="902"/>
      <c r="T238" s="902"/>
      <c r="U238" s="902"/>
      <c r="V238" s="902"/>
      <c r="W238" s="902"/>
      <c r="X238" s="906">
        <f t="shared" si="47"/>
        <v>130949</v>
      </c>
      <c r="Y238" s="906">
        <f t="shared" si="48"/>
        <v>99235.569000000003</v>
      </c>
    </row>
    <row r="239" spans="1:25" hidden="1" x14ac:dyDescent="0.25">
      <c r="A239" s="888" t="s">
        <v>161</v>
      </c>
      <c r="B239" s="903" t="s">
        <v>263</v>
      </c>
      <c r="C239" s="873">
        <v>36249</v>
      </c>
      <c r="D239" s="873">
        <f>(E239/C239)*1000</f>
        <v>269.65927335926511</v>
      </c>
      <c r="E239" s="873">
        <v>9774.8790000000008</v>
      </c>
      <c r="F239" s="873">
        <v>16564</v>
      </c>
      <c r="G239" s="873">
        <f>(H239/F239)*1000</f>
        <v>250.31828060854866</v>
      </c>
      <c r="H239" s="873">
        <v>4146.2719999999999</v>
      </c>
      <c r="I239" s="909"/>
      <c r="J239" s="909"/>
      <c r="K239" s="909"/>
      <c r="L239" s="873">
        <v>2633</v>
      </c>
      <c r="M239" s="873">
        <f>(N239/L239)*1000</f>
        <v>197.76642612988988</v>
      </c>
      <c r="N239" s="873">
        <v>520.71900000000005</v>
      </c>
      <c r="O239" s="902"/>
      <c r="P239" s="902"/>
      <c r="Q239" s="902"/>
      <c r="R239" s="902"/>
      <c r="S239" s="902"/>
      <c r="T239" s="902"/>
      <c r="U239" s="902"/>
      <c r="V239" s="902"/>
      <c r="W239" s="902"/>
      <c r="X239" s="906">
        <f t="shared" si="47"/>
        <v>55446</v>
      </c>
      <c r="Y239" s="906">
        <f t="shared" si="48"/>
        <v>14441.870000000003</v>
      </c>
    </row>
    <row r="240" spans="1:25" hidden="1" x14ac:dyDescent="0.25">
      <c r="A240" s="888" t="s">
        <v>135</v>
      </c>
      <c r="B240" s="903" t="s">
        <v>263</v>
      </c>
      <c r="C240" s="875">
        <v>46643</v>
      </c>
      <c r="D240" s="873">
        <f t="shared" ref="D240:D246" si="49">(E240/C240)*1000</f>
        <v>1358.3573097785306</v>
      </c>
      <c r="E240" s="875">
        <v>63357.86</v>
      </c>
      <c r="F240" s="875">
        <v>18778</v>
      </c>
      <c r="G240" s="873">
        <f t="shared" ref="G240:G246" si="50">(H240/F240)*1000</f>
        <v>358.35818511023535</v>
      </c>
      <c r="H240" s="875">
        <v>6729.25</v>
      </c>
      <c r="I240" s="904">
        <v>6848</v>
      </c>
      <c r="J240" s="904">
        <v>500</v>
      </c>
      <c r="K240" s="904">
        <f>I240*J240/1000</f>
        <v>3424</v>
      </c>
      <c r="L240" s="875">
        <v>26034</v>
      </c>
      <c r="M240" s="873">
        <f t="shared" ref="M240:M246" si="51">(N240/L240)*1000</f>
        <v>640.71379734193749</v>
      </c>
      <c r="N240" s="876">
        <v>16680.343000000001</v>
      </c>
      <c r="O240" s="902">
        <v>4659</v>
      </c>
      <c r="P240" s="910">
        <f t="shared" ref="P240:P246" si="52">(Q240/O240)*1000</f>
        <v>2810.6065679330336</v>
      </c>
      <c r="Q240" s="906">
        <v>13094.616000000002</v>
      </c>
      <c r="R240" s="907"/>
      <c r="S240" s="904"/>
      <c r="T240" s="904"/>
      <c r="U240" s="908">
        <v>948</v>
      </c>
      <c r="V240" s="905">
        <v>1200</v>
      </c>
      <c r="W240" s="905">
        <f t="shared" ref="W240:W246" si="53">U240*V240/1000</f>
        <v>1137.5999999999999</v>
      </c>
      <c r="X240" s="906">
        <f t="shared" si="47"/>
        <v>103910</v>
      </c>
      <c r="Y240" s="906">
        <f t="shared" si="48"/>
        <v>104423.66900000002</v>
      </c>
    </row>
    <row r="241" spans="1:25" hidden="1" x14ac:dyDescent="0.25">
      <c r="A241" s="812" t="s">
        <v>281</v>
      </c>
      <c r="B241" s="903" t="s">
        <v>263</v>
      </c>
      <c r="C241" s="875">
        <v>24719</v>
      </c>
      <c r="D241" s="873">
        <f t="shared" si="49"/>
        <v>927.10061086613541</v>
      </c>
      <c r="E241" s="875">
        <v>22917</v>
      </c>
      <c r="F241" s="875">
        <v>13310</v>
      </c>
      <c r="G241" s="873">
        <f t="shared" si="50"/>
        <v>357.85123966942149</v>
      </c>
      <c r="H241" s="875">
        <v>4763</v>
      </c>
      <c r="I241" s="904">
        <v>8083</v>
      </c>
      <c r="J241" s="904">
        <v>180</v>
      </c>
      <c r="K241" s="904">
        <f>I241*J241/1000</f>
        <v>1454.94</v>
      </c>
      <c r="L241" s="875">
        <v>11054</v>
      </c>
      <c r="M241" s="873">
        <f t="shared" si="51"/>
        <v>424.28080332911162</v>
      </c>
      <c r="N241" s="875">
        <v>4690</v>
      </c>
      <c r="O241" s="906">
        <v>4499</v>
      </c>
      <c r="P241" s="910">
        <f t="shared" si="52"/>
        <v>6911.3136252500562</v>
      </c>
      <c r="Q241" s="906">
        <v>31094</v>
      </c>
      <c r="R241" s="907">
        <v>1447</v>
      </c>
      <c r="S241" s="904">
        <v>3240</v>
      </c>
      <c r="T241" s="904">
        <f t="shared" ref="T241:T246" si="54">R241*S241/1000</f>
        <v>4688.28</v>
      </c>
      <c r="U241" s="907">
        <v>3664</v>
      </c>
      <c r="V241" s="904">
        <v>7412</v>
      </c>
      <c r="W241" s="904">
        <f t="shared" si="53"/>
        <v>27157.567999999999</v>
      </c>
      <c r="X241" s="906">
        <f t="shared" si="47"/>
        <v>66776</v>
      </c>
      <c r="Y241" s="906">
        <f t="shared" si="48"/>
        <v>96764.788</v>
      </c>
    </row>
    <row r="242" spans="1:25" hidden="1" x14ac:dyDescent="0.25">
      <c r="A242" s="812" t="s">
        <v>282</v>
      </c>
      <c r="B242" s="903" t="s">
        <v>263</v>
      </c>
      <c r="C242" s="875">
        <v>37436</v>
      </c>
      <c r="D242" s="873">
        <f t="shared" si="49"/>
        <v>1169.0084410727641</v>
      </c>
      <c r="E242" s="877">
        <v>43763</v>
      </c>
      <c r="F242" s="875">
        <v>6247</v>
      </c>
      <c r="G242" s="873">
        <f t="shared" si="50"/>
        <v>426.12453977909399</v>
      </c>
      <c r="H242" s="875">
        <v>2662</v>
      </c>
      <c r="I242" s="904">
        <v>3028</v>
      </c>
      <c r="J242" s="904">
        <v>765</v>
      </c>
      <c r="K242" s="904">
        <f>I242*J242/1000</f>
        <v>2316.42</v>
      </c>
      <c r="L242" s="875">
        <v>8965</v>
      </c>
      <c r="M242" s="873">
        <f t="shared" si="51"/>
        <v>553.93195761293919</v>
      </c>
      <c r="N242" s="875">
        <v>4966</v>
      </c>
      <c r="O242" s="906">
        <v>6605</v>
      </c>
      <c r="P242" s="910">
        <f t="shared" si="52"/>
        <v>2323.6941710825131</v>
      </c>
      <c r="Q242" s="906">
        <v>15348</v>
      </c>
      <c r="R242" s="907">
        <v>1400</v>
      </c>
      <c r="S242" s="904">
        <v>3240</v>
      </c>
      <c r="T242" s="904">
        <f t="shared" si="54"/>
        <v>4536</v>
      </c>
      <c r="U242" s="907">
        <v>346</v>
      </c>
      <c r="V242" s="904">
        <v>3133</v>
      </c>
      <c r="W242" s="904">
        <f t="shared" si="53"/>
        <v>1084.018</v>
      </c>
      <c r="X242" s="906">
        <f t="shared" si="47"/>
        <v>64027</v>
      </c>
      <c r="Y242" s="906">
        <f t="shared" si="48"/>
        <v>74675.437999999995</v>
      </c>
    </row>
    <row r="243" spans="1:25" hidden="1" x14ac:dyDescent="0.25">
      <c r="A243" s="812" t="s">
        <v>52</v>
      </c>
      <c r="B243" s="903" t="s">
        <v>263</v>
      </c>
      <c r="C243" s="875">
        <v>33084</v>
      </c>
      <c r="D243" s="873">
        <f t="shared" si="49"/>
        <v>1288.9614315076774</v>
      </c>
      <c r="E243" s="875">
        <v>42644</v>
      </c>
      <c r="F243" s="875">
        <v>4246</v>
      </c>
      <c r="G243" s="873">
        <f t="shared" si="50"/>
        <v>391.66274140367403</v>
      </c>
      <c r="H243" s="875">
        <v>1663</v>
      </c>
      <c r="I243" s="904">
        <v>3040</v>
      </c>
      <c r="J243" s="904">
        <v>500</v>
      </c>
      <c r="K243" s="904">
        <f>I243*J243/1000</f>
        <v>1520</v>
      </c>
      <c r="L243" s="875">
        <v>9738</v>
      </c>
      <c r="M243" s="873">
        <f t="shared" si="51"/>
        <v>560.62867118504823</v>
      </c>
      <c r="N243" s="824">
        <v>5459.402</v>
      </c>
      <c r="O243" s="906">
        <v>3218</v>
      </c>
      <c r="P243" s="910">
        <f t="shared" si="52"/>
        <v>7530.4536979490367</v>
      </c>
      <c r="Q243" s="906">
        <v>24233</v>
      </c>
      <c r="R243" s="907"/>
      <c r="S243" s="904"/>
      <c r="T243" s="904"/>
      <c r="U243" s="908">
        <v>720</v>
      </c>
      <c r="V243" s="905">
        <v>1200</v>
      </c>
      <c r="W243" s="905">
        <f t="shared" si="53"/>
        <v>864</v>
      </c>
      <c r="X243" s="906">
        <f t="shared" si="47"/>
        <v>54046</v>
      </c>
      <c r="Y243" s="906">
        <f t="shared" si="48"/>
        <v>76383.402000000002</v>
      </c>
    </row>
    <row r="244" spans="1:25" hidden="1" x14ac:dyDescent="0.25">
      <c r="A244" s="812" t="s">
        <v>50</v>
      </c>
      <c r="B244" s="903" t="s">
        <v>263</v>
      </c>
      <c r="C244" s="875">
        <v>54141</v>
      </c>
      <c r="D244" s="873">
        <f t="shared" si="49"/>
        <v>1138.9519957148925</v>
      </c>
      <c r="E244" s="875">
        <v>61664</v>
      </c>
      <c r="F244" s="875">
        <v>36251</v>
      </c>
      <c r="G244" s="873">
        <f t="shared" si="50"/>
        <v>473.80761910016275</v>
      </c>
      <c r="H244" s="875">
        <v>17176</v>
      </c>
      <c r="I244" s="904"/>
      <c r="J244" s="904"/>
      <c r="K244" s="904"/>
      <c r="L244" s="875">
        <v>12523</v>
      </c>
      <c r="M244" s="873">
        <f t="shared" si="51"/>
        <v>348.66573504751256</v>
      </c>
      <c r="N244" s="824">
        <v>4366.3410000000003</v>
      </c>
      <c r="O244" s="906">
        <v>11241</v>
      </c>
      <c r="P244" s="910">
        <f t="shared" si="52"/>
        <v>10595.32070100525</v>
      </c>
      <c r="Q244" s="906">
        <v>119102</v>
      </c>
      <c r="R244" s="907">
        <v>23900</v>
      </c>
      <c r="S244" s="904">
        <v>4300</v>
      </c>
      <c r="T244" s="904">
        <f t="shared" si="54"/>
        <v>102770</v>
      </c>
      <c r="U244" s="908">
        <v>35</v>
      </c>
      <c r="V244" s="905">
        <v>800</v>
      </c>
      <c r="W244" s="905">
        <f t="shared" si="53"/>
        <v>28</v>
      </c>
      <c r="X244" s="906">
        <f t="shared" si="47"/>
        <v>138091</v>
      </c>
      <c r="Y244" s="906">
        <f t="shared" si="48"/>
        <v>305106.34100000001</v>
      </c>
    </row>
    <row r="245" spans="1:25" hidden="1" x14ac:dyDescent="0.25">
      <c r="A245" s="812" t="s">
        <v>163</v>
      </c>
      <c r="B245" s="903" t="s">
        <v>263</v>
      </c>
      <c r="C245" s="877">
        <v>47265</v>
      </c>
      <c r="D245" s="873">
        <f t="shared" si="49"/>
        <v>1082.2596001269437</v>
      </c>
      <c r="E245" s="875">
        <v>51153</v>
      </c>
      <c r="F245" s="877">
        <v>13238</v>
      </c>
      <c r="G245" s="873">
        <f t="shared" si="50"/>
        <v>439.79453089590572</v>
      </c>
      <c r="H245" s="875">
        <v>5822</v>
      </c>
      <c r="I245" s="904"/>
      <c r="J245" s="904"/>
      <c r="K245" s="904"/>
      <c r="L245" s="877">
        <v>10322</v>
      </c>
      <c r="M245" s="873">
        <f t="shared" si="51"/>
        <v>473.74539817864752</v>
      </c>
      <c r="N245" s="875">
        <v>4890</v>
      </c>
      <c r="O245" s="911">
        <v>6322</v>
      </c>
      <c r="P245" s="910">
        <f t="shared" si="52"/>
        <v>5425.4982600442891</v>
      </c>
      <c r="Q245" s="906">
        <v>34300</v>
      </c>
      <c r="R245" s="907">
        <v>10371</v>
      </c>
      <c r="S245" s="904">
        <v>4000</v>
      </c>
      <c r="T245" s="904">
        <f t="shared" si="54"/>
        <v>41484</v>
      </c>
      <c r="U245" s="908"/>
      <c r="V245" s="905"/>
      <c r="W245" s="905"/>
      <c r="X245" s="906">
        <f t="shared" si="47"/>
        <v>87518</v>
      </c>
      <c r="Y245" s="906">
        <f t="shared" si="48"/>
        <v>137649</v>
      </c>
    </row>
    <row r="246" spans="1:25" hidden="1" x14ac:dyDescent="0.25">
      <c r="A246" s="813" t="s">
        <v>27</v>
      </c>
      <c r="B246" s="903" t="s">
        <v>263</v>
      </c>
      <c r="C246" s="875">
        <v>34758</v>
      </c>
      <c r="D246" s="873">
        <f t="shared" si="49"/>
        <v>796.27711605961213</v>
      </c>
      <c r="E246" s="875">
        <v>27677</v>
      </c>
      <c r="F246" s="875">
        <v>15468</v>
      </c>
      <c r="G246" s="873">
        <f t="shared" si="50"/>
        <v>377.16576157227826</v>
      </c>
      <c r="H246" s="875">
        <v>5834</v>
      </c>
      <c r="I246" s="902"/>
      <c r="J246" s="904"/>
      <c r="K246" s="904"/>
      <c r="L246" s="875">
        <v>16867</v>
      </c>
      <c r="M246" s="873">
        <f t="shared" si="51"/>
        <v>388.33224639829251</v>
      </c>
      <c r="N246" s="875">
        <v>6550</v>
      </c>
      <c r="O246" s="906">
        <v>8828</v>
      </c>
      <c r="P246" s="910">
        <f t="shared" si="52"/>
        <v>7268.9170820117806</v>
      </c>
      <c r="Q246" s="906">
        <v>64170</v>
      </c>
      <c r="R246" s="907">
        <v>3868</v>
      </c>
      <c r="S246" s="904">
        <v>4846</v>
      </c>
      <c r="T246" s="904">
        <f t="shared" si="54"/>
        <v>18744.328000000001</v>
      </c>
      <c r="U246" s="908">
        <v>1038</v>
      </c>
      <c r="V246" s="905">
        <v>1200</v>
      </c>
      <c r="W246" s="905">
        <f t="shared" si="53"/>
        <v>1245.5999999999999</v>
      </c>
      <c r="X246" s="906">
        <f t="shared" si="47"/>
        <v>80827</v>
      </c>
      <c r="Y246" s="906">
        <f t="shared" si="48"/>
        <v>124220.92800000001</v>
      </c>
    </row>
    <row r="247" spans="1:25" hidden="1" x14ac:dyDescent="0.25">
      <c r="A247" s="888" t="s">
        <v>15</v>
      </c>
      <c r="B247" s="902" t="s">
        <v>264</v>
      </c>
      <c r="C247" s="869">
        <f>3412+33075</f>
        <v>36487</v>
      </c>
      <c r="D247" s="825">
        <v>1623</v>
      </c>
      <c r="E247" s="825">
        <f>(D247*C247)/1000</f>
        <v>59218.400999999998</v>
      </c>
      <c r="F247" s="869">
        <f>1023+7127</f>
        <v>8150</v>
      </c>
      <c r="G247" s="825">
        <v>460</v>
      </c>
      <c r="H247" s="825">
        <f t="shared" ref="H247:H257" si="55">(G247*F247)/1000</f>
        <v>3749</v>
      </c>
      <c r="I247" s="870">
        <v>324</v>
      </c>
      <c r="J247" s="825">
        <v>625</v>
      </c>
      <c r="K247" s="825">
        <f t="shared" ref="K247:K257" si="56">(J247*I247)/1000</f>
        <v>202.5</v>
      </c>
      <c r="L247" s="825">
        <v>24657</v>
      </c>
      <c r="M247" s="825">
        <v>480</v>
      </c>
      <c r="N247" s="825">
        <f>(M247*L247)/1000</f>
        <v>11835.36</v>
      </c>
      <c r="O247" s="869"/>
      <c r="P247" s="825"/>
      <c r="Q247" s="825">
        <f t="shared" ref="Q247:Q257" si="57">(O247*P247)/1000</f>
        <v>0</v>
      </c>
      <c r="R247" s="869"/>
      <c r="S247" s="825"/>
      <c r="T247" s="825">
        <f>(S247*R247)/1000</f>
        <v>0</v>
      </c>
      <c r="U247" s="893"/>
      <c r="V247" s="893"/>
      <c r="W247" s="893"/>
      <c r="X247" s="912">
        <f t="shared" ref="X247:X264" si="58">R247+O247+I247+L247+T247+F247+C247</f>
        <v>69618</v>
      </c>
      <c r="Y247" s="825">
        <f t="shared" ref="Y247:Y264" si="59">T247+Q247+K247+N247+H247+E247</f>
        <v>75005.260999999999</v>
      </c>
    </row>
    <row r="248" spans="1:25" hidden="1" x14ac:dyDescent="0.25">
      <c r="A248" s="887" t="s">
        <v>187</v>
      </c>
      <c r="B248" s="902" t="s">
        <v>264</v>
      </c>
      <c r="C248" s="869">
        <v>641</v>
      </c>
      <c r="D248" s="825"/>
      <c r="E248" s="825">
        <f>(D248*C248)/1000</f>
        <v>0</v>
      </c>
      <c r="F248" s="869"/>
      <c r="G248" s="825"/>
      <c r="H248" s="825">
        <f t="shared" si="55"/>
        <v>0</v>
      </c>
      <c r="I248" s="870"/>
      <c r="J248" s="825"/>
      <c r="K248" s="825">
        <f t="shared" si="56"/>
        <v>0</v>
      </c>
      <c r="L248" s="825"/>
      <c r="M248" s="825"/>
      <c r="N248" s="825">
        <f>(M248*L248)/1000</f>
        <v>0</v>
      </c>
      <c r="O248" s="869"/>
      <c r="P248" s="825"/>
      <c r="Q248" s="825">
        <f t="shared" si="57"/>
        <v>0</v>
      </c>
      <c r="R248" s="869"/>
      <c r="S248" s="825"/>
      <c r="T248" s="825">
        <f>(S248*R248)/1000</f>
        <v>0</v>
      </c>
      <c r="U248" s="893"/>
      <c r="V248" s="893"/>
      <c r="W248" s="893"/>
      <c r="X248" s="912">
        <f t="shared" si="58"/>
        <v>641</v>
      </c>
      <c r="Y248" s="825">
        <f t="shared" si="59"/>
        <v>0</v>
      </c>
    </row>
    <row r="249" spans="1:25" hidden="1" x14ac:dyDescent="0.25">
      <c r="A249" s="812" t="s">
        <v>103</v>
      </c>
      <c r="B249" s="902" t="s">
        <v>264</v>
      </c>
      <c r="C249" s="869">
        <v>18311</v>
      </c>
      <c r="D249" s="825">
        <v>1777</v>
      </c>
      <c r="E249" s="825">
        <f>(D249*C249)/1000</f>
        <v>32538.647000000001</v>
      </c>
      <c r="F249" s="869">
        <v>10619</v>
      </c>
      <c r="G249" s="825">
        <v>435</v>
      </c>
      <c r="H249" s="825">
        <f t="shared" si="55"/>
        <v>4619.2650000000003</v>
      </c>
      <c r="I249" s="870">
        <v>1204</v>
      </c>
      <c r="J249" s="825">
        <v>1800</v>
      </c>
      <c r="K249" s="825">
        <f t="shared" si="56"/>
        <v>2167.1999999999998</v>
      </c>
      <c r="L249" s="825">
        <v>22457</v>
      </c>
      <c r="M249" s="825">
        <v>600</v>
      </c>
      <c r="N249" s="825">
        <f>(M249*L249)/1000</f>
        <v>13474.2</v>
      </c>
      <c r="O249" s="869">
        <v>1089</v>
      </c>
      <c r="P249" s="825"/>
      <c r="Q249" s="825">
        <f t="shared" si="57"/>
        <v>0</v>
      </c>
      <c r="R249" s="869">
        <v>500</v>
      </c>
      <c r="S249" s="825"/>
      <c r="T249" s="825">
        <f>(S249*R249)/1000</f>
        <v>0</v>
      </c>
      <c r="U249" s="893"/>
      <c r="V249" s="893"/>
      <c r="W249" s="893"/>
      <c r="X249" s="912">
        <f t="shared" si="58"/>
        <v>54180</v>
      </c>
      <c r="Y249" s="825">
        <f t="shared" si="59"/>
        <v>52799.312000000005</v>
      </c>
    </row>
    <row r="250" spans="1:25" hidden="1" x14ac:dyDescent="0.25">
      <c r="A250" s="812" t="s">
        <v>20</v>
      </c>
      <c r="B250" s="902" t="s">
        <v>264</v>
      </c>
      <c r="C250" s="869">
        <v>26843</v>
      </c>
      <c r="D250" s="825">
        <v>1107</v>
      </c>
      <c r="E250" s="825">
        <f>(D250*C250)/1000</f>
        <v>29715.201000000001</v>
      </c>
      <c r="F250" s="869">
        <f>9102+1912</f>
        <v>11014</v>
      </c>
      <c r="G250" s="825">
        <v>294</v>
      </c>
      <c r="H250" s="825">
        <f t="shared" si="55"/>
        <v>3238.116</v>
      </c>
      <c r="I250" s="870">
        <f>2256+1747</f>
        <v>4003</v>
      </c>
      <c r="J250" s="825">
        <v>1050</v>
      </c>
      <c r="K250" s="825">
        <f t="shared" si="56"/>
        <v>4203.1499999999996</v>
      </c>
      <c r="L250" s="825">
        <v>7430</v>
      </c>
      <c r="M250" s="825">
        <v>575</v>
      </c>
      <c r="N250" s="825">
        <f>(M250*L250)/1000</f>
        <v>4272.25</v>
      </c>
      <c r="O250" s="827">
        <v>330</v>
      </c>
      <c r="P250" s="825"/>
      <c r="Q250" s="825">
        <f t="shared" si="57"/>
        <v>0</v>
      </c>
      <c r="R250" s="869">
        <v>450</v>
      </c>
      <c r="S250" s="825"/>
      <c r="T250" s="825">
        <f>(S250*R250)/1000</f>
        <v>0</v>
      </c>
      <c r="U250" s="893"/>
      <c r="V250" s="893"/>
      <c r="W250" s="893"/>
      <c r="X250" s="912">
        <f t="shared" si="58"/>
        <v>50070</v>
      </c>
      <c r="Y250" s="825">
        <f t="shared" si="59"/>
        <v>41428.717000000004</v>
      </c>
    </row>
    <row r="251" spans="1:25" hidden="1" x14ac:dyDescent="0.25">
      <c r="A251" s="888" t="s">
        <v>133</v>
      </c>
      <c r="B251" s="902" t="s">
        <v>264</v>
      </c>
      <c r="C251" s="869">
        <v>71253</v>
      </c>
      <c r="D251" s="825">
        <v>736</v>
      </c>
      <c r="E251" s="825">
        <f t="shared" ref="E251:E264" si="60">(D251*C251)/1000</f>
        <v>52442.207999999999</v>
      </c>
      <c r="F251" s="869">
        <f>5300+2981</f>
        <v>8281</v>
      </c>
      <c r="G251" s="825">
        <v>440</v>
      </c>
      <c r="H251" s="825">
        <f t="shared" si="55"/>
        <v>3643.64</v>
      </c>
      <c r="I251" s="870"/>
      <c r="J251" s="825"/>
      <c r="K251" s="825">
        <f t="shared" si="56"/>
        <v>0</v>
      </c>
      <c r="L251" s="825">
        <v>17410</v>
      </c>
      <c r="M251" s="825">
        <v>600</v>
      </c>
      <c r="N251" s="825">
        <f>(M251*L251)/1000</f>
        <v>10446</v>
      </c>
      <c r="O251" s="869">
        <v>1550</v>
      </c>
      <c r="P251" s="825"/>
      <c r="Q251" s="825">
        <f t="shared" si="57"/>
        <v>0</v>
      </c>
      <c r="R251" s="869">
        <v>662</v>
      </c>
      <c r="S251" s="825">
        <v>8500</v>
      </c>
      <c r="T251" s="825">
        <f>(S251*R251)/1000</f>
        <v>5627</v>
      </c>
      <c r="U251" s="893"/>
      <c r="V251" s="893"/>
      <c r="W251" s="893"/>
      <c r="X251" s="912">
        <f t="shared" si="58"/>
        <v>104783</v>
      </c>
      <c r="Y251" s="825">
        <f t="shared" si="59"/>
        <v>72158.847999999998</v>
      </c>
    </row>
    <row r="252" spans="1:25" hidden="1" x14ac:dyDescent="0.25">
      <c r="A252" s="888" t="s">
        <v>21</v>
      </c>
      <c r="B252" s="902" t="s">
        <v>264</v>
      </c>
      <c r="C252" s="869"/>
      <c r="D252" s="825"/>
      <c r="E252" s="825">
        <f t="shared" si="60"/>
        <v>0</v>
      </c>
      <c r="F252" s="870"/>
      <c r="G252" s="825"/>
      <c r="H252" s="825">
        <f t="shared" si="55"/>
        <v>0</v>
      </c>
      <c r="I252" s="870"/>
      <c r="J252" s="825"/>
      <c r="K252" s="825">
        <f t="shared" si="56"/>
        <v>0</v>
      </c>
      <c r="L252" s="825">
        <v>375</v>
      </c>
      <c r="M252" s="825">
        <v>400</v>
      </c>
      <c r="N252" s="825">
        <f t="shared" ref="N252:N264" si="61">(M252*L252)/1000</f>
        <v>150</v>
      </c>
      <c r="O252" s="869"/>
      <c r="P252" s="825"/>
      <c r="Q252" s="825">
        <f t="shared" si="57"/>
        <v>0</v>
      </c>
      <c r="R252" s="869"/>
      <c r="S252" s="825"/>
      <c r="T252" s="825">
        <f t="shared" ref="T252:T257" si="62">(S252*R252)/1000</f>
        <v>0</v>
      </c>
      <c r="U252" s="893"/>
      <c r="V252" s="893"/>
      <c r="W252" s="893"/>
      <c r="X252" s="912">
        <f t="shared" si="58"/>
        <v>375</v>
      </c>
      <c r="Y252" s="825">
        <f t="shared" si="59"/>
        <v>150</v>
      </c>
    </row>
    <row r="253" spans="1:25" hidden="1" x14ac:dyDescent="0.25">
      <c r="A253" s="888" t="s">
        <v>22</v>
      </c>
      <c r="B253" s="902" t="s">
        <v>264</v>
      </c>
      <c r="C253" s="869">
        <v>533</v>
      </c>
      <c r="D253" s="825">
        <v>1770</v>
      </c>
      <c r="E253" s="825">
        <f t="shared" si="60"/>
        <v>943.41</v>
      </c>
      <c r="F253" s="870"/>
      <c r="G253" s="825">
        <v>0.29272695324355841</v>
      </c>
      <c r="H253" s="825">
        <f t="shared" si="55"/>
        <v>0</v>
      </c>
      <c r="I253" s="870"/>
      <c r="J253" s="825"/>
      <c r="K253" s="825">
        <f t="shared" si="56"/>
        <v>0</v>
      </c>
      <c r="L253" s="825">
        <f>907 +148</f>
        <v>1055</v>
      </c>
      <c r="M253" s="825">
        <v>1100</v>
      </c>
      <c r="N253" s="825">
        <f t="shared" si="61"/>
        <v>1160.5</v>
      </c>
      <c r="O253" s="869">
        <v>90</v>
      </c>
      <c r="P253" s="825">
        <v>17700</v>
      </c>
      <c r="Q253" s="825">
        <f t="shared" si="57"/>
        <v>1593</v>
      </c>
      <c r="R253" s="869">
        <f>24900+32</f>
        <v>24932</v>
      </c>
      <c r="S253" s="825">
        <v>19500</v>
      </c>
      <c r="T253" s="825">
        <f t="shared" si="62"/>
        <v>486174</v>
      </c>
      <c r="U253" s="893"/>
      <c r="V253" s="893"/>
      <c r="W253" s="893"/>
      <c r="X253" s="912">
        <f t="shared" si="58"/>
        <v>512784</v>
      </c>
      <c r="Y253" s="825">
        <f t="shared" si="59"/>
        <v>489870.91</v>
      </c>
    </row>
    <row r="254" spans="1:25" hidden="1" x14ac:dyDescent="0.25">
      <c r="A254" s="813" t="s">
        <v>23</v>
      </c>
      <c r="B254" s="902" t="s">
        <v>264</v>
      </c>
      <c r="C254" s="869">
        <v>230981</v>
      </c>
      <c r="D254" s="825">
        <v>1233</v>
      </c>
      <c r="E254" s="825">
        <f t="shared" si="60"/>
        <v>284799.57299999997</v>
      </c>
      <c r="F254" s="869">
        <v>37380</v>
      </c>
      <c r="G254" s="825">
        <v>835</v>
      </c>
      <c r="H254" s="825">
        <f t="shared" si="55"/>
        <v>31212.3</v>
      </c>
      <c r="I254" s="870"/>
      <c r="J254" s="825"/>
      <c r="K254" s="825">
        <f t="shared" si="56"/>
        <v>0</v>
      </c>
      <c r="L254" s="825">
        <v>10200</v>
      </c>
      <c r="M254" s="825">
        <v>365</v>
      </c>
      <c r="N254" s="825">
        <f t="shared" si="61"/>
        <v>3723</v>
      </c>
      <c r="O254" s="869"/>
      <c r="P254" s="825"/>
      <c r="Q254" s="825">
        <f t="shared" si="57"/>
        <v>0</v>
      </c>
      <c r="R254" s="869"/>
      <c r="S254" s="825"/>
      <c r="T254" s="825">
        <f t="shared" si="62"/>
        <v>0</v>
      </c>
      <c r="U254" s="893"/>
      <c r="V254" s="893"/>
      <c r="W254" s="893"/>
      <c r="X254" s="912">
        <f t="shared" si="58"/>
        <v>278561</v>
      </c>
      <c r="Y254" s="825">
        <f t="shared" si="59"/>
        <v>319734.87299999996</v>
      </c>
    </row>
    <row r="255" spans="1:25" hidden="1" x14ac:dyDescent="0.25">
      <c r="A255" s="888" t="s">
        <v>24</v>
      </c>
      <c r="B255" s="902" t="s">
        <v>264</v>
      </c>
      <c r="C255" s="869">
        <v>11555</v>
      </c>
      <c r="D255" s="825">
        <v>963</v>
      </c>
      <c r="E255" s="825">
        <f t="shared" si="60"/>
        <v>11127.465</v>
      </c>
      <c r="F255" s="869">
        <v>5390</v>
      </c>
      <c r="G255" s="825">
        <v>614</v>
      </c>
      <c r="H255" s="825">
        <f t="shared" si="55"/>
        <v>3309.46</v>
      </c>
      <c r="I255" s="870">
        <v>548</v>
      </c>
      <c r="J255" s="825">
        <v>1074</v>
      </c>
      <c r="K255" s="825">
        <f t="shared" si="56"/>
        <v>588.55200000000002</v>
      </c>
      <c r="L255" s="825">
        <v>7178</v>
      </c>
      <c r="M255" s="825">
        <v>848</v>
      </c>
      <c r="N255" s="825">
        <f t="shared" si="61"/>
        <v>6086.9440000000004</v>
      </c>
      <c r="O255" s="869"/>
      <c r="P255" s="825"/>
      <c r="Q255" s="825">
        <f t="shared" si="57"/>
        <v>0</v>
      </c>
      <c r="R255" s="869">
        <v>2524</v>
      </c>
      <c r="S255" s="825">
        <v>10558</v>
      </c>
      <c r="T255" s="825">
        <f t="shared" si="62"/>
        <v>26648.392</v>
      </c>
      <c r="U255" s="893"/>
      <c r="V255" s="893"/>
      <c r="W255" s="893"/>
      <c r="X255" s="912">
        <f t="shared" si="58"/>
        <v>53843.392</v>
      </c>
      <c r="Y255" s="825">
        <f t="shared" si="59"/>
        <v>47760.812999999995</v>
      </c>
    </row>
    <row r="256" spans="1:25" hidden="1" x14ac:dyDescent="0.25">
      <c r="A256" s="888" t="s">
        <v>134</v>
      </c>
      <c r="B256" s="902" t="s">
        <v>264</v>
      </c>
      <c r="C256" s="869">
        <f>76734+105079</f>
        <v>181813</v>
      </c>
      <c r="D256" s="825">
        <v>1978</v>
      </c>
      <c r="E256" s="825">
        <f t="shared" si="60"/>
        <v>359626.114</v>
      </c>
      <c r="F256" s="869">
        <f>32025+2200</f>
        <v>34225</v>
      </c>
      <c r="G256" s="825">
        <v>800</v>
      </c>
      <c r="H256" s="825">
        <f t="shared" si="55"/>
        <v>27380</v>
      </c>
      <c r="I256" s="870"/>
      <c r="J256" s="825"/>
      <c r="K256" s="825">
        <f t="shared" si="56"/>
        <v>0</v>
      </c>
      <c r="L256" s="825">
        <v>26964</v>
      </c>
      <c r="M256" s="825">
        <v>767</v>
      </c>
      <c r="N256" s="825">
        <f t="shared" si="61"/>
        <v>20681.387999999999</v>
      </c>
      <c r="O256" s="869"/>
      <c r="P256" s="825"/>
      <c r="Q256" s="825">
        <f t="shared" si="57"/>
        <v>0</v>
      </c>
      <c r="R256" s="869"/>
      <c r="S256" s="825"/>
      <c r="T256" s="825">
        <f t="shared" si="62"/>
        <v>0</v>
      </c>
      <c r="U256" s="893"/>
      <c r="V256" s="893"/>
      <c r="W256" s="893"/>
      <c r="X256" s="912">
        <f t="shared" si="58"/>
        <v>243002</v>
      </c>
      <c r="Y256" s="825">
        <f t="shared" si="59"/>
        <v>407687.50199999998</v>
      </c>
    </row>
    <row r="257" spans="1:25" hidden="1" x14ac:dyDescent="0.25">
      <c r="A257" s="888" t="s">
        <v>161</v>
      </c>
      <c r="B257" s="902" t="s">
        <v>264</v>
      </c>
      <c r="C257" s="869">
        <f>19333+11258</f>
        <v>30591</v>
      </c>
      <c r="D257" s="825">
        <v>2147</v>
      </c>
      <c r="E257" s="825">
        <f t="shared" si="60"/>
        <v>65678.876999999993</v>
      </c>
      <c r="F257" s="869">
        <f>112+819</f>
        <v>931</v>
      </c>
      <c r="G257" s="825">
        <v>246</v>
      </c>
      <c r="H257" s="825">
        <f t="shared" si="55"/>
        <v>229.02600000000001</v>
      </c>
      <c r="I257" s="871"/>
      <c r="J257" s="825"/>
      <c r="K257" s="825">
        <f t="shared" si="56"/>
        <v>0</v>
      </c>
      <c r="L257" s="825">
        <v>3945</v>
      </c>
      <c r="M257" s="825">
        <v>419</v>
      </c>
      <c r="N257" s="825">
        <f t="shared" si="61"/>
        <v>1652.9549999999999</v>
      </c>
      <c r="O257" s="869"/>
      <c r="P257" s="825"/>
      <c r="Q257" s="825">
        <f t="shared" si="57"/>
        <v>0</v>
      </c>
      <c r="R257" s="869"/>
      <c r="S257" s="825"/>
      <c r="T257" s="825">
        <f t="shared" si="62"/>
        <v>0</v>
      </c>
      <c r="U257" s="893"/>
      <c r="V257" s="893"/>
      <c r="W257" s="893"/>
      <c r="X257" s="912">
        <f t="shared" si="58"/>
        <v>35467</v>
      </c>
      <c r="Y257" s="825">
        <f t="shared" si="59"/>
        <v>67560.857999999993</v>
      </c>
    </row>
    <row r="258" spans="1:25" hidden="1" x14ac:dyDescent="0.25">
      <c r="A258" s="888" t="s">
        <v>135</v>
      </c>
      <c r="B258" s="902" t="s">
        <v>264</v>
      </c>
      <c r="C258" s="869">
        <v>59009</v>
      </c>
      <c r="D258" s="825">
        <v>1499</v>
      </c>
      <c r="E258" s="825">
        <f t="shared" si="60"/>
        <v>88454.490999999995</v>
      </c>
      <c r="F258" s="869">
        <v>18432</v>
      </c>
      <c r="G258" s="825">
        <v>411</v>
      </c>
      <c r="H258" s="825">
        <f t="shared" ref="H258:H264" si="63">(G258*F258)/1000</f>
        <v>7575.5519999999997</v>
      </c>
      <c r="I258" s="870">
        <v>9242</v>
      </c>
      <c r="J258" s="825">
        <v>1003</v>
      </c>
      <c r="K258" s="825">
        <f t="shared" ref="K258:K263" si="64">(J258*I258)/1000</f>
        <v>9269.7260000000006</v>
      </c>
      <c r="L258" s="869">
        <v>17792</v>
      </c>
      <c r="M258" s="825">
        <v>791</v>
      </c>
      <c r="N258" s="825">
        <f t="shared" si="61"/>
        <v>14073.472</v>
      </c>
      <c r="O258" s="869">
        <v>3602</v>
      </c>
      <c r="P258" s="825">
        <v>9720</v>
      </c>
      <c r="Q258" s="825">
        <f t="shared" ref="Q258:Q264" si="65">(O258*P258)/1000</f>
        <v>35011.440000000002</v>
      </c>
      <c r="R258" s="870"/>
      <c r="S258" s="825"/>
      <c r="T258" s="825">
        <f t="shared" ref="T258:T264" si="66">(S258*R258)/1000</f>
        <v>0</v>
      </c>
      <c r="U258" s="893"/>
      <c r="V258" s="893"/>
      <c r="W258" s="893"/>
      <c r="X258" s="912">
        <f t="shared" si="58"/>
        <v>108077</v>
      </c>
      <c r="Y258" s="825">
        <f t="shared" si="59"/>
        <v>154384.68099999998</v>
      </c>
    </row>
    <row r="259" spans="1:25" hidden="1" x14ac:dyDescent="0.25">
      <c r="A259" s="812" t="s">
        <v>281</v>
      </c>
      <c r="B259" s="902" t="s">
        <v>264</v>
      </c>
      <c r="C259" s="869">
        <f>12172+2205+4351+1521</f>
        <v>20249</v>
      </c>
      <c r="D259" s="825">
        <v>2735</v>
      </c>
      <c r="E259" s="825">
        <f t="shared" si="60"/>
        <v>55381.014999999999</v>
      </c>
      <c r="F259" s="869">
        <f>1854+2803+1795+1412</f>
        <v>7864</v>
      </c>
      <c r="G259" s="825">
        <v>433</v>
      </c>
      <c r="H259" s="825">
        <f t="shared" si="63"/>
        <v>3405.1120000000001</v>
      </c>
      <c r="I259" s="870">
        <f>747+1917+127</f>
        <v>2791</v>
      </c>
      <c r="J259" s="825">
        <v>708</v>
      </c>
      <c r="K259" s="825">
        <f t="shared" si="64"/>
        <v>1976.028</v>
      </c>
      <c r="L259" s="869">
        <f>5621+2402+1313+3591</f>
        <v>12927</v>
      </c>
      <c r="M259" s="825">
        <v>470</v>
      </c>
      <c r="N259" s="825">
        <f t="shared" si="61"/>
        <v>6075.69</v>
      </c>
      <c r="O259" s="869">
        <f>292+601+2235</f>
        <v>3128</v>
      </c>
      <c r="P259" s="825">
        <v>11000</v>
      </c>
      <c r="Q259" s="825">
        <f t="shared" si="65"/>
        <v>34408</v>
      </c>
      <c r="R259" s="870"/>
      <c r="S259" s="825"/>
      <c r="T259" s="825">
        <f t="shared" si="66"/>
        <v>0</v>
      </c>
      <c r="U259" s="893"/>
      <c r="V259" s="893"/>
      <c r="W259" s="893"/>
      <c r="X259" s="912">
        <f t="shared" si="58"/>
        <v>46959</v>
      </c>
      <c r="Y259" s="825">
        <f t="shared" si="59"/>
        <v>101245.845</v>
      </c>
    </row>
    <row r="260" spans="1:25" hidden="1" x14ac:dyDescent="0.25">
      <c r="A260" s="812" t="s">
        <v>282</v>
      </c>
      <c r="B260" s="902" t="s">
        <v>264</v>
      </c>
      <c r="C260" s="869">
        <f>17568+26223</f>
        <v>43791</v>
      </c>
      <c r="D260" s="825">
        <v>983</v>
      </c>
      <c r="E260" s="825">
        <f t="shared" si="60"/>
        <v>43046.553</v>
      </c>
      <c r="F260" s="869">
        <f>2301+12972</f>
        <v>15273</v>
      </c>
      <c r="G260" s="825">
        <v>400</v>
      </c>
      <c r="H260" s="825">
        <f t="shared" si="63"/>
        <v>6109.2</v>
      </c>
      <c r="I260" s="870"/>
      <c r="J260" s="825"/>
      <c r="K260" s="825">
        <f t="shared" si="64"/>
        <v>0</v>
      </c>
      <c r="L260" s="869">
        <f>5021+6242</f>
        <v>11263</v>
      </c>
      <c r="M260" s="825">
        <v>514</v>
      </c>
      <c r="N260" s="825">
        <f t="shared" si="61"/>
        <v>5789.1819999999998</v>
      </c>
      <c r="O260" s="869">
        <f>2117+3146</f>
        <v>5263</v>
      </c>
      <c r="P260" s="825">
        <v>4333</v>
      </c>
      <c r="Q260" s="825">
        <f t="shared" si="65"/>
        <v>22804.579000000002</v>
      </c>
      <c r="R260" s="870"/>
      <c r="S260" s="825"/>
      <c r="T260" s="825">
        <f t="shared" si="66"/>
        <v>0</v>
      </c>
      <c r="U260" s="893"/>
      <c r="V260" s="893"/>
      <c r="W260" s="893"/>
      <c r="X260" s="912">
        <f t="shared" si="58"/>
        <v>75590</v>
      </c>
      <c r="Y260" s="825">
        <f t="shared" si="59"/>
        <v>77749.513999999996</v>
      </c>
    </row>
    <row r="261" spans="1:25" hidden="1" x14ac:dyDescent="0.25">
      <c r="A261" s="812" t="s">
        <v>52</v>
      </c>
      <c r="B261" s="902" t="s">
        <v>264</v>
      </c>
      <c r="C261" s="869">
        <v>44911</v>
      </c>
      <c r="D261" s="825">
        <v>1376</v>
      </c>
      <c r="E261" s="825">
        <f t="shared" si="60"/>
        <v>61797.536</v>
      </c>
      <c r="F261" s="869">
        <v>3601</v>
      </c>
      <c r="G261" s="825">
        <v>410</v>
      </c>
      <c r="H261" s="825">
        <f t="shared" si="63"/>
        <v>1476.41</v>
      </c>
      <c r="I261" s="870">
        <v>2301</v>
      </c>
      <c r="J261" s="825">
        <v>1250</v>
      </c>
      <c r="K261" s="825">
        <f t="shared" si="64"/>
        <v>2876.25</v>
      </c>
      <c r="L261" s="869">
        <v>7374</v>
      </c>
      <c r="M261" s="825">
        <v>706</v>
      </c>
      <c r="N261" s="825">
        <f t="shared" si="61"/>
        <v>5206.0439999999999</v>
      </c>
      <c r="O261" s="869">
        <v>2368</v>
      </c>
      <c r="P261" s="825">
        <v>780</v>
      </c>
      <c r="Q261" s="825">
        <f t="shared" si="65"/>
        <v>1847.04</v>
      </c>
      <c r="R261" s="870"/>
      <c r="S261" s="825"/>
      <c r="T261" s="825">
        <f t="shared" si="66"/>
        <v>0</v>
      </c>
      <c r="U261" s="893"/>
      <c r="V261" s="893"/>
      <c r="W261" s="893"/>
      <c r="X261" s="912">
        <f t="shared" si="58"/>
        <v>60555</v>
      </c>
      <c r="Y261" s="825">
        <f t="shared" si="59"/>
        <v>73203.28</v>
      </c>
    </row>
    <row r="262" spans="1:25" hidden="1" x14ac:dyDescent="0.25">
      <c r="A262" s="812" t="s">
        <v>50</v>
      </c>
      <c r="B262" s="902" t="s">
        <v>264</v>
      </c>
      <c r="C262" s="869">
        <v>66425</v>
      </c>
      <c r="D262" s="825">
        <v>1464</v>
      </c>
      <c r="E262" s="825">
        <f t="shared" si="60"/>
        <v>97246.2</v>
      </c>
      <c r="F262" s="869">
        <v>31690</v>
      </c>
      <c r="G262" s="825">
        <v>500</v>
      </c>
      <c r="H262" s="825">
        <f t="shared" si="63"/>
        <v>15845</v>
      </c>
      <c r="I262" s="870"/>
      <c r="J262" s="825"/>
      <c r="K262" s="825">
        <f t="shared" si="64"/>
        <v>0</v>
      </c>
      <c r="L262" s="869">
        <v>13660</v>
      </c>
      <c r="M262" s="825">
        <v>450</v>
      </c>
      <c r="N262" s="825">
        <f t="shared" si="61"/>
        <v>6147</v>
      </c>
      <c r="O262" s="869">
        <v>7395</v>
      </c>
      <c r="P262" s="825">
        <v>9377</v>
      </c>
      <c r="Q262" s="825">
        <f t="shared" si="65"/>
        <v>69342.914999999994</v>
      </c>
      <c r="R262" s="870"/>
      <c r="S262" s="825"/>
      <c r="T262" s="825">
        <f t="shared" si="66"/>
        <v>0</v>
      </c>
      <c r="U262" s="893"/>
      <c r="V262" s="893"/>
      <c r="W262" s="893"/>
      <c r="X262" s="912">
        <f t="shared" si="58"/>
        <v>119170</v>
      </c>
      <c r="Y262" s="825">
        <f t="shared" si="59"/>
        <v>188581.11499999999</v>
      </c>
    </row>
    <row r="263" spans="1:25" hidden="1" x14ac:dyDescent="0.25">
      <c r="A263" s="812" t="s">
        <v>163</v>
      </c>
      <c r="B263" s="902" t="s">
        <v>264</v>
      </c>
      <c r="C263" s="869">
        <v>42049</v>
      </c>
      <c r="D263" s="825">
        <v>667</v>
      </c>
      <c r="E263" s="825">
        <f t="shared" si="60"/>
        <v>28046.683000000001</v>
      </c>
      <c r="F263" s="869">
        <v>16902</v>
      </c>
      <c r="G263" s="825">
        <v>500</v>
      </c>
      <c r="H263" s="825">
        <f t="shared" si="63"/>
        <v>8451</v>
      </c>
      <c r="I263" s="870">
        <v>2476</v>
      </c>
      <c r="J263" s="825">
        <v>1394</v>
      </c>
      <c r="K263" s="825">
        <f t="shared" si="64"/>
        <v>3451.5439999999999</v>
      </c>
      <c r="L263" s="869">
        <v>12021</v>
      </c>
      <c r="M263" s="825">
        <v>780</v>
      </c>
      <c r="N263" s="825">
        <f t="shared" si="61"/>
        <v>9376.3799999999992</v>
      </c>
      <c r="O263" s="869">
        <v>3050</v>
      </c>
      <c r="P263" s="825">
        <v>8000</v>
      </c>
      <c r="Q263" s="825">
        <f t="shared" si="65"/>
        <v>24400</v>
      </c>
      <c r="R263" s="870"/>
      <c r="S263" s="825">
        <v>1270</v>
      </c>
      <c r="T263" s="825">
        <f t="shared" si="66"/>
        <v>0</v>
      </c>
      <c r="U263" s="893"/>
      <c r="V263" s="893"/>
      <c r="W263" s="893"/>
      <c r="X263" s="912">
        <f t="shared" si="58"/>
        <v>76498</v>
      </c>
      <c r="Y263" s="825">
        <f t="shared" si="59"/>
        <v>73725.607000000004</v>
      </c>
    </row>
    <row r="264" spans="1:25" hidden="1" x14ac:dyDescent="0.25">
      <c r="A264" s="813" t="s">
        <v>27</v>
      </c>
      <c r="B264" s="902" t="s">
        <v>264</v>
      </c>
      <c r="C264" s="869">
        <v>34476</v>
      </c>
      <c r="D264" s="825">
        <v>802</v>
      </c>
      <c r="E264" s="825">
        <f t="shared" si="60"/>
        <v>27649.752</v>
      </c>
      <c r="F264" s="869">
        <v>8763</v>
      </c>
      <c r="G264" s="825">
        <v>500</v>
      </c>
      <c r="H264" s="825">
        <f t="shared" si="63"/>
        <v>4381.5</v>
      </c>
      <c r="I264" s="869">
        <v>2647</v>
      </c>
      <c r="J264" s="825"/>
      <c r="K264" s="825"/>
      <c r="L264" s="869">
        <v>9774</v>
      </c>
      <c r="M264" s="825">
        <v>400</v>
      </c>
      <c r="N264" s="825">
        <f t="shared" si="61"/>
        <v>3909.6</v>
      </c>
      <c r="O264" s="869">
        <v>2374</v>
      </c>
      <c r="P264" s="825">
        <v>14000</v>
      </c>
      <c r="Q264" s="825">
        <f t="shared" si="65"/>
        <v>33236</v>
      </c>
      <c r="R264" s="870">
        <v>7000</v>
      </c>
      <c r="S264" s="825"/>
      <c r="T264" s="825">
        <f t="shared" si="66"/>
        <v>0</v>
      </c>
      <c r="U264" s="893"/>
      <c r="V264" s="893"/>
      <c r="W264" s="893"/>
      <c r="X264" s="912">
        <f t="shared" si="58"/>
        <v>65034</v>
      </c>
      <c r="Y264" s="825">
        <f t="shared" si="59"/>
        <v>69176.851999999999</v>
      </c>
    </row>
    <row r="265" spans="1:25" x14ac:dyDescent="0.25">
      <c r="A265" s="874" t="s">
        <v>15</v>
      </c>
      <c r="B265" s="913" t="s">
        <v>265</v>
      </c>
      <c r="C265" s="878">
        <v>16925</v>
      </c>
      <c r="D265" s="878">
        <v>700</v>
      </c>
      <c r="E265" s="878">
        <v>11847.5</v>
      </c>
      <c r="F265" s="878">
        <v>7934</v>
      </c>
      <c r="G265" s="878">
        <v>414</v>
      </c>
      <c r="H265" s="878">
        <v>3284.6759999999999</v>
      </c>
      <c r="I265" s="839">
        <v>324</v>
      </c>
      <c r="J265" s="839">
        <v>406</v>
      </c>
      <c r="K265" s="839">
        <v>5189.0860000000002</v>
      </c>
      <c r="L265" s="839">
        <v>12781</v>
      </c>
      <c r="M265" s="839">
        <v>406</v>
      </c>
      <c r="N265" s="839">
        <v>131.54400000000001</v>
      </c>
      <c r="O265" s="839">
        <v>0</v>
      </c>
      <c r="P265" s="839"/>
      <c r="Q265" s="839">
        <v>0</v>
      </c>
      <c r="R265" s="839">
        <v>0</v>
      </c>
      <c r="S265" s="839"/>
      <c r="T265" s="839">
        <v>0</v>
      </c>
      <c r="U265" s="839"/>
      <c r="V265" s="839"/>
      <c r="W265" s="839"/>
      <c r="X265" s="839">
        <f t="shared" ref="X265:X293" si="67">C265+F265+L265+I265+O265+R265+U265</f>
        <v>37964</v>
      </c>
      <c r="Y265" s="839">
        <f t="shared" ref="Y265:Y282" si="68">E265+H265+K265+N265+Q265+T265+W265</f>
        <v>20452.806</v>
      </c>
    </row>
    <row r="266" spans="1:25" x14ac:dyDescent="0.25">
      <c r="A266" s="887" t="s">
        <v>187</v>
      </c>
      <c r="B266" s="913" t="s">
        <v>265</v>
      </c>
      <c r="C266" s="830">
        <v>0</v>
      </c>
      <c r="D266" s="830"/>
      <c r="E266" s="878">
        <v>0</v>
      </c>
      <c r="F266" s="830">
        <v>0</v>
      </c>
      <c r="G266" s="830"/>
      <c r="H266" s="878">
        <v>0</v>
      </c>
      <c r="I266" s="839"/>
      <c r="J266" s="839"/>
      <c r="K266" s="839">
        <v>50.456000000000003</v>
      </c>
      <c r="L266" s="839">
        <v>212</v>
      </c>
      <c r="M266" s="839">
        <v>238</v>
      </c>
      <c r="N266" s="839"/>
      <c r="O266" s="839">
        <v>0</v>
      </c>
      <c r="P266" s="839"/>
      <c r="Q266" s="839"/>
      <c r="R266" s="839">
        <v>0</v>
      </c>
      <c r="S266" s="839"/>
      <c r="T266" s="839"/>
      <c r="U266" s="839"/>
      <c r="V266" s="839"/>
      <c r="W266" s="839"/>
      <c r="X266" s="839">
        <f t="shared" si="67"/>
        <v>212</v>
      </c>
      <c r="Y266" s="839">
        <f t="shared" si="68"/>
        <v>50.456000000000003</v>
      </c>
    </row>
    <row r="267" spans="1:25" x14ac:dyDescent="0.25">
      <c r="A267" s="812" t="s">
        <v>103</v>
      </c>
      <c r="B267" s="913" t="s">
        <v>265</v>
      </c>
      <c r="C267" s="830">
        <v>73376</v>
      </c>
      <c r="D267" s="830">
        <v>1304</v>
      </c>
      <c r="E267" s="878">
        <v>95682.304000000004</v>
      </c>
      <c r="F267" s="830">
        <v>15155</v>
      </c>
      <c r="G267" s="830">
        <v>494</v>
      </c>
      <c r="H267" s="878">
        <v>7486.57</v>
      </c>
      <c r="I267" s="839">
        <v>2272</v>
      </c>
      <c r="J267" s="839">
        <v>1160</v>
      </c>
      <c r="K267" s="839">
        <v>16816.225999999999</v>
      </c>
      <c r="L267" s="839">
        <v>29554</v>
      </c>
      <c r="M267" s="839">
        <v>569</v>
      </c>
      <c r="N267" s="839">
        <v>2635.52</v>
      </c>
      <c r="O267" s="839">
        <v>2792.5</v>
      </c>
      <c r="P267" s="839">
        <v>5500</v>
      </c>
      <c r="Q267" s="839">
        <v>15358.75</v>
      </c>
      <c r="R267" s="839">
        <v>1800</v>
      </c>
      <c r="S267" s="839">
        <v>7248</v>
      </c>
      <c r="T267" s="839">
        <v>13046.4</v>
      </c>
      <c r="U267" s="839"/>
      <c r="V267" s="839"/>
      <c r="W267" s="839"/>
      <c r="X267" s="839">
        <f t="shared" si="67"/>
        <v>124949.5</v>
      </c>
      <c r="Y267" s="839">
        <f t="shared" si="68"/>
        <v>151025.76999999999</v>
      </c>
    </row>
    <row r="268" spans="1:25" x14ac:dyDescent="0.25">
      <c r="A268" s="812" t="s">
        <v>20</v>
      </c>
      <c r="B268" s="913" t="s">
        <v>265</v>
      </c>
      <c r="C268" s="878">
        <v>33688</v>
      </c>
      <c r="D268" s="830">
        <v>900</v>
      </c>
      <c r="E268" s="878">
        <v>30319.200000000001</v>
      </c>
      <c r="F268" s="878">
        <v>21268</v>
      </c>
      <c r="G268" s="830">
        <v>478</v>
      </c>
      <c r="H268" s="878">
        <v>10166.103999999999</v>
      </c>
      <c r="I268" s="839">
        <v>4295</v>
      </c>
      <c r="J268" s="839">
        <v>930</v>
      </c>
      <c r="K268" s="839">
        <v>3572.1019999999999</v>
      </c>
      <c r="L268" s="839">
        <v>7411</v>
      </c>
      <c r="M268" s="839">
        <v>482</v>
      </c>
      <c r="N268" s="839">
        <v>3994.35</v>
      </c>
      <c r="O268" s="839">
        <v>409</v>
      </c>
      <c r="P268" s="839">
        <v>4200</v>
      </c>
      <c r="Q268" s="839">
        <v>1717.8</v>
      </c>
      <c r="R268" s="839">
        <v>1004</v>
      </c>
      <c r="S268" s="839">
        <v>8473</v>
      </c>
      <c r="T268" s="839">
        <v>8506.8919999999998</v>
      </c>
      <c r="U268" s="839"/>
      <c r="V268" s="839"/>
      <c r="W268" s="839"/>
      <c r="X268" s="839">
        <f t="shared" si="67"/>
        <v>68075</v>
      </c>
      <c r="Y268" s="839">
        <f t="shared" si="68"/>
        <v>58276.448000000004</v>
      </c>
    </row>
    <row r="269" spans="1:25" x14ac:dyDescent="0.25">
      <c r="A269" s="874" t="s">
        <v>133</v>
      </c>
      <c r="B269" s="913" t="s">
        <v>265</v>
      </c>
      <c r="C269" s="879">
        <v>33298</v>
      </c>
      <c r="D269" s="830">
        <v>1597.0666666666664</v>
      </c>
      <c r="E269" s="878">
        <v>53179.125866666662</v>
      </c>
      <c r="F269" s="879">
        <v>1636</v>
      </c>
      <c r="G269" s="830">
        <v>500</v>
      </c>
      <c r="H269" s="878">
        <v>818</v>
      </c>
      <c r="I269" s="839"/>
      <c r="J269" s="839"/>
      <c r="K269" s="839">
        <v>9007.5239999999994</v>
      </c>
      <c r="L269" s="839">
        <v>18534</v>
      </c>
      <c r="M269" s="839">
        <v>486</v>
      </c>
      <c r="N269" s="839">
        <v>0</v>
      </c>
      <c r="O269" s="839">
        <v>0</v>
      </c>
      <c r="P269" s="839"/>
      <c r="Q269" s="839">
        <v>0</v>
      </c>
      <c r="R269" s="839">
        <v>0</v>
      </c>
      <c r="S269" s="839"/>
      <c r="T269" s="839">
        <v>0</v>
      </c>
      <c r="U269" s="839"/>
      <c r="V269" s="839"/>
      <c r="W269" s="839"/>
      <c r="X269" s="839">
        <f t="shared" si="67"/>
        <v>53468</v>
      </c>
      <c r="Y269" s="839">
        <f t="shared" si="68"/>
        <v>63004.649866666659</v>
      </c>
    </row>
    <row r="270" spans="1:25" x14ac:dyDescent="0.25">
      <c r="A270" s="874" t="s">
        <v>21</v>
      </c>
      <c r="B270" s="913" t="s">
        <v>265</v>
      </c>
      <c r="C270" s="904">
        <v>0</v>
      </c>
      <c r="D270" s="904"/>
      <c r="E270" s="878">
        <v>0</v>
      </c>
      <c r="F270" s="904">
        <v>0</v>
      </c>
      <c r="G270" s="904"/>
      <c r="H270" s="878">
        <v>0</v>
      </c>
      <c r="I270" s="839"/>
      <c r="J270" s="839"/>
      <c r="K270" s="839">
        <v>12.348000000000001</v>
      </c>
      <c r="L270" s="839">
        <v>49</v>
      </c>
      <c r="M270" s="839">
        <v>252</v>
      </c>
      <c r="N270" s="839">
        <v>0</v>
      </c>
      <c r="O270" s="839">
        <v>0</v>
      </c>
      <c r="P270" s="839"/>
      <c r="Q270" s="839">
        <v>0</v>
      </c>
      <c r="R270" s="839">
        <v>0</v>
      </c>
      <c r="S270" s="839"/>
      <c r="T270" s="839">
        <v>0</v>
      </c>
      <c r="U270" s="839"/>
      <c r="V270" s="839"/>
      <c r="W270" s="839"/>
      <c r="X270" s="839">
        <f t="shared" si="67"/>
        <v>49</v>
      </c>
      <c r="Y270" s="839">
        <f t="shared" si="68"/>
        <v>12.348000000000001</v>
      </c>
    </row>
    <row r="271" spans="1:25" x14ac:dyDescent="0.25">
      <c r="A271" s="874" t="s">
        <v>22</v>
      </c>
      <c r="B271" s="913" t="s">
        <v>265</v>
      </c>
      <c r="C271" s="904">
        <v>0</v>
      </c>
      <c r="D271" s="904"/>
      <c r="E271" s="878">
        <v>0</v>
      </c>
      <c r="F271" s="904">
        <v>0</v>
      </c>
      <c r="G271" s="904"/>
      <c r="H271" s="878">
        <v>0</v>
      </c>
      <c r="I271" s="839"/>
      <c r="J271" s="839"/>
      <c r="K271" s="839">
        <v>112.22</v>
      </c>
      <c r="L271" s="839">
        <v>124</v>
      </c>
      <c r="M271" s="839">
        <v>905</v>
      </c>
      <c r="N271" s="839">
        <v>0</v>
      </c>
      <c r="O271" s="839">
        <v>96.86</v>
      </c>
      <c r="P271" s="839">
        <v>17400</v>
      </c>
      <c r="Q271" s="839">
        <v>1685.364</v>
      </c>
      <c r="R271" s="839">
        <v>4954</v>
      </c>
      <c r="S271" s="839">
        <v>16243</v>
      </c>
      <c r="T271" s="839">
        <v>80467.822</v>
      </c>
      <c r="U271" s="839"/>
      <c r="V271" s="839"/>
      <c r="W271" s="839"/>
      <c r="X271" s="839">
        <f t="shared" si="67"/>
        <v>5174.8599999999997</v>
      </c>
      <c r="Y271" s="839">
        <f t="shared" si="68"/>
        <v>82265.406000000003</v>
      </c>
    </row>
    <row r="272" spans="1:25" x14ac:dyDescent="0.25">
      <c r="A272" s="813" t="s">
        <v>23</v>
      </c>
      <c r="B272" s="913" t="s">
        <v>265</v>
      </c>
      <c r="C272" s="830">
        <v>250750</v>
      </c>
      <c r="D272" s="830">
        <v>909</v>
      </c>
      <c r="E272" s="878">
        <v>227931.75</v>
      </c>
      <c r="F272" s="830">
        <v>29125</v>
      </c>
      <c r="G272" s="830">
        <v>389</v>
      </c>
      <c r="H272" s="878">
        <v>11329.625</v>
      </c>
      <c r="I272" s="839"/>
      <c r="J272" s="839"/>
      <c r="K272" s="839">
        <v>4978.72</v>
      </c>
      <c r="L272" s="839">
        <v>10730</v>
      </c>
      <c r="M272" s="839">
        <v>464</v>
      </c>
      <c r="N272" s="839">
        <v>0</v>
      </c>
      <c r="O272" s="839">
        <v>0</v>
      </c>
      <c r="P272" s="839"/>
      <c r="Q272" s="839">
        <v>0</v>
      </c>
      <c r="R272" s="839">
        <v>0</v>
      </c>
      <c r="S272" s="839"/>
      <c r="T272" s="839">
        <v>0</v>
      </c>
      <c r="U272" s="839"/>
      <c r="V272" s="839"/>
      <c r="W272" s="839"/>
      <c r="X272" s="839">
        <f t="shared" si="67"/>
        <v>290605</v>
      </c>
      <c r="Y272" s="839">
        <f t="shared" si="68"/>
        <v>244240.095</v>
      </c>
    </row>
    <row r="273" spans="1:25" x14ac:dyDescent="0.25">
      <c r="A273" s="874" t="s">
        <v>24</v>
      </c>
      <c r="B273" s="913" t="s">
        <v>265</v>
      </c>
      <c r="C273" s="878">
        <v>10985</v>
      </c>
      <c r="D273" s="878">
        <v>850</v>
      </c>
      <c r="E273" s="878">
        <v>9337.25</v>
      </c>
      <c r="F273" s="878">
        <v>5338</v>
      </c>
      <c r="G273" s="878">
        <v>472</v>
      </c>
      <c r="H273" s="878">
        <v>2519.5360000000001</v>
      </c>
      <c r="I273" s="839">
        <v>557</v>
      </c>
      <c r="J273" s="839">
        <v>980</v>
      </c>
      <c r="K273" s="839">
        <v>5262.6819999999998</v>
      </c>
      <c r="L273" s="839">
        <v>6077</v>
      </c>
      <c r="M273" s="839">
        <v>866</v>
      </c>
      <c r="N273" s="839">
        <v>545.86</v>
      </c>
      <c r="O273" s="839">
        <v>3726</v>
      </c>
      <c r="P273" s="839">
        <v>9820</v>
      </c>
      <c r="Q273" s="839">
        <v>36589.32</v>
      </c>
      <c r="R273" s="839">
        <v>3264</v>
      </c>
      <c r="S273" s="839">
        <v>9936</v>
      </c>
      <c r="T273" s="839">
        <v>32431.103999999999</v>
      </c>
      <c r="U273" s="839"/>
      <c r="V273" s="839"/>
      <c r="W273" s="839"/>
      <c r="X273" s="839">
        <f t="shared" si="67"/>
        <v>29947</v>
      </c>
      <c r="Y273" s="839">
        <f t="shared" si="68"/>
        <v>86685.752000000008</v>
      </c>
    </row>
    <row r="274" spans="1:25" x14ac:dyDescent="0.25">
      <c r="A274" s="874" t="s">
        <v>134</v>
      </c>
      <c r="B274" s="913" t="s">
        <v>265</v>
      </c>
      <c r="C274" s="830">
        <v>135678</v>
      </c>
      <c r="D274" s="830">
        <v>1020.2736842105263</v>
      </c>
      <c r="E274" s="878">
        <v>138428.69292631579</v>
      </c>
      <c r="F274" s="830">
        <v>33531</v>
      </c>
      <c r="G274" s="830">
        <v>517</v>
      </c>
      <c r="H274" s="878">
        <v>17335.526999999998</v>
      </c>
      <c r="I274" s="839"/>
      <c r="J274" s="839"/>
      <c r="K274" s="839">
        <v>8397.18</v>
      </c>
      <c r="L274" s="839">
        <v>12723</v>
      </c>
      <c r="M274" s="839">
        <v>660</v>
      </c>
      <c r="N274" s="839">
        <v>0</v>
      </c>
      <c r="O274" s="839">
        <v>0</v>
      </c>
      <c r="P274" s="839"/>
      <c r="Q274" s="839">
        <v>0</v>
      </c>
      <c r="R274" s="839">
        <v>0</v>
      </c>
      <c r="S274" s="839"/>
      <c r="T274" s="839">
        <v>0</v>
      </c>
      <c r="U274" s="839"/>
      <c r="V274" s="839"/>
      <c r="W274" s="839"/>
      <c r="X274" s="839">
        <f t="shared" si="67"/>
        <v>181932</v>
      </c>
      <c r="Y274" s="839">
        <f t="shared" si="68"/>
        <v>164161.39992631579</v>
      </c>
    </row>
    <row r="275" spans="1:25" x14ac:dyDescent="0.25">
      <c r="A275" s="874" t="s">
        <v>161</v>
      </c>
      <c r="B275" s="913" t="s">
        <v>265</v>
      </c>
      <c r="C275" s="830">
        <v>21398</v>
      </c>
      <c r="D275" s="830">
        <v>600</v>
      </c>
      <c r="E275" s="878">
        <v>12838.8</v>
      </c>
      <c r="F275" s="830">
        <v>668</v>
      </c>
      <c r="G275" s="830">
        <v>234</v>
      </c>
      <c r="H275" s="878">
        <v>156.31200000000001</v>
      </c>
      <c r="I275" s="839"/>
      <c r="J275" s="839"/>
      <c r="K275" s="839">
        <v>1186.2059999999999</v>
      </c>
      <c r="L275" s="839">
        <v>3241</v>
      </c>
      <c r="M275" s="839">
        <v>366</v>
      </c>
      <c r="N275" s="839">
        <v>0</v>
      </c>
      <c r="O275" s="839">
        <v>0</v>
      </c>
      <c r="P275" s="839"/>
      <c r="Q275" s="839">
        <v>0</v>
      </c>
      <c r="R275" s="839">
        <v>0</v>
      </c>
      <c r="S275" s="839"/>
      <c r="T275" s="839">
        <v>0</v>
      </c>
      <c r="U275" s="839"/>
      <c r="V275" s="839"/>
      <c r="W275" s="839"/>
      <c r="X275" s="839">
        <f t="shared" si="67"/>
        <v>25307</v>
      </c>
      <c r="Y275" s="839">
        <f t="shared" si="68"/>
        <v>14181.317999999999</v>
      </c>
    </row>
    <row r="276" spans="1:25" x14ac:dyDescent="0.25">
      <c r="A276" s="874" t="s">
        <v>135</v>
      </c>
      <c r="B276" s="913" t="s">
        <v>265</v>
      </c>
      <c r="C276" s="879">
        <v>52074.34</v>
      </c>
      <c r="D276" s="879">
        <v>984</v>
      </c>
      <c r="E276" s="878">
        <v>51241.150559999995</v>
      </c>
      <c r="F276" s="879">
        <v>18546</v>
      </c>
      <c r="G276" s="879">
        <v>764</v>
      </c>
      <c r="H276" s="878">
        <v>14169.144</v>
      </c>
      <c r="I276" s="839">
        <v>6033</v>
      </c>
      <c r="J276" s="839">
        <v>884.7</v>
      </c>
      <c r="K276" s="839">
        <v>17371.536520000001</v>
      </c>
      <c r="L276" s="839">
        <v>26822</v>
      </c>
      <c r="M276" s="839">
        <v>647.66000000000008</v>
      </c>
      <c r="N276" s="839">
        <v>5337.3951000000006</v>
      </c>
      <c r="O276" s="839">
        <v>4913</v>
      </c>
      <c r="P276" s="839">
        <v>6800</v>
      </c>
      <c r="Q276" s="839">
        <v>33408.400000000001</v>
      </c>
      <c r="R276" s="839">
        <v>2100</v>
      </c>
      <c r="S276" s="839">
        <v>6500</v>
      </c>
      <c r="T276" s="839">
        <v>13650</v>
      </c>
      <c r="U276" s="839">
        <v>1779</v>
      </c>
      <c r="V276" s="839">
        <v>3600</v>
      </c>
      <c r="W276" s="839">
        <v>6404.4</v>
      </c>
      <c r="X276" s="839">
        <f t="shared" si="67"/>
        <v>112267.34</v>
      </c>
      <c r="Y276" s="839">
        <f t="shared" si="68"/>
        <v>141582.02617999999</v>
      </c>
    </row>
    <row r="277" spans="1:25" x14ac:dyDescent="0.25">
      <c r="A277" s="812" t="s">
        <v>281</v>
      </c>
      <c r="B277" s="913" t="s">
        <v>265</v>
      </c>
      <c r="C277" s="879">
        <v>40916</v>
      </c>
      <c r="D277" s="830">
        <v>1087.2533333333333</v>
      </c>
      <c r="E277" s="878">
        <v>44486.05738666666</v>
      </c>
      <c r="F277" s="879">
        <v>13146</v>
      </c>
      <c r="G277" s="830">
        <v>522</v>
      </c>
      <c r="H277" s="878">
        <v>6862.2120000000004</v>
      </c>
      <c r="I277" s="839">
        <v>10855</v>
      </c>
      <c r="J277" s="839">
        <v>829</v>
      </c>
      <c r="K277" s="839">
        <v>11612.16</v>
      </c>
      <c r="L277" s="839">
        <v>20160</v>
      </c>
      <c r="M277" s="839">
        <v>576</v>
      </c>
      <c r="N277" s="839">
        <v>8998.7950000000001</v>
      </c>
      <c r="O277" s="839">
        <v>3915</v>
      </c>
      <c r="P277" s="839">
        <v>4500</v>
      </c>
      <c r="Q277" s="839">
        <v>17617.5</v>
      </c>
      <c r="R277" s="839">
        <v>1647</v>
      </c>
      <c r="S277" s="839">
        <v>5830</v>
      </c>
      <c r="T277" s="839">
        <v>9602.01</v>
      </c>
      <c r="U277" s="839">
        <v>1090</v>
      </c>
      <c r="V277" s="839">
        <v>3480</v>
      </c>
      <c r="W277" s="839">
        <v>3793.2</v>
      </c>
      <c r="X277" s="839">
        <f t="shared" si="67"/>
        <v>91729</v>
      </c>
      <c r="Y277" s="839">
        <f t="shared" si="68"/>
        <v>102971.93438666665</v>
      </c>
    </row>
    <row r="278" spans="1:25" x14ac:dyDescent="0.25">
      <c r="A278" s="812" t="s">
        <v>282</v>
      </c>
      <c r="B278" s="913" t="s">
        <v>265</v>
      </c>
      <c r="C278" s="879">
        <v>29111</v>
      </c>
      <c r="D278" s="830">
        <v>1429.76</v>
      </c>
      <c r="E278" s="878">
        <v>41621.74336</v>
      </c>
      <c r="F278" s="879">
        <v>10480</v>
      </c>
      <c r="G278" s="830">
        <v>458</v>
      </c>
      <c r="H278" s="878">
        <v>4799.84</v>
      </c>
      <c r="I278" s="839">
        <v>2279</v>
      </c>
      <c r="J278" s="839">
        <v>921</v>
      </c>
      <c r="K278" s="839">
        <v>4309.326</v>
      </c>
      <c r="L278" s="839">
        <v>8922</v>
      </c>
      <c r="M278" s="839">
        <v>483</v>
      </c>
      <c r="N278" s="839">
        <v>2098.9589999999998</v>
      </c>
      <c r="O278" s="839">
        <v>2488</v>
      </c>
      <c r="P278" s="839">
        <v>3581</v>
      </c>
      <c r="Q278" s="839">
        <v>8909.5280000000002</v>
      </c>
      <c r="R278" s="839">
        <v>1600</v>
      </c>
      <c r="S278" s="839">
        <v>3240</v>
      </c>
      <c r="T278" s="839">
        <v>5184</v>
      </c>
      <c r="U278" s="839">
        <v>1621</v>
      </c>
      <c r="V278" s="839">
        <v>895</v>
      </c>
      <c r="W278" s="839">
        <v>1450.7950000000001</v>
      </c>
      <c r="X278" s="839">
        <f t="shared" si="67"/>
        <v>56501</v>
      </c>
      <c r="Y278" s="839">
        <f t="shared" si="68"/>
        <v>68374.191360000012</v>
      </c>
    </row>
    <row r="279" spans="1:25" x14ac:dyDescent="0.25">
      <c r="A279" s="812" t="s">
        <v>52</v>
      </c>
      <c r="B279" s="913" t="s">
        <v>265</v>
      </c>
      <c r="C279" s="879">
        <v>34241</v>
      </c>
      <c r="D279" s="830">
        <v>1557.6</v>
      </c>
      <c r="E279" s="878">
        <v>53333.781599999995</v>
      </c>
      <c r="F279" s="879">
        <v>5709</v>
      </c>
      <c r="G279" s="830">
        <v>581.07142857142856</v>
      </c>
      <c r="H279" s="878">
        <v>3317.3367857142853</v>
      </c>
      <c r="I279" s="839">
        <v>2629</v>
      </c>
      <c r="J279" s="839">
        <v>1306</v>
      </c>
      <c r="K279" s="839">
        <v>10888.375258536587</v>
      </c>
      <c r="L279" s="839">
        <v>12384</v>
      </c>
      <c r="M279" s="839">
        <v>879.22926829268306</v>
      </c>
      <c r="N279" s="839">
        <v>3433.4740000000002</v>
      </c>
      <c r="O279" s="839">
        <v>4186</v>
      </c>
      <c r="P279" s="839">
        <v>6578</v>
      </c>
      <c r="Q279" s="839">
        <v>27535.508000000002</v>
      </c>
      <c r="R279" s="839">
        <v>2300</v>
      </c>
      <c r="S279" s="839">
        <v>7000</v>
      </c>
      <c r="T279" s="839">
        <v>16100</v>
      </c>
      <c r="U279" s="839">
        <v>1286</v>
      </c>
      <c r="V279" s="839">
        <v>3600</v>
      </c>
      <c r="W279" s="839">
        <v>4629.6000000000004</v>
      </c>
      <c r="X279" s="839">
        <f t="shared" si="67"/>
        <v>62735</v>
      </c>
      <c r="Y279" s="839">
        <f t="shared" si="68"/>
        <v>119238.07564425089</v>
      </c>
    </row>
    <row r="280" spans="1:25" x14ac:dyDescent="0.25">
      <c r="A280" s="812" t="s">
        <v>50</v>
      </c>
      <c r="B280" s="913" t="s">
        <v>265</v>
      </c>
      <c r="C280" s="879">
        <v>76104</v>
      </c>
      <c r="D280" s="830">
        <v>1005</v>
      </c>
      <c r="E280" s="878">
        <v>76484.52</v>
      </c>
      <c r="F280" s="879">
        <v>32649</v>
      </c>
      <c r="G280" s="830">
        <v>600</v>
      </c>
      <c r="H280" s="878">
        <v>19589.400000000001</v>
      </c>
      <c r="I280" s="839"/>
      <c r="J280" s="839"/>
      <c r="K280" s="839">
        <v>5607.8940000000002</v>
      </c>
      <c r="L280" s="839">
        <v>11831</v>
      </c>
      <c r="M280" s="839">
        <v>474</v>
      </c>
      <c r="N280" s="839">
        <v>0</v>
      </c>
      <c r="O280" s="839">
        <v>3662</v>
      </c>
      <c r="P280" s="839">
        <v>7781.5905776646923</v>
      </c>
      <c r="Q280" s="839">
        <v>28496.184695408101</v>
      </c>
      <c r="R280" s="839">
        <v>14114</v>
      </c>
      <c r="S280" s="839">
        <v>5650</v>
      </c>
      <c r="T280" s="839">
        <v>79744.100000000006</v>
      </c>
      <c r="U280" s="839">
        <v>133.5</v>
      </c>
      <c r="V280" s="839">
        <v>2400</v>
      </c>
      <c r="W280" s="839">
        <v>320.39999999999998</v>
      </c>
      <c r="X280" s="839">
        <f t="shared" si="67"/>
        <v>138493.5</v>
      </c>
      <c r="Y280" s="839">
        <f t="shared" si="68"/>
        <v>210242.49869540811</v>
      </c>
    </row>
    <row r="281" spans="1:25" x14ac:dyDescent="0.25">
      <c r="A281" s="812" t="s">
        <v>163</v>
      </c>
      <c r="B281" s="913" t="s">
        <v>265</v>
      </c>
      <c r="C281" s="880">
        <v>51011</v>
      </c>
      <c r="D281" s="830">
        <v>1647.57142857143</v>
      </c>
      <c r="E281" s="878">
        <v>84044.266142857217</v>
      </c>
      <c r="F281" s="880">
        <v>28363</v>
      </c>
      <c r="G281" s="830">
        <v>684</v>
      </c>
      <c r="H281" s="878">
        <v>19400.292000000001</v>
      </c>
      <c r="I281" s="839"/>
      <c r="J281" s="839"/>
      <c r="K281" s="839">
        <v>12618.42</v>
      </c>
      <c r="L281" s="839">
        <v>18556.5</v>
      </c>
      <c r="M281" s="839">
        <v>680</v>
      </c>
      <c r="N281" s="839">
        <v>0</v>
      </c>
      <c r="O281" s="839">
        <v>5339</v>
      </c>
      <c r="P281" s="839">
        <v>7152.2480102985737</v>
      </c>
      <c r="Q281" s="839">
        <v>38185.852126984086</v>
      </c>
      <c r="R281" s="839">
        <v>6607.5</v>
      </c>
      <c r="S281" s="839">
        <v>3923.3333333333335</v>
      </c>
      <c r="T281" s="839">
        <v>25923.424999999999</v>
      </c>
      <c r="U281" s="839">
        <v>1401</v>
      </c>
      <c r="V281" s="839">
        <v>2300</v>
      </c>
      <c r="W281" s="839">
        <v>3222.3</v>
      </c>
      <c r="X281" s="839">
        <f t="shared" si="67"/>
        <v>111278</v>
      </c>
      <c r="Y281" s="839">
        <f t="shared" si="68"/>
        <v>183394.55526984128</v>
      </c>
    </row>
    <row r="282" spans="1:25" x14ac:dyDescent="0.25">
      <c r="A282" s="813" t="s">
        <v>27</v>
      </c>
      <c r="B282" s="913" t="s">
        <v>265</v>
      </c>
      <c r="C282" s="879">
        <v>31484</v>
      </c>
      <c r="D282" s="830">
        <v>1092.1600000000001</v>
      </c>
      <c r="E282" s="878">
        <v>34385.565440000006</v>
      </c>
      <c r="F282" s="879">
        <v>6925</v>
      </c>
      <c r="G282" s="830">
        <v>671</v>
      </c>
      <c r="H282" s="878">
        <v>4646.6750000000002</v>
      </c>
      <c r="I282" s="839">
        <v>1620</v>
      </c>
      <c r="J282" s="839">
        <v>501</v>
      </c>
      <c r="K282" s="839">
        <v>4131.4629999999997</v>
      </c>
      <c r="L282" s="839">
        <v>7471</v>
      </c>
      <c r="M282" s="839">
        <v>553</v>
      </c>
      <c r="N282" s="839">
        <v>811.62</v>
      </c>
      <c r="O282" s="839">
        <v>2419</v>
      </c>
      <c r="P282" s="839">
        <v>5983.630600887439</v>
      </c>
      <c r="Q282" s="839">
        <v>14474.402423546715</v>
      </c>
      <c r="R282" s="839">
        <v>942</v>
      </c>
      <c r="S282" s="839">
        <v>5815.2</v>
      </c>
      <c r="T282" s="839">
        <v>5477.9183999999996</v>
      </c>
      <c r="U282" s="839">
        <v>1697</v>
      </c>
      <c r="V282" s="839">
        <v>2200</v>
      </c>
      <c r="W282" s="839">
        <v>3733.4</v>
      </c>
      <c r="X282" s="839">
        <f t="shared" si="67"/>
        <v>52558</v>
      </c>
      <c r="Y282" s="839">
        <f t="shared" si="68"/>
        <v>67661.044263546733</v>
      </c>
    </row>
    <row r="283" spans="1:25" x14ac:dyDescent="0.25">
      <c r="A283" s="890" t="s">
        <v>15</v>
      </c>
      <c r="B283" s="914" t="s">
        <v>266</v>
      </c>
      <c r="C283" s="839">
        <v>20732</v>
      </c>
      <c r="D283" s="915">
        <v>596.3119814779086</v>
      </c>
      <c r="E283" s="839">
        <f>+C283*D283/1000</f>
        <v>12362.740000000002</v>
      </c>
      <c r="F283" s="839">
        <v>2220</v>
      </c>
      <c r="G283" s="915">
        <v>552.14144144144143</v>
      </c>
      <c r="H283" s="839">
        <f t="shared" ref="H283:H293" si="69">+F283*G283/1000</f>
        <v>1225.7539999999999</v>
      </c>
      <c r="I283" s="839"/>
      <c r="J283" s="915"/>
      <c r="K283" s="839">
        <f t="shared" ref="K283:K293" si="70">+I283*J283/1000</f>
        <v>0</v>
      </c>
      <c r="L283" s="839">
        <v>3196</v>
      </c>
      <c r="M283" s="915">
        <v>617.8601376720901</v>
      </c>
      <c r="N283" s="839">
        <f t="shared" ref="N283:N293" si="71">+L283*M283/1000</f>
        <v>1974.681</v>
      </c>
      <c r="O283" s="839"/>
      <c r="P283" s="915"/>
      <c r="Q283" s="839">
        <f t="shared" ref="Q283:Q293" si="72">+O283*P283/1000</f>
        <v>0</v>
      </c>
      <c r="R283" s="839"/>
      <c r="S283" s="915"/>
      <c r="T283" s="839">
        <f t="shared" ref="T283:T293" si="73">+R283*S283/1000</f>
        <v>0</v>
      </c>
      <c r="U283" s="839"/>
      <c r="V283" s="915"/>
      <c r="W283" s="839">
        <f t="shared" ref="W283:W293" si="74">+U283*V283/1000</f>
        <v>0</v>
      </c>
      <c r="X283" s="839">
        <f t="shared" si="67"/>
        <v>26148</v>
      </c>
      <c r="Y283" s="827">
        <f t="shared" ref="Y283:Y311" si="75">E283+H283+N283+K283+Q283+T283+W283</f>
        <v>15563.175000000003</v>
      </c>
    </row>
    <row r="284" spans="1:25" x14ac:dyDescent="0.25">
      <c r="A284" s="887" t="s">
        <v>187</v>
      </c>
      <c r="B284" s="914" t="s">
        <v>266</v>
      </c>
      <c r="C284" s="839">
        <v>0</v>
      </c>
      <c r="D284" s="915"/>
      <c r="E284" s="839">
        <f t="shared" ref="E284:E293" si="76">+C284*D284/1000</f>
        <v>0</v>
      </c>
      <c r="F284" s="839">
        <v>0</v>
      </c>
      <c r="G284" s="915"/>
      <c r="H284" s="839">
        <f t="shared" si="69"/>
        <v>0</v>
      </c>
      <c r="I284" s="839"/>
      <c r="J284" s="915"/>
      <c r="K284" s="839">
        <f t="shared" si="70"/>
        <v>0</v>
      </c>
      <c r="L284" s="839">
        <v>72</v>
      </c>
      <c r="M284" s="915">
        <v>462</v>
      </c>
      <c r="N284" s="839">
        <f t="shared" si="71"/>
        <v>33.264000000000003</v>
      </c>
      <c r="O284" s="839"/>
      <c r="P284" s="915"/>
      <c r="Q284" s="839">
        <f t="shared" si="72"/>
        <v>0</v>
      </c>
      <c r="R284" s="839"/>
      <c r="S284" s="915"/>
      <c r="T284" s="839">
        <f t="shared" si="73"/>
        <v>0</v>
      </c>
      <c r="U284" s="839"/>
      <c r="V284" s="915"/>
      <c r="W284" s="839">
        <f t="shared" si="74"/>
        <v>0</v>
      </c>
      <c r="X284" s="839">
        <f t="shared" si="67"/>
        <v>72</v>
      </c>
      <c r="Y284" s="827">
        <f t="shared" si="75"/>
        <v>33.264000000000003</v>
      </c>
    </row>
    <row r="285" spans="1:25" x14ac:dyDescent="0.25">
      <c r="A285" s="812" t="s">
        <v>103</v>
      </c>
      <c r="B285" s="914" t="s">
        <v>266</v>
      </c>
      <c r="C285" s="839">
        <v>73966</v>
      </c>
      <c r="D285" s="916">
        <v>764.3096693075197</v>
      </c>
      <c r="E285" s="839">
        <f t="shared" si="76"/>
        <v>56532.928999999996</v>
      </c>
      <c r="F285" s="839">
        <v>47596</v>
      </c>
      <c r="G285" s="916">
        <v>446.71961929573916</v>
      </c>
      <c r="H285" s="839">
        <f t="shared" si="69"/>
        <v>21262.066999999999</v>
      </c>
      <c r="I285" s="839"/>
      <c r="J285" s="916"/>
      <c r="K285" s="839">
        <f t="shared" si="70"/>
        <v>0</v>
      </c>
      <c r="L285" s="839">
        <v>36128</v>
      </c>
      <c r="M285" s="916">
        <v>713.2279118689105</v>
      </c>
      <c r="N285" s="839">
        <f t="shared" si="71"/>
        <v>25767.498</v>
      </c>
      <c r="O285" s="839"/>
      <c r="P285" s="916"/>
      <c r="Q285" s="839">
        <f t="shared" si="72"/>
        <v>0</v>
      </c>
      <c r="R285" s="839"/>
      <c r="S285" s="916"/>
      <c r="T285" s="839">
        <f t="shared" si="73"/>
        <v>0</v>
      </c>
      <c r="U285" s="839"/>
      <c r="V285" s="916"/>
      <c r="W285" s="839">
        <f t="shared" si="74"/>
        <v>0</v>
      </c>
      <c r="X285" s="839">
        <f t="shared" si="67"/>
        <v>157690</v>
      </c>
      <c r="Y285" s="827">
        <f t="shared" si="75"/>
        <v>103562.49400000001</v>
      </c>
    </row>
    <row r="286" spans="1:25" x14ac:dyDescent="0.25">
      <c r="A286" s="812" t="s">
        <v>20</v>
      </c>
      <c r="B286" s="914" t="s">
        <v>266</v>
      </c>
      <c r="C286" s="839">
        <v>26005</v>
      </c>
      <c r="D286" s="915">
        <v>523.72743703134017</v>
      </c>
      <c r="E286" s="839">
        <f t="shared" si="76"/>
        <v>13619.532000000001</v>
      </c>
      <c r="F286" s="839">
        <v>16911</v>
      </c>
      <c r="G286" s="915">
        <v>310.59582520253088</v>
      </c>
      <c r="H286" s="839">
        <f t="shared" si="69"/>
        <v>5252.4859999999999</v>
      </c>
      <c r="I286" s="839"/>
      <c r="J286" s="915"/>
      <c r="K286" s="839">
        <f t="shared" si="70"/>
        <v>0</v>
      </c>
      <c r="L286" s="839">
        <v>6160</v>
      </c>
      <c r="M286" s="915">
        <v>365.45097402597401</v>
      </c>
      <c r="N286" s="839">
        <f t="shared" si="71"/>
        <v>2251.1779999999999</v>
      </c>
      <c r="O286" s="839"/>
      <c r="P286" s="915"/>
      <c r="Q286" s="839">
        <f t="shared" si="72"/>
        <v>0</v>
      </c>
      <c r="R286" s="839"/>
      <c r="S286" s="915"/>
      <c r="T286" s="839">
        <f t="shared" si="73"/>
        <v>0</v>
      </c>
      <c r="U286" s="839"/>
      <c r="V286" s="915"/>
      <c r="W286" s="839">
        <f t="shared" si="74"/>
        <v>0</v>
      </c>
      <c r="X286" s="839">
        <f t="shared" si="67"/>
        <v>49076</v>
      </c>
      <c r="Y286" s="827">
        <f t="shared" si="75"/>
        <v>21123.196</v>
      </c>
    </row>
    <row r="287" spans="1:25" x14ac:dyDescent="0.25">
      <c r="A287" s="890" t="s">
        <v>133</v>
      </c>
      <c r="B287" s="914" t="s">
        <v>266</v>
      </c>
      <c r="C287" s="839">
        <v>49902</v>
      </c>
      <c r="D287" s="915">
        <v>200</v>
      </c>
      <c r="E287" s="839">
        <f t="shared" si="76"/>
        <v>9980.4</v>
      </c>
      <c r="F287" s="839">
        <v>14159</v>
      </c>
      <c r="G287" s="915">
        <v>250</v>
      </c>
      <c r="H287" s="839">
        <f t="shared" si="69"/>
        <v>3539.75</v>
      </c>
      <c r="I287" s="839"/>
      <c r="J287" s="915"/>
      <c r="K287" s="839">
        <f t="shared" si="70"/>
        <v>0</v>
      </c>
      <c r="L287" s="839">
        <v>29598</v>
      </c>
      <c r="M287" s="915">
        <v>450</v>
      </c>
      <c r="N287" s="839">
        <f t="shared" si="71"/>
        <v>13319.1</v>
      </c>
      <c r="O287" s="839">
        <v>1524</v>
      </c>
      <c r="P287" s="915">
        <v>950</v>
      </c>
      <c r="Q287" s="839">
        <f t="shared" si="72"/>
        <v>1447.8</v>
      </c>
      <c r="R287" s="839"/>
      <c r="S287" s="915"/>
      <c r="T287" s="839">
        <f t="shared" si="73"/>
        <v>0</v>
      </c>
      <c r="U287" s="839"/>
      <c r="V287" s="915"/>
      <c r="W287" s="839">
        <f t="shared" si="74"/>
        <v>0</v>
      </c>
      <c r="X287" s="839">
        <f t="shared" si="67"/>
        <v>95183</v>
      </c>
      <c r="Y287" s="827">
        <f t="shared" si="75"/>
        <v>28287.05</v>
      </c>
    </row>
    <row r="288" spans="1:25" x14ac:dyDescent="0.25">
      <c r="A288" s="890" t="s">
        <v>21</v>
      </c>
      <c r="B288" s="914" t="s">
        <v>266</v>
      </c>
      <c r="C288" s="839">
        <v>0</v>
      </c>
      <c r="D288" s="915"/>
      <c r="E288" s="839">
        <f t="shared" si="76"/>
        <v>0</v>
      </c>
      <c r="F288" s="839">
        <v>0</v>
      </c>
      <c r="G288" s="915"/>
      <c r="H288" s="839">
        <f t="shared" si="69"/>
        <v>0</v>
      </c>
      <c r="I288" s="839"/>
      <c r="J288" s="915"/>
      <c r="K288" s="839">
        <f t="shared" si="70"/>
        <v>0</v>
      </c>
      <c r="L288" s="839">
        <v>42</v>
      </c>
      <c r="M288" s="915">
        <v>75</v>
      </c>
      <c r="N288" s="839">
        <f t="shared" si="71"/>
        <v>3.15</v>
      </c>
      <c r="O288" s="839"/>
      <c r="P288" s="915"/>
      <c r="Q288" s="839">
        <f t="shared" si="72"/>
        <v>0</v>
      </c>
      <c r="R288" s="839"/>
      <c r="S288" s="915"/>
      <c r="T288" s="839">
        <f t="shared" si="73"/>
        <v>0</v>
      </c>
      <c r="U288" s="839"/>
      <c r="V288" s="915"/>
      <c r="W288" s="839">
        <f t="shared" si="74"/>
        <v>0</v>
      </c>
      <c r="X288" s="839">
        <f t="shared" si="67"/>
        <v>42</v>
      </c>
      <c r="Y288" s="827">
        <f t="shared" si="75"/>
        <v>3.15</v>
      </c>
    </row>
    <row r="289" spans="1:25" x14ac:dyDescent="0.25">
      <c r="A289" s="890" t="s">
        <v>22</v>
      </c>
      <c r="B289" s="914" t="s">
        <v>266</v>
      </c>
      <c r="C289" s="839">
        <v>752</v>
      </c>
      <c r="D289" s="916">
        <v>1300</v>
      </c>
      <c r="E289" s="839">
        <f t="shared" si="76"/>
        <v>977.6</v>
      </c>
      <c r="F289" s="839">
        <v>16691</v>
      </c>
      <c r="G289" s="916">
        <v>250</v>
      </c>
      <c r="H289" s="839">
        <f t="shared" si="69"/>
        <v>4172.75</v>
      </c>
      <c r="I289" s="839"/>
      <c r="J289" s="916"/>
      <c r="K289" s="839">
        <f t="shared" si="70"/>
        <v>0</v>
      </c>
      <c r="L289" s="839">
        <v>1055</v>
      </c>
      <c r="M289" s="916">
        <v>1100</v>
      </c>
      <c r="N289" s="839">
        <f t="shared" si="71"/>
        <v>1160.5</v>
      </c>
      <c r="O289" s="839">
        <v>248.3</v>
      </c>
      <c r="P289" s="916">
        <v>19400</v>
      </c>
      <c r="Q289" s="839">
        <f t="shared" si="72"/>
        <v>4817.0200000000004</v>
      </c>
      <c r="R289" s="881">
        <v>7079</v>
      </c>
      <c r="S289" s="917">
        <v>16647.965715496539</v>
      </c>
      <c r="T289" s="839">
        <f t="shared" si="73"/>
        <v>117850.94929999999</v>
      </c>
      <c r="U289" s="839"/>
      <c r="V289" s="916"/>
      <c r="W289" s="839">
        <f t="shared" si="74"/>
        <v>0</v>
      </c>
      <c r="X289" s="839">
        <f t="shared" si="67"/>
        <v>25825.3</v>
      </c>
      <c r="Y289" s="827">
        <f t="shared" si="75"/>
        <v>128978.81929999999</v>
      </c>
    </row>
    <row r="290" spans="1:25" x14ac:dyDescent="0.25">
      <c r="A290" s="813" t="s">
        <v>23</v>
      </c>
      <c r="B290" s="914" t="s">
        <v>266</v>
      </c>
      <c r="C290" s="839">
        <v>209261</v>
      </c>
      <c r="D290" s="915">
        <v>1133</v>
      </c>
      <c r="E290" s="839">
        <f t="shared" si="76"/>
        <v>237092.71299999999</v>
      </c>
      <c r="F290" s="839">
        <v>59052</v>
      </c>
      <c r="G290" s="915">
        <v>433</v>
      </c>
      <c r="H290" s="839">
        <f t="shared" si="69"/>
        <v>25569.516</v>
      </c>
      <c r="I290" s="839"/>
      <c r="J290" s="915"/>
      <c r="K290" s="839">
        <f t="shared" si="70"/>
        <v>0</v>
      </c>
      <c r="L290" s="839">
        <v>12231</v>
      </c>
      <c r="M290" s="915">
        <v>503</v>
      </c>
      <c r="N290" s="839">
        <f t="shared" si="71"/>
        <v>6152.1930000000002</v>
      </c>
      <c r="O290" s="839"/>
      <c r="P290" s="915"/>
      <c r="Q290" s="839">
        <f t="shared" si="72"/>
        <v>0</v>
      </c>
      <c r="R290" s="839"/>
      <c r="S290" s="915"/>
      <c r="T290" s="839">
        <f t="shared" si="73"/>
        <v>0</v>
      </c>
      <c r="U290" s="839"/>
      <c r="V290" s="915"/>
      <c r="W290" s="839">
        <f t="shared" si="74"/>
        <v>0</v>
      </c>
      <c r="X290" s="839">
        <f t="shared" si="67"/>
        <v>280544</v>
      </c>
      <c r="Y290" s="827">
        <f t="shared" si="75"/>
        <v>268814.42200000002</v>
      </c>
    </row>
    <row r="291" spans="1:25" x14ac:dyDescent="0.25">
      <c r="A291" s="890" t="s">
        <v>24</v>
      </c>
      <c r="B291" s="914" t="s">
        <v>266</v>
      </c>
      <c r="C291" s="839">
        <v>6756</v>
      </c>
      <c r="D291" s="915">
        <v>966</v>
      </c>
      <c r="E291" s="839">
        <f t="shared" si="76"/>
        <v>6526.2960000000003</v>
      </c>
      <c r="F291" s="839">
        <v>6823</v>
      </c>
      <c r="G291" s="915">
        <v>590</v>
      </c>
      <c r="H291" s="839">
        <f t="shared" si="69"/>
        <v>4025.57</v>
      </c>
      <c r="I291" s="839">
        <v>444</v>
      </c>
      <c r="J291" s="915">
        <v>999</v>
      </c>
      <c r="K291" s="839">
        <f t="shared" si="70"/>
        <v>443.55599999999998</v>
      </c>
      <c r="L291" s="839">
        <v>2598</v>
      </c>
      <c r="M291" s="915">
        <v>798</v>
      </c>
      <c r="N291" s="839">
        <f t="shared" si="71"/>
        <v>2073.2040000000002</v>
      </c>
      <c r="O291" s="839">
        <v>1817</v>
      </c>
      <c r="P291" s="915">
        <v>10822</v>
      </c>
      <c r="Q291" s="839">
        <f t="shared" si="72"/>
        <v>19663.574000000001</v>
      </c>
      <c r="R291" s="839">
        <v>2251</v>
      </c>
      <c r="S291" s="915">
        <v>11029</v>
      </c>
      <c r="T291" s="839">
        <f t="shared" si="73"/>
        <v>24826.278999999999</v>
      </c>
      <c r="U291" s="839"/>
      <c r="V291" s="915"/>
      <c r="W291" s="839">
        <f t="shared" si="74"/>
        <v>0</v>
      </c>
      <c r="X291" s="839">
        <f t="shared" si="67"/>
        <v>20689</v>
      </c>
      <c r="Y291" s="827">
        <f t="shared" si="75"/>
        <v>57558.478999999999</v>
      </c>
    </row>
    <row r="292" spans="1:25" x14ac:dyDescent="0.25">
      <c r="A292" s="890" t="s">
        <v>134</v>
      </c>
      <c r="B292" s="914" t="s">
        <v>266</v>
      </c>
      <c r="C292" s="839">
        <v>80396</v>
      </c>
      <c r="D292" s="915">
        <v>732.74292253345948</v>
      </c>
      <c r="E292" s="839">
        <f t="shared" si="76"/>
        <v>58909.600000000006</v>
      </c>
      <c r="F292" s="839">
        <v>65166</v>
      </c>
      <c r="G292" s="915">
        <v>702.30334837185035</v>
      </c>
      <c r="H292" s="839">
        <f t="shared" si="69"/>
        <v>45766.3</v>
      </c>
      <c r="I292" s="839"/>
      <c r="J292" s="915"/>
      <c r="K292" s="839">
        <f t="shared" si="70"/>
        <v>0</v>
      </c>
      <c r="L292" s="839">
        <v>24805</v>
      </c>
      <c r="M292" s="915">
        <v>500</v>
      </c>
      <c r="N292" s="839">
        <f t="shared" si="71"/>
        <v>12402.5</v>
      </c>
      <c r="O292" s="839"/>
      <c r="P292" s="915"/>
      <c r="Q292" s="839">
        <f t="shared" si="72"/>
        <v>0</v>
      </c>
      <c r="R292" s="839"/>
      <c r="S292" s="915"/>
      <c r="T292" s="839">
        <f t="shared" si="73"/>
        <v>0</v>
      </c>
      <c r="U292" s="839"/>
      <c r="V292" s="915"/>
      <c r="W292" s="839">
        <f t="shared" si="74"/>
        <v>0</v>
      </c>
      <c r="X292" s="839">
        <f t="shared" si="67"/>
        <v>170367</v>
      </c>
      <c r="Y292" s="827">
        <f t="shared" si="75"/>
        <v>117078.40000000001</v>
      </c>
    </row>
    <row r="293" spans="1:25" x14ac:dyDescent="0.25">
      <c r="A293" s="890" t="s">
        <v>161</v>
      </c>
      <c r="B293" s="914" t="s">
        <v>266</v>
      </c>
      <c r="C293" s="839">
        <v>26816</v>
      </c>
      <c r="D293" s="915">
        <v>1724.0509397374701</v>
      </c>
      <c r="E293" s="839">
        <f t="shared" si="76"/>
        <v>46232.15</v>
      </c>
      <c r="F293" s="839">
        <v>4562</v>
      </c>
      <c r="G293" s="915">
        <v>264.47172292854009</v>
      </c>
      <c r="H293" s="839">
        <f t="shared" si="69"/>
        <v>1206.52</v>
      </c>
      <c r="I293" s="839"/>
      <c r="J293" s="915"/>
      <c r="K293" s="839">
        <f t="shared" si="70"/>
        <v>0</v>
      </c>
      <c r="L293" s="839">
        <v>7933</v>
      </c>
      <c r="M293" s="915">
        <v>498.06189335686372</v>
      </c>
      <c r="N293" s="839">
        <f t="shared" si="71"/>
        <v>3951.125</v>
      </c>
      <c r="O293" s="839"/>
      <c r="P293" s="915"/>
      <c r="Q293" s="839">
        <f t="shared" si="72"/>
        <v>0</v>
      </c>
      <c r="R293" s="839"/>
      <c r="S293" s="915"/>
      <c r="T293" s="839">
        <f t="shared" si="73"/>
        <v>0</v>
      </c>
      <c r="U293" s="839"/>
      <c r="V293" s="915"/>
      <c r="W293" s="839">
        <f t="shared" si="74"/>
        <v>0</v>
      </c>
      <c r="X293" s="839">
        <f t="shared" si="67"/>
        <v>39311</v>
      </c>
      <c r="Y293" s="827">
        <f t="shared" si="75"/>
        <v>51389.794999999998</v>
      </c>
    </row>
    <row r="294" spans="1:25" x14ac:dyDescent="0.25">
      <c r="A294" s="890" t="s">
        <v>135</v>
      </c>
      <c r="B294" s="914" t="s">
        <v>266</v>
      </c>
      <c r="C294" s="839">
        <v>48868</v>
      </c>
      <c r="D294" s="915">
        <v>1300.8126176639109</v>
      </c>
      <c r="E294" s="839">
        <f t="shared" ref="E294:E300" si="77">+C294*D294/1000</f>
        <v>63568.110999999997</v>
      </c>
      <c r="F294" s="839">
        <v>26692</v>
      </c>
      <c r="G294" s="915">
        <v>384.35868424996255</v>
      </c>
      <c r="H294" s="839">
        <f t="shared" ref="H294:H300" si="78">+F294*G294/1000</f>
        <v>10259.302</v>
      </c>
      <c r="I294" s="839"/>
      <c r="J294" s="915"/>
      <c r="K294" s="839">
        <f t="shared" ref="K294:K300" si="79">+I294*J294/1000</f>
        <v>0</v>
      </c>
      <c r="L294" s="839">
        <v>24084</v>
      </c>
      <c r="M294" s="915">
        <v>375.92708852350114</v>
      </c>
      <c r="N294" s="839">
        <f t="shared" ref="N294:N300" si="80">+L294*M294/1000</f>
        <v>9053.8280000000013</v>
      </c>
      <c r="O294" s="839">
        <v>8449</v>
      </c>
      <c r="P294" s="915">
        <v>3792.5358030536158</v>
      </c>
      <c r="Q294" s="839">
        <f t="shared" ref="Q294:Q300" si="81">+O294*P294/1000</f>
        <v>32043.134999999998</v>
      </c>
      <c r="R294" s="839"/>
      <c r="S294" s="915"/>
      <c r="T294" s="839">
        <f t="shared" ref="T294:T300" si="82">+R294*S294/1000</f>
        <v>0</v>
      </c>
      <c r="U294" s="839"/>
      <c r="V294" s="915"/>
      <c r="W294" s="839">
        <f t="shared" ref="W294:W300" si="83">+U294*V294/1000</f>
        <v>0</v>
      </c>
      <c r="X294" s="839">
        <v>108093</v>
      </c>
      <c r="Y294" s="827">
        <f t="shared" si="75"/>
        <v>114924.376</v>
      </c>
    </row>
    <row r="295" spans="1:25" x14ac:dyDescent="0.25">
      <c r="A295" s="812" t="s">
        <v>281</v>
      </c>
      <c r="B295" s="914" t="s">
        <v>266</v>
      </c>
      <c r="C295" s="839">
        <v>24201</v>
      </c>
      <c r="D295" s="916">
        <v>776.73910169001283</v>
      </c>
      <c r="E295" s="839">
        <f t="shared" si="77"/>
        <v>18797.863000000001</v>
      </c>
      <c r="F295" s="839">
        <v>19514</v>
      </c>
      <c r="G295" s="916">
        <v>428.89832940453005</v>
      </c>
      <c r="H295" s="839">
        <f t="shared" si="78"/>
        <v>8369.521999999999</v>
      </c>
      <c r="I295" s="839"/>
      <c r="J295" s="916"/>
      <c r="K295" s="839">
        <f t="shared" si="79"/>
        <v>0</v>
      </c>
      <c r="L295" s="839">
        <v>13672</v>
      </c>
      <c r="M295" s="916">
        <v>480.05558806319493</v>
      </c>
      <c r="N295" s="839">
        <f t="shared" si="80"/>
        <v>6563.3200000000006</v>
      </c>
      <c r="O295" s="839">
        <v>4037</v>
      </c>
      <c r="P295" s="916">
        <v>5055.5798860540008</v>
      </c>
      <c r="Q295" s="839">
        <f t="shared" si="81"/>
        <v>20409.376</v>
      </c>
      <c r="R295" s="839"/>
      <c r="S295" s="916"/>
      <c r="T295" s="839">
        <f t="shared" si="82"/>
        <v>0</v>
      </c>
      <c r="U295" s="839">
        <v>1560</v>
      </c>
      <c r="V295" s="916">
        <v>2030</v>
      </c>
      <c r="W295" s="839">
        <f t="shared" si="83"/>
        <v>3166.8</v>
      </c>
      <c r="X295" s="839">
        <f>C295+F295+L295+I295+O295+R295+U295</f>
        <v>62984</v>
      </c>
      <c r="Y295" s="827">
        <f t="shared" si="75"/>
        <v>57306.881000000008</v>
      </c>
    </row>
    <row r="296" spans="1:25" x14ac:dyDescent="0.25">
      <c r="A296" s="812" t="s">
        <v>282</v>
      </c>
      <c r="B296" s="914" t="s">
        <v>266</v>
      </c>
      <c r="C296" s="839">
        <v>39776</v>
      </c>
      <c r="D296" s="916">
        <v>895.23230088495575</v>
      </c>
      <c r="E296" s="839">
        <f t="shared" si="77"/>
        <v>35608.76</v>
      </c>
      <c r="F296" s="839">
        <v>13382</v>
      </c>
      <c r="G296" s="916">
        <v>532.45852637871781</v>
      </c>
      <c r="H296" s="839">
        <f t="shared" si="78"/>
        <v>7125.3600000000015</v>
      </c>
      <c r="I296" s="839"/>
      <c r="J296" s="916"/>
      <c r="K296" s="839">
        <f t="shared" si="79"/>
        <v>0</v>
      </c>
      <c r="L296" s="839">
        <v>3754</v>
      </c>
      <c r="M296" s="916">
        <v>565.26771443793291</v>
      </c>
      <c r="N296" s="839">
        <f t="shared" si="80"/>
        <v>2122.0149999999999</v>
      </c>
      <c r="O296" s="839">
        <v>986</v>
      </c>
      <c r="P296" s="916">
        <v>2615.8975659229209</v>
      </c>
      <c r="Q296" s="839">
        <f t="shared" si="81"/>
        <v>2579.2750000000001</v>
      </c>
      <c r="R296" s="839"/>
      <c r="S296" s="916"/>
      <c r="T296" s="839">
        <f t="shared" si="82"/>
        <v>0</v>
      </c>
      <c r="U296" s="839">
        <v>739</v>
      </c>
      <c r="V296" s="916">
        <v>1468</v>
      </c>
      <c r="W296" s="839">
        <f t="shared" si="83"/>
        <v>1084.8520000000001</v>
      </c>
      <c r="X296" s="839">
        <f>C296+F296+L296+I296+O296+R296+U296</f>
        <v>58637</v>
      </c>
      <c r="Y296" s="827">
        <f t="shared" si="75"/>
        <v>48520.262000000002</v>
      </c>
    </row>
    <row r="297" spans="1:25" x14ac:dyDescent="0.25">
      <c r="A297" s="812" t="s">
        <v>52</v>
      </c>
      <c r="B297" s="914" t="s">
        <v>266</v>
      </c>
      <c r="C297" s="839">
        <v>29511</v>
      </c>
      <c r="D297" s="915">
        <v>1447.4088306055369</v>
      </c>
      <c r="E297" s="839">
        <f t="shared" si="77"/>
        <v>42714.482000000004</v>
      </c>
      <c r="F297" s="839">
        <v>13206</v>
      </c>
      <c r="G297" s="915">
        <v>502.46781765864006</v>
      </c>
      <c r="H297" s="839">
        <f t="shared" si="78"/>
        <v>6635.5900000000011</v>
      </c>
      <c r="I297" s="839"/>
      <c r="J297" s="915"/>
      <c r="K297" s="839">
        <f t="shared" si="79"/>
        <v>0</v>
      </c>
      <c r="L297" s="839">
        <v>13366</v>
      </c>
      <c r="M297" s="915">
        <v>660.53478976507552</v>
      </c>
      <c r="N297" s="839">
        <f t="shared" si="80"/>
        <v>8828.7080000000005</v>
      </c>
      <c r="O297" s="839">
        <v>1229</v>
      </c>
      <c r="P297" s="915">
        <v>2150.4434499593167</v>
      </c>
      <c r="Q297" s="839">
        <f t="shared" si="81"/>
        <v>2642.895</v>
      </c>
      <c r="R297" s="839"/>
      <c r="S297" s="915"/>
      <c r="T297" s="839">
        <f t="shared" si="82"/>
        <v>0</v>
      </c>
      <c r="U297" s="839"/>
      <c r="V297" s="915"/>
      <c r="W297" s="839">
        <f t="shared" si="83"/>
        <v>0</v>
      </c>
      <c r="X297" s="839">
        <v>57312</v>
      </c>
      <c r="Y297" s="827">
        <f t="shared" si="75"/>
        <v>60821.675000000003</v>
      </c>
    </row>
    <row r="298" spans="1:25" x14ac:dyDescent="0.25">
      <c r="A298" s="812" t="s">
        <v>50</v>
      </c>
      <c r="B298" s="914" t="s">
        <v>266</v>
      </c>
      <c r="C298" s="839">
        <v>69327</v>
      </c>
      <c r="D298" s="915">
        <v>1222.4000461580624</v>
      </c>
      <c r="E298" s="839">
        <f t="shared" si="77"/>
        <v>84745.327999999994</v>
      </c>
      <c r="F298" s="839">
        <v>60675</v>
      </c>
      <c r="G298" s="915">
        <v>516.73374536464769</v>
      </c>
      <c r="H298" s="839">
        <f t="shared" si="78"/>
        <v>31352.82</v>
      </c>
      <c r="I298" s="839"/>
      <c r="J298" s="915"/>
      <c r="K298" s="839">
        <f t="shared" si="79"/>
        <v>0</v>
      </c>
      <c r="L298" s="839">
        <v>11127</v>
      </c>
      <c r="M298" s="915">
        <v>630.03442077828709</v>
      </c>
      <c r="N298" s="839">
        <f t="shared" si="80"/>
        <v>7010.393</v>
      </c>
      <c r="O298" s="839">
        <v>4321</v>
      </c>
      <c r="P298" s="915">
        <v>12865.737329321917</v>
      </c>
      <c r="Q298" s="839">
        <f t="shared" si="81"/>
        <v>55592.851000000002</v>
      </c>
      <c r="R298" s="839"/>
      <c r="S298" s="915"/>
      <c r="T298" s="839">
        <f t="shared" si="82"/>
        <v>0</v>
      </c>
      <c r="U298" s="839"/>
      <c r="V298" s="915"/>
      <c r="W298" s="839">
        <f t="shared" si="83"/>
        <v>0</v>
      </c>
      <c r="X298" s="839">
        <v>145450</v>
      </c>
      <c r="Y298" s="827">
        <f t="shared" si="75"/>
        <v>178701.39199999999</v>
      </c>
    </row>
    <row r="299" spans="1:25" x14ac:dyDescent="0.25">
      <c r="A299" s="812" t="s">
        <v>163</v>
      </c>
      <c r="B299" s="914" t="s">
        <v>266</v>
      </c>
      <c r="C299" s="839">
        <v>44915</v>
      </c>
      <c r="D299" s="915">
        <v>1452.9611933652452</v>
      </c>
      <c r="E299" s="839">
        <f t="shared" si="77"/>
        <v>65259.751999999986</v>
      </c>
      <c r="F299" s="839">
        <v>42697</v>
      </c>
      <c r="G299" s="915">
        <v>537.3399770475678</v>
      </c>
      <c r="H299" s="839">
        <f t="shared" si="78"/>
        <v>22942.805000000004</v>
      </c>
      <c r="I299" s="839"/>
      <c r="J299" s="915"/>
      <c r="K299" s="839">
        <f t="shared" si="79"/>
        <v>0</v>
      </c>
      <c r="L299" s="839">
        <v>14183</v>
      </c>
      <c r="M299" s="915">
        <v>497.60981456673477</v>
      </c>
      <c r="N299" s="839">
        <f t="shared" si="80"/>
        <v>7057.5999999999995</v>
      </c>
      <c r="O299" s="839">
        <v>5531</v>
      </c>
      <c r="P299" s="915">
        <v>3526.8141384921355</v>
      </c>
      <c r="Q299" s="839">
        <f t="shared" si="81"/>
        <v>19506.809000000001</v>
      </c>
      <c r="R299" s="839"/>
      <c r="S299" s="915"/>
      <c r="T299" s="839">
        <f t="shared" si="82"/>
        <v>0</v>
      </c>
      <c r="U299" s="839"/>
      <c r="V299" s="915"/>
      <c r="W299" s="839">
        <f t="shared" si="83"/>
        <v>0</v>
      </c>
      <c r="X299" s="839">
        <v>107326</v>
      </c>
      <c r="Y299" s="827">
        <f t="shared" si="75"/>
        <v>114766.96599999999</v>
      </c>
    </row>
    <row r="300" spans="1:25" x14ac:dyDescent="0.25">
      <c r="A300" s="813" t="s">
        <v>27</v>
      </c>
      <c r="B300" s="914" t="s">
        <v>266</v>
      </c>
      <c r="C300" s="839">
        <v>23420</v>
      </c>
      <c r="D300" s="915">
        <v>1629.3483347566182</v>
      </c>
      <c r="E300" s="839">
        <f t="shared" si="77"/>
        <v>38159.338000000003</v>
      </c>
      <c r="F300" s="839">
        <v>12216</v>
      </c>
      <c r="G300" s="915">
        <v>502.77210216110018</v>
      </c>
      <c r="H300" s="839">
        <f t="shared" si="78"/>
        <v>6141.8639999999996</v>
      </c>
      <c r="I300" s="839"/>
      <c r="J300" s="915"/>
      <c r="K300" s="839">
        <f t="shared" si="79"/>
        <v>0</v>
      </c>
      <c r="L300" s="839">
        <v>7603</v>
      </c>
      <c r="M300" s="915">
        <v>552.12652900170986</v>
      </c>
      <c r="N300" s="839">
        <f t="shared" si="80"/>
        <v>4197.8180000000002</v>
      </c>
      <c r="O300" s="839">
        <v>2540</v>
      </c>
      <c r="P300" s="915">
        <v>3222.4338582677165</v>
      </c>
      <c r="Q300" s="839">
        <f t="shared" si="81"/>
        <v>8184.982</v>
      </c>
      <c r="R300" s="839"/>
      <c r="S300" s="915"/>
      <c r="T300" s="839">
        <f t="shared" si="82"/>
        <v>0</v>
      </c>
      <c r="U300" s="839"/>
      <c r="V300" s="915"/>
      <c r="W300" s="839">
        <f t="shared" si="83"/>
        <v>0</v>
      </c>
      <c r="X300" s="839">
        <v>45779</v>
      </c>
      <c r="Y300" s="827">
        <f t="shared" si="75"/>
        <v>56684.002000000008</v>
      </c>
    </row>
    <row r="301" spans="1:25" x14ac:dyDescent="0.25">
      <c r="A301" s="887" t="s">
        <v>15</v>
      </c>
      <c r="B301" s="901" t="s">
        <v>199</v>
      </c>
      <c r="C301" s="825">
        <v>24401</v>
      </c>
      <c r="D301" s="918">
        <v>1330</v>
      </c>
      <c r="E301" s="825">
        <f>C301*D301/1000</f>
        <v>32453.33</v>
      </c>
      <c r="F301" s="825">
        <v>5774</v>
      </c>
      <c r="G301" s="842">
        <v>300</v>
      </c>
      <c r="H301" s="825">
        <f>F301*G301/1000</f>
        <v>1732.2</v>
      </c>
      <c r="I301" s="825">
        <v>0</v>
      </c>
      <c r="J301" s="842"/>
      <c r="K301" s="825">
        <f>I301*J301/1000</f>
        <v>0</v>
      </c>
      <c r="L301" s="825">
        <f>Céréale!$Y$5</f>
        <v>124786</v>
      </c>
      <c r="M301" s="842">
        <v>474</v>
      </c>
      <c r="N301" s="825">
        <f>L301*M301/1000</f>
        <v>59148.563999999998</v>
      </c>
      <c r="O301" s="825">
        <v>0</v>
      </c>
      <c r="P301" s="842"/>
      <c r="Q301" s="825">
        <f>O301*P301/1000</f>
        <v>0</v>
      </c>
      <c r="R301" s="825">
        <v>0</v>
      </c>
      <c r="S301" s="919"/>
      <c r="T301" s="825">
        <f>R301*S301/1000</f>
        <v>0</v>
      </c>
      <c r="U301" s="825"/>
      <c r="V301" s="902"/>
      <c r="W301" s="825">
        <f>U301*V301/1000</f>
        <v>0</v>
      </c>
      <c r="X301" s="825">
        <f t="shared" ref="X301:X318" si="84">C301+F301+L301+I301+O301+R301+U301</f>
        <v>154961</v>
      </c>
      <c r="Y301" s="825">
        <f t="shared" si="75"/>
        <v>93334.093999999997</v>
      </c>
    </row>
    <row r="302" spans="1:25" x14ac:dyDescent="0.25">
      <c r="A302" s="887" t="s">
        <v>187</v>
      </c>
      <c r="B302" s="901" t="s">
        <v>199</v>
      </c>
      <c r="C302" s="825">
        <v>0</v>
      </c>
      <c r="D302" s="918"/>
      <c r="E302" s="825">
        <f t="shared" ref="E302:E311" si="85">C302*D302/1000</f>
        <v>0</v>
      </c>
      <c r="F302" s="825">
        <v>0</v>
      </c>
      <c r="G302" s="902"/>
      <c r="H302" s="825">
        <f t="shared" ref="H302:H311" si="86">F302*G302/1000</f>
        <v>0</v>
      </c>
      <c r="I302" s="825"/>
      <c r="J302" s="842"/>
      <c r="K302" s="825">
        <f t="shared" ref="K302:K311" si="87">I302*J302/1000</f>
        <v>0</v>
      </c>
      <c r="L302" s="825">
        <v>0</v>
      </c>
      <c r="M302" s="842">
        <v>350</v>
      </c>
      <c r="N302" s="825">
        <f t="shared" ref="N302:N311" si="88">L302*M302/1000</f>
        <v>0</v>
      </c>
      <c r="O302" s="825"/>
      <c r="P302" s="842"/>
      <c r="Q302" s="825">
        <f t="shared" ref="Q302:Q311" si="89">O302*P302/1000</f>
        <v>0</v>
      </c>
      <c r="R302" s="825"/>
      <c r="S302" s="919"/>
      <c r="T302" s="825">
        <f t="shared" ref="T302:T311" si="90">R302*S302/1000</f>
        <v>0</v>
      </c>
      <c r="U302" s="825"/>
      <c r="V302" s="902"/>
      <c r="W302" s="825">
        <f t="shared" ref="W302:W311" si="91">U302*V302/1000</f>
        <v>0</v>
      </c>
      <c r="X302" s="825">
        <f t="shared" si="84"/>
        <v>0</v>
      </c>
      <c r="Y302" s="825">
        <f t="shared" si="75"/>
        <v>0</v>
      </c>
    </row>
    <row r="303" spans="1:25" x14ac:dyDescent="0.25">
      <c r="A303" s="812" t="s">
        <v>103</v>
      </c>
      <c r="B303" s="901" t="s">
        <v>199</v>
      </c>
      <c r="C303" s="825">
        <v>54739</v>
      </c>
      <c r="D303" s="918">
        <v>1304</v>
      </c>
      <c r="E303" s="825">
        <f t="shared" si="85"/>
        <v>71379.656000000003</v>
      </c>
      <c r="F303" s="825">
        <v>15521</v>
      </c>
      <c r="G303" s="825">
        <v>414.04224686866593</v>
      </c>
      <c r="H303" s="825">
        <f t="shared" si="86"/>
        <v>6426.3497136485639</v>
      </c>
      <c r="I303" s="825"/>
      <c r="J303" s="842">
        <v>1480</v>
      </c>
      <c r="K303" s="825">
        <f t="shared" si="87"/>
        <v>0</v>
      </c>
      <c r="L303" s="825">
        <v>27098</v>
      </c>
      <c r="M303" s="842">
        <v>1154</v>
      </c>
      <c r="N303" s="825">
        <f t="shared" si="88"/>
        <v>31271.092000000001</v>
      </c>
      <c r="O303" s="825">
        <v>331</v>
      </c>
      <c r="P303" s="842">
        <v>1683</v>
      </c>
      <c r="Q303" s="825">
        <f t="shared" si="89"/>
        <v>557.07299999999998</v>
      </c>
      <c r="R303" s="825">
        <v>0</v>
      </c>
      <c r="S303" s="919">
        <v>2020</v>
      </c>
      <c r="T303" s="825">
        <f t="shared" si="90"/>
        <v>0</v>
      </c>
      <c r="U303" s="825"/>
      <c r="V303" s="902"/>
      <c r="W303" s="825">
        <f t="shared" si="91"/>
        <v>0</v>
      </c>
      <c r="X303" s="825">
        <f t="shared" si="84"/>
        <v>97689</v>
      </c>
      <c r="Y303" s="825">
        <f t="shared" si="75"/>
        <v>109634.17071364858</v>
      </c>
    </row>
    <row r="304" spans="1:25" x14ac:dyDescent="0.25">
      <c r="A304" s="812" t="s">
        <v>20</v>
      </c>
      <c r="B304" s="901" t="s">
        <v>199</v>
      </c>
      <c r="C304" s="825">
        <v>26482</v>
      </c>
      <c r="D304" s="918">
        <v>1463</v>
      </c>
      <c r="E304" s="825">
        <f t="shared" si="85"/>
        <v>38743.165999999997</v>
      </c>
      <c r="F304" s="825">
        <v>10030</v>
      </c>
      <c r="G304" s="825">
        <v>392.0522532758003</v>
      </c>
      <c r="H304" s="825">
        <f t="shared" si="86"/>
        <v>3932.2841003562771</v>
      </c>
      <c r="I304" s="825">
        <v>2472</v>
      </c>
      <c r="J304" s="842">
        <v>2280</v>
      </c>
      <c r="K304" s="825">
        <f t="shared" si="87"/>
        <v>5636.16</v>
      </c>
      <c r="L304" s="825">
        <v>6525</v>
      </c>
      <c r="M304" s="842">
        <v>464</v>
      </c>
      <c r="N304" s="825">
        <f t="shared" si="88"/>
        <v>3027.6</v>
      </c>
      <c r="O304" s="825">
        <v>605</v>
      </c>
      <c r="P304" s="825">
        <v>1400</v>
      </c>
      <c r="Q304" s="825">
        <f t="shared" si="89"/>
        <v>847</v>
      </c>
      <c r="R304" s="825">
        <v>2577</v>
      </c>
      <c r="S304" s="919">
        <v>4333</v>
      </c>
      <c r="T304" s="825">
        <f t="shared" si="90"/>
        <v>11166.141</v>
      </c>
      <c r="U304" s="825"/>
      <c r="V304" s="902"/>
      <c r="W304" s="825">
        <f t="shared" si="91"/>
        <v>0</v>
      </c>
      <c r="X304" s="825">
        <f t="shared" si="84"/>
        <v>48691</v>
      </c>
      <c r="Y304" s="825">
        <f t="shared" si="75"/>
        <v>63352.351100356274</v>
      </c>
    </row>
    <row r="305" spans="1:25" x14ac:dyDescent="0.25">
      <c r="A305" s="887" t="s">
        <v>133</v>
      </c>
      <c r="B305" s="901" t="s">
        <v>199</v>
      </c>
      <c r="C305" s="825">
        <v>52575</v>
      </c>
      <c r="D305" s="918">
        <v>1176</v>
      </c>
      <c r="E305" s="825">
        <f t="shared" si="85"/>
        <v>61828.2</v>
      </c>
      <c r="F305" s="825">
        <v>14423</v>
      </c>
      <c r="G305" s="825">
        <v>434</v>
      </c>
      <c r="H305" s="825">
        <f t="shared" si="86"/>
        <v>6259.5820000000003</v>
      </c>
      <c r="I305" s="825">
        <v>0</v>
      </c>
      <c r="J305" s="842"/>
      <c r="K305" s="825">
        <f t="shared" si="87"/>
        <v>0</v>
      </c>
      <c r="L305" s="825">
        <v>29598</v>
      </c>
      <c r="M305" s="825">
        <v>563.2902266288952</v>
      </c>
      <c r="N305" s="825">
        <f t="shared" si="88"/>
        <v>16672.264127762039</v>
      </c>
      <c r="O305" s="825">
        <v>371</v>
      </c>
      <c r="P305" s="825">
        <v>950</v>
      </c>
      <c r="Q305" s="825">
        <f t="shared" si="89"/>
        <v>352.45</v>
      </c>
      <c r="R305" s="825">
        <v>0</v>
      </c>
      <c r="S305" s="919"/>
      <c r="T305" s="825">
        <f t="shared" si="90"/>
        <v>0</v>
      </c>
      <c r="U305" s="825">
        <v>0</v>
      </c>
      <c r="V305" s="902"/>
      <c r="W305" s="825">
        <f t="shared" si="91"/>
        <v>0</v>
      </c>
      <c r="X305" s="825">
        <f t="shared" si="84"/>
        <v>96967</v>
      </c>
      <c r="Y305" s="825">
        <f t="shared" si="75"/>
        <v>85112.496127762031</v>
      </c>
    </row>
    <row r="306" spans="1:25" x14ac:dyDescent="0.25">
      <c r="A306" s="887" t="s">
        <v>21</v>
      </c>
      <c r="B306" s="901" t="s">
        <v>199</v>
      </c>
      <c r="C306" s="825">
        <v>0</v>
      </c>
      <c r="D306" s="918"/>
      <c r="E306" s="825">
        <f t="shared" si="85"/>
        <v>0</v>
      </c>
      <c r="F306" s="825">
        <v>0</v>
      </c>
      <c r="G306" s="842"/>
      <c r="H306" s="825">
        <f t="shared" si="86"/>
        <v>0</v>
      </c>
      <c r="I306" s="825">
        <v>0</v>
      </c>
      <c r="J306" s="842"/>
      <c r="K306" s="825">
        <f t="shared" si="87"/>
        <v>0</v>
      </c>
      <c r="L306" s="825">
        <v>0</v>
      </c>
      <c r="M306" s="825">
        <v>206.75</v>
      </c>
      <c r="N306" s="825">
        <f t="shared" si="88"/>
        <v>0</v>
      </c>
      <c r="O306" s="825">
        <v>0</v>
      </c>
      <c r="P306" s="825"/>
      <c r="Q306" s="825">
        <f t="shared" si="89"/>
        <v>0</v>
      </c>
      <c r="R306" s="825">
        <v>0</v>
      </c>
      <c r="S306" s="919"/>
      <c r="T306" s="825">
        <f t="shared" si="90"/>
        <v>0</v>
      </c>
      <c r="U306" s="825"/>
      <c r="V306" s="902"/>
      <c r="W306" s="825">
        <f t="shared" si="91"/>
        <v>0</v>
      </c>
      <c r="X306" s="825">
        <f t="shared" si="84"/>
        <v>0</v>
      </c>
      <c r="Y306" s="825">
        <f t="shared" si="75"/>
        <v>0</v>
      </c>
    </row>
    <row r="307" spans="1:25" x14ac:dyDescent="0.25">
      <c r="A307" s="887" t="s">
        <v>22</v>
      </c>
      <c r="B307" s="901" t="s">
        <v>199</v>
      </c>
      <c r="C307" s="825">
        <v>730</v>
      </c>
      <c r="D307" s="918">
        <v>1400</v>
      </c>
      <c r="E307" s="825">
        <f t="shared" si="85"/>
        <v>1022</v>
      </c>
      <c r="F307" s="825">
        <v>0</v>
      </c>
      <c r="G307" s="842"/>
      <c r="H307" s="825">
        <f t="shared" si="86"/>
        <v>0</v>
      </c>
      <c r="I307" s="825">
        <v>0</v>
      </c>
      <c r="J307" s="842"/>
      <c r="K307" s="825">
        <f t="shared" si="87"/>
        <v>0</v>
      </c>
      <c r="L307" s="825">
        <v>1457</v>
      </c>
      <c r="M307" s="842">
        <v>1200</v>
      </c>
      <c r="N307" s="825">
        <f t="shared" si="88"/>
        <v>1748.4</v>
      </c>
      <c r="O307" s="825">
        <v>783</v>
      </c>
      <c r="P307" s="825">
        <v>6200</v>
      </c>
      <c r="Q307" s="825">
        <f t="shared" si="89"/>
        <v>4854.6000000000004</v>
      </c>
      <c r="R307" s="825">
        <v>334</v>
      </c>
      <c r="S307" s="919">
        <v>15300</v>
      </c>
      <c r="T307" s="825">
        <f t="shared" si="90"/>
        <v>5110.2</v>
      </c>
      <c r="U307" s="825">
        <v>0</v>
      </c>
      <c r="V307" s="902"/>
      <c r="W307" s="825">
        <f t="shared" si="91"/>
        <v>0</v>
      </c>
      <c r="X307" s="825">
        <f t="shared" si="84"/>
        <v>3304</v>
      </c>
      <c r="Y307" s="825">
        <f t="shared" si="75"/>
        <v>12735.2</v>
      </c>
    </row>
    <row r="308" spans="1:25" x14ac:dyDescent="0.25">
      <c r="A308" s="813" t="s">
        <v>23</v>
      </c>
      <c r="B308" s="901" t="s">
        <v>199</v>
      </c>
      <c r="C308" s="825">
        <v>129948</v>
      </c>
      <c r="D308" s="918">
        <v>950</v>
      </c>
      <c r="E308" s="825">
        <f t="shared" si="85"/>
        <v>123450.6</v>
      </c>
      <c r="F308" s="825">
        <v>62492</v>
      </c>
      <c r="G308" s="825">
        <v>389</v>
      </c>
      <c r="H308" s="825">
        <f t="shared" si="86"/>
        <v>24309.387999999999</v>
      </c>
      <c r="I308" s="825"/>
      <c r="J308" s="842"/>
      <c r="K308" s="825">
        <f t="shared" si="87"/>
        <v>0</v>
      </c>
      <c r="L308" s="825">
        <v>12231</v>
      </c>
      <c r="M308" s="825">
        <v>449.4</v>
      </c>
      <c r="N308" s="825">
        <f t="shared" si="88"/>
        <v>5496.6113999999998</v>
      </c>
      <c r="O308" s="825"/>
      <c r="P308" s="825"/>
      <c r="Q308" s="825">
        <f t="shared" si="89"/>
        <v>0</v>
      </c>
      <c r="R308" s="825"/>
      <c r="S308" s="919"/>
      <c r="T308" s="825">
        <f t="shared" si="90"/>
        <v>0</v>
      </c>
      <c r="U308" s="825"/>
      <c r="V308" s="902"/>
      <c r="W308" s="825">
        <f t="shared" si="91"/>
        <v>0</v>
      </c>
      <c r="X308" s="825">
        <f t="shared" si="84"/>
        <v>204671</v>
      </c>
      <c r="Y308" s="825">
        <f t="shared" si="75"/>
        <v>153256.59940000001</v>
      </c>
    </row>
    <row r="309" spans="1:25" x14ac:dyDescent="0.25">
      <c r="A309" s="887" t="s">
        <v>24</v>
      </c>
      <c r="B309" s="901" t="s">
        <v>199</v>
      </c>
      <c r="C309" s="825">
        <v>6800</v>
      </c>
      <c r="D309" s="918">
        <v>1067</v>
      </c>
      <c r="E309" s="825">
        <f t="shared" si="85"/>
        <v>7255.6</v>
      </c>
      <c r="F309" s="825">
        <v>7032</v>
      </c>
      <c r="G309" s="825">
        <v>566</v>
      </c>
      <c r="H309" s="825">
        <f t="shared" si="86"/>
        <v>3980.1120000000001</v>
      </c>
      <c r="I309" s="825">
        <v>449</v>
      </c>
      <c r="J309" s="842">
        <v>973</v>
      </c>
      <c r="K309" s="825">
        <f t="shared" si="87"/>
        <v>436.87700000000001</v>
      </c>
      <c r="L309" s="825">
        <v>2719</v>
      </c>
      <c r="M309" s="825">
        <v>661</v>
      </c>
      <c r="N309" s="825">
        <f t="shared" si="88"/>
        <v>1797.259</v>
      </c>
      <c r="O309" s="825">
        <v>1781</v>
      </c>
      <c r="P309" s="825">
        <v>9914</v>
      </c>
      <c r="Q309" s="825">
        <f t="shared" si="89"/>
        <v>17656.833999999999</v>
      </c>
      <c r="R309" s="825">
        <v>2178</v>
      </c>
      <c r="S309" s="919">
        <v>10903</v>
      </c>
      <c r="T309" s="825">
        <f t="shared" si="90"/>
        <v>23746.734</v>
      </c>
      <c r="U309" s="825"/>
      <c r="V309" s="902"/>
      <c r="W309" s="825">
        <f t="shared" si="91"/>
        <v>0</v>
      </c>
      <c r="X309" s="825">
        <f t="shared" si="84"/>
        <v>20959</v>
      </c>
      <c r="Y309" s="825">
        <f t="shared" si="75"/>
        <v>54873.415999999997</v>
      </c>
    </row>
    <row r="310" spans="1:25" x14ac:dyDescent="0.25">
      <c r="A310" s="887" t="s">
        <v>134</v>
      </c>
      <c r="B310" s="901" t="s">
        <v>199</v>
      </c>
      <c r="C310" s="825">
        <v>21691</v>
      </c>
      <c r="D310" s="918">
        <v>1097</v>
      </c>
      <c r="E310" s="825">
        <f t="shared" si="85"/>
        <v>23795.026999999998</v>
      </c>
      <c r="F310" s="825">
        <v>51284</v>
      </c>
      <c r="G310" s="825">
        <v>517</v>
      </c>
      <c r="H310" s="825">
        <f t="shared" si="86"/>
        <v>26513.828000000001</v>
      </c>
      <c r="I310" s="825"/>
      <c r="J310" s="842"/>
      <c r="K310" s="825">
        <f t="shared" si="87"/>
        <v>0</v>
      </c>
      <c r="L310" s="825">
        <v>21691</v>
      </c>
      <c r="M310" s="825">
        <v>605.54530497120697</v>
      </c>
      <c r="N310" s="825">
        <f t="shared" si="88"/>
        <v>13134.883210130451</v>
      </c>
      <c r="O310" s="825"/>
      <c r="P310" s="842"/>
      <c r="Q310" s="825">
        <f t="shared" si="89"/>
        <v>0</v>
      </c>
      <c r="R310" s="825"/>
      <c r="S310" s="919"/>
      <c r="T310" s="825">
        <f t="shared" si="90"/>
        <v>0</v>
      </c>
      <c r="U310" s="825"/>
      <c r="V310" s="902"/>
      <c r="W310" s="825">
        <f t="shared" si="91"/>
        <v>0</v>
      </c>
      <c r="X310" s="825">
        <f t="shared" si="84"/>
        <v>94666</v>
      </c>
      <c r="Y310" s="825">
        <f t="shared" si="75"/>
        <v>63443.738210130447</v>
      </c>
    </row>
    <row r="311" spans="1:25" x14ac:dyDescent="0.25">
      <c r="A311" s="887" t="s">
        <v>161</v>
      </c>
      <c r="B311" s="901" t="s">
        <v>199</v>
      </c>
      <c r="C311" s="825">
        <v>17537</v>
      </c>
      <c r="D311" s="918">
        <v>1842</v>
      </c>
      <c r="E311" s="825">
        <f t="shared" si="85"/>
        <v>32303.153999999999</v>
      </c>
      <c r="F311" s="825">
        <v>4606</v>
      </c>
      <c r="G311" s="825">
        <v>298.9580007074178</v>
      </c>
      <c r="H311" s="825">
        <f t="shared" si="86"/>
        <v>1377.0005512583664</v>
      </c>
      <c r="I311" s="825"/>
      <c r="J311" s="842"/>
      <c r="K311" s="825">
        <f t="shared" si="87"/>
        <v>0</v>
      </c>
      <c r="L311" s="825">
        <v>4616</v>
      </c>
      <c r="M311" s="825">
        <v>436.16566389735073</v>
      </c>
      <c r="N311" s="825">
        <f t="shared" si="88"/>
        <v>2013.340704550171</v>
      </c>
      <c r="O311" s="825"/>
      <c r="P311" s="842"/>
      <c r="Q311" s="825">
        <f t="shared" si="89"/>
        <v>0</v>
      </c>
      <c r="R311" s="825"/>
      <c r="S311" s="919"/>
      <c r="T311" s="825">
        <f t="shared" si="90"/>
        <v>0</v>
      </c>
      <c r="U311" s="825"/>
      <c r="V311" s="902"/>
      <c r="W311" s="825">
        <f t="shared" si="91"/>
        <v>0</v>
      </c>
      <c r="X311" s="825">
        <f t="shared" si="84"/>
        <v>26759</v>
      </c>
      <c r="Y311" s="825">
        <f t="shared" si="75"/>
        <v>35693.495255808535</v>
      </c>
    </row>
    <row r="312" spans="1:25" x14ac:dyDescent="0.25">
      <c r="A312" s="891" t="s">
        <v>135</v>
      </c>
      <c r="B312" s="901" t="s">
        <v>199</v>
      </c>
      <c r="C312" s="825">
        <v>47577.5</v>
      </c>
      <c r="D312" s="910">
        <v>1813</v>
      </c>
      <c r="E312" s="825">
        <f>C312*D312/1000</f>
        <v>86258.007500000007</v>
      </c>
      <c r="F312" s="825">
        <v>19655.5</v>
      </c>
      <c r="G312" s="842">
        <v>970</v>
      </c>
      <c r="H312" s="825">
        <f>F312*G312/1000</f>
        <v>19065.834999999999</v>
      </c>
      <c r="I312" s="825">
        <v>4561.5</v>
      </c>
      <c r="J312" s="842">
        <v>1861</v>
      </c>
      <c r="K312" s="825">
        <f>I312*J312/1000</f>
        <v>8488.9514999999992</v>
      </c>
      <c r="L312" s="825">
        <v>21019.5</v>
      </c>
      <c r="M312" s="842">
        <v>909</v>
      </c>
      <c r="N312" s="825">
        <f>L312*M312/1000</f>
        <v>19106.7255</v>
      </c>
      <c r="O312" s="825">
        <v>4657.5</v>
      </c>
      <c r="P312" s="825">
        <v>5125.6284741973304</v>
      </c>
      <c r="Q312" s="825">
        <f>O312*P312/1000</f>
        <v>23872.614618574069</v>
      </c>
      <c r="R312" s="825">
        <v>387</v>
      </c>
      <c r="S312" s="919">
        <v>6500</v>
      </c>
      <c r="T312" s="825">
        <f>R312*S312/1000</f>
        <v>2515.5</v>
      </c>
      <c r="U312" s="825">
        <v>3471</v>
      </c>
      <c r="V312" s="825">
        <v>2700</v>
      </c>
      <c r="W312" s="825">
        <f>U312*V312/1000</f>
        <v>9371.7000000000007</v>
      </c>
      <c r="X312" s="825">
        <f t="shared" si="84"/>
        <v>101329.5</v>
      </c>
      <c r="Y312" s="825">
        <f>E312+H312+N312+K312+Q312+T312+W312</f>
        <v>168679.33411857407</v>
      </c>
    </row>
    <row r="313" spans="1:25" x14ac:dyDescent="0.25">
      <c r="A313" s="812" t="s">
        <v>281</v>
      </c>
      <c r="B313" s="901" t="s">
        <v>199</v>
      </c>
      <c r="C313" s="825">
        <v>17726.5</v>
      </c>
      <c r="D313" s="842">
        <v>927</v>
      </c>
      <c r="E313" s="825">
        <f t="shared" ref="E313:E318" si="92">C313*D313/1000</f>
        <v>16432.465499999998</v>
      </c>
      <c r="F313" s="825">
        <v>17770</v>
      </c>
      <c r="G313" s="842">
        <v>448</v>
      </c>
      <c r="H313" s="825">
        <f t="shared" ref="H313:H318" si="93">F313*G313/1000</f>
        <v>7960.96</v>
      </c>
      <c r="I313" s="825">
        <v>3919.5</v>
      </c>
      <c r="J313" s="825">
        <v>530.25</v>
      </c>
      <c r="K313" s="825">
        <f t="shared" ref="K313:K318" si="94">I313*J313/1000</f>
        <v>2078.314875</v>
      </c>
      <c r="L313" s="825">
        <v>13567.5</v>
      </c>
      <c r="M313" s="842">
        <v>554</v>
      </c>
      <c r="N313" s="825">
        <f t="shared" ref="N313:N318" si="95">L313*M313/1000</f>
        <v>7516.3950000000004</v>
      </c>
      <c r="O313" s="825">
        <v>1982.5</v>
      </c>
      <c r="P313" s="825">
        <v>5951.9787022608116</v>
      </c>
      <c r="Q313" s="825">
        <f t="shared" ref="Q313:Q318" si="96">O313*P313/1000</f>
        <v>11799.797777232059</v>
      </c>
      <c r="R313" s="825">
        <v>0</v>
      </c>
      <c r="S313" s="919"/>
      <c r="T313" s="825">
        <f t="shared" ref="T313:T318" si="97">R313*S313/1000</f>
        <v>0</v>
      </c>
      <c r="U313" s="825">
        <v>1456.5</v>
      </c>
      <c r="V313" s="825">
        <v>3061.8</v>
      </c>
      <c r="W313" s="825">
        <f t="shared" ref="W313:W318" si="98">U313*V313/1000</f>
        <v>4459.5117</v>
      </c>
      <c r="X313" s="825">
        <f t="shared" si="84"/>
        <v>56422.5</v>
      </c>
      <c r="Y313" s="825">
        <f t="shared" ref="Y313:Y318" si="99">E313+H313+N313+K313+Q313+T313+W312</f>
        <v>55159.633152232054</v>
      </c>
    </row>
    <row r="314" spans="1:25" x14ac:dyDescent="0.25">
      <c r="A314" s="812" t="s">
        <v>282</v>
      </c>
      <c r="B314" s="901" t="s">
        <v>199</v>
      </c>
      <c r="C314" s="825">
        <v>27432.5</v>
      </c>
      <c r="D314" s="842">
        <v>1071</v>
      </c>
      <c r="E314" s="825">
        <f t="shared" si="92"/>
        <v>29380.2075</v>
      </c>
      <c r="F314" s="825">
        <v>12669.5</v>
      </c>
      <c r="G314" s="842">
        <v>560</v>
      </c>
      <c r="H314" s="825">
        <f t="shared" si="93"/>
        <v>7094.92</v>
      </c>
      <c r="I314" s="825">
        <v>2231.5</v>
      </c>
      <c r="J314" s="825">
        <v>980</v>
      </c>
      <c r="K314" s="825">
        <f t="shared" si="94"/>
        <v>2186.87</v>
      </c>
      <c r="L314" s="825">
        <v>9010</v>
      </c>
      <c r="M314" s="825">
        <v>540</v>
      </c>
      <c r="N314" s="825">
        <f t="shared" si="95"/>
        <v>4865.3999999999996</v>
      </c>
      <c r="O314" s="825">
        <v>1939</v>
      </c>
      <c r="P314" s="825">
        <v>1800</v>
      </c>
      <c r="Q314" s="825">
        <f t="shared" si="96"/>
        <v>3490.2</v>
      </c>
      <c r="R314" s="825">
        <v>0</v>
      </c>
      <c r="S314" s="919"/>
      <c r="T314" s="825">
        <f t="shared" si="97"/>
        <v>0</v>
      </c>
      <c r="U314" s="825">
        <v>768.5</v>
      </c>
      <c r="V314" s="825">
        <v>1045</v>
      </c>
      <c r="W314" s="825">
        <f t="shared" si="98"/>
        <v>803.08249999999998</v>
      </c>
      <c r="X314" s="825">
        <f t="shared" si="84"/>
        <v>54051</v>
      </c>
      <c r="Y314" s="825">
        <f t="shared" si="99"/>
        <v>51477.109200000006</v>
      </c>
    </row>
    <row r="315" spans="1:25" x14ac:dyDescent="0.25">
      <c r="A315" s="812" t="s">
        <v>52</v>
      </c>
      <c r="B315" s="901" t="s">
        <v>199</v>
      </c>
      <c r="C315" s="825">
        <v>27709.3</v>
      </c>
      <c r="D315" s="842">
        <v>1164</v>
      </c>
      <c r="E315" s="825">
        <f t="shared" si="92"/>
        <v>32253.625199999999</v>
      </c>
      <c r="F315" s="825">
        <v>11181</v>
      </c>
      <c r="G315" s="825">
        <v>457.84039752674852</v>
      </c>
      <c r="H315" s="825">
        <f t="shared" si="93"/>
        <v>5119.1134847465755</v>
      </c>
      <c r="I315" s="825">
        <v>2912</v>
      </c>
      <c r="J315" s="842">
        <v>1019</v>
      </c>
      <c r="K315" s="825">
        <f t="shared" si="94"/>
        <v>2967.328</v>
      </c>
      <c r="L315" s="825">
        <v>10739</v>
      </c>
      <c r="M315" s="825">
        <v>664.27854584856129</v>
      </c>
      <c r="N315" s="825">
        <f t="shared" si="95"/>
        <v>7133.6873038676995</v>
      </c>
      <c r="O315" s="825">
        <v>4019</v>
      </c>
      <c r="P315" s="825">
        <v>4223.5794295816704</v>
      </c>
      <c r="Q315" s="825">
        <f t="shared" si="96"/>
        <v>16974.565727488734</v>
      </c>
      <c r="R315" s="825">
        <v>1182</v>
      </c>
      <c r="S315" s="919">
        <v>7000</v>
      </c>
      <c r="T315" s="825">
        <f t="shared" si="97"/>
        <v>8274</v>
      </c>
      <c r="U315" s="825"/>
      <c r="V315" s="825"/>
      <c r="W315" s="825">
        <f t="shared" si="98"/>
        <v>0</v>
      </c>
      <c r="X315" s="825">
        <f t="shared" si="84"/>
        <v>57742.3</v>
      </c>
      <c r="Y315" s="825">
        <f t="shared" si="99"/>
        <v>73525.402216103015</v>
      </c>
    </row>
    <row r="316" spans="1:25" x14ac:dyDescent="0.25">
      <c r="A316" s="812" t="s">
        <v>50</v>
      </c>
      <c r="B316" s="901" t="s">
        <v>199</v>
      </c>
      <c r="C316" s="825">
        <v>58830</v>
      </c>
      <c r="D316" s="842">
        <v>1181</v>
      </c>
      <c r="E316" s="825">
        <f t="shared" si="92"/>
        <v>69478.23</v>
      </c>
      <c r="F316" s="825">
        <v>39706</v>
      </c>
      <c r="G316" s="825">
        <v>499.10827289296213</v>
      </c>
      <c r="H316" s="825">
        <f t="shared" si="93"/>
        <v>19817.593083487955</v>
      </c>
      <c r="I316" s="825">
        <v>0</v>
      </c>
      <c r="J316" s="842"/>
      <c r="K316" s="825">
        <f t="shared" si="94"/>
        <v>0</v>
      </c>
      <c r="L316" s="825">
        <v>10559</v>
      </c>
      <c r="M316" s="825">
        <v>456.54003116515997</v>
      </c>
      <c r="N316" s="825">
        <f t="shared" si="95"/>
        <v>4820.6061890729234</v>
      </c>
      <c r="O316" s="825">
        <v>4414</v>
      </c>
      <c r="P316" s="825">
        <v>9946.9297215983715</v>
      </c>
      <c r="Q316" s="825">
        <f t="shared" si="96"/>
        <v>43905.747791135211</v>
      </c>
      <c r="R316" s="825">
        <v>600</v>
      </c>
      <c r="S316" s="919">
        <v>5650</v>
      </c>
      <c r="T316" s="825">
        <f t="shared" si="97"/>
        <v>3390</v>
      </c>
      <c r="U316" s="825">
        <v>111</v>
      </c>
      <c r="V316" s="825">
        <v>1800</v>
      </c>
      <c r="W316" s="825">
        <f t="shared" si="98"/>
        <v>199.8</v>
      </c>
      <c r="X316" s="825">
        <f t="shared" si="84"/>
        <v>114220</v>
      </c>
      <c r="Y316" s="825">
        <f t="shared" si="99"/>
        <v>141412.17706369609</v>
      </c>
    </row>
    <row r="317" spans="1:25" x14ac:dyDescent="0.25">
      <c r="A317" s="812" t="s">
        <v>163</v>
      </c>
      <c r="B317" s="901" t="s">
        <v>199</v>
      </c>
      <c r="C317" s="825">
        <v>35896</v>
      </c>
      <c r="D317" s="842">
        <v>1778</v>
      </c>
      <c r="E317" s="825">
        <f t="shared" si="92"/>
        <v>63823.088000000003</v>
      </c>
      <c r="F317" s="825">
        <v>22018</v>
      </c>
      <c r="G317" s="825">
        <v>614.22690158869466</v>
      </c>
      <c r="H317" s="825">
        <f t="shared" si="93"/>
        <v>13524.047919179879</v>
      </c>
      <c r="I317" s="825">
        <v>8095</v>
      </c>
      <c r="J317" s="842">
        <v>1394</v>
      </c>
      <c r="K317" s="825">
        <f t="shared" si="94"/>
        <v>11284.43</v>
      </c>
      <c r="L317" s="825">
        <v>12273</v>
      </c>
      <c r="M317" s="825">
        <v>622.27104254907647</v>
      </c>
      <c r="N317" s="825">
        <f t="shared" si="95"/>
        <v>7637.1325052048151</v>
      </c>
      <c r="O317" s="825">
        <v>0</v>
      </c>
      <c r="P317" s="825">
        <v>7152.2480102985737</v>
      </c>
      <c r="Q317" s="825">
        <f t="shared" si="96"/>
        <v>0</v>
      </c>
      <c r="R317" s="825">
        <v>5551</v>
      </c>
      <c r="S317" s="919">
        <v>6500</v>
      </c>
      <c r="T317" s="825">
        <f t="shared" si="97"/>
        <v>36081.5</v>
      </c>
      <c r="U317" s="825">
        <v>4398</v>
      </c>
      <c r="V317" s="825">
        <v>1150</v>
      </c>
      <c r="W317" s="825">
        <f t="shared" si="98"/>
        <v>5057.7</v>
      </c>
      <c r="X317" s="825">
        <f t="shared" si="84"/>
        <v>88231</v>
      </c>
      <c r="Y317" s="825">
        <f t="shared" si="99"/>
        <v>132549.99842438468</v>
      </c>
    </row>
    <row r="318" spans="1:25" x14ac:dyDescent="0.25">
      <c r="A318" s="813" t="s">
        <v>27</v>
      </c>
      <c r="B318" s="901" t="s">
        <v>199</v>
      </c>
      <c r="C318" s="825">
        <v>27730.3</v>
      </c>
      <c r="D318" s="842">
        <v>1092</v>
      </c>
      <c r="E318" s="825">
        <f t="shared" si="92"/>
        <v>30281.487599999997</v>
      </c>
      <c r="F318" s="825">
        <v>11720</v>
      </c>
      <c r="G318" s="825">
        <v>470.1875727466757</v>
      </c>
      <c r="H318" s="825">
        <f t="shared" si="93"/>
        <v>5510.5983525910397</v>
      </c>
      <c r="I318" s="825">
        <v>0</v>
      </c>
      <c r="J318" s="842">
        <v>501</v>
      </c>
      <c r="K318" s="825">
        <f t="shared" si="94"/>
        <v>0</v>
      </c>
      <c r="L318" s="825">
        <v>8253</v>
      </c>
      <c r="M318" s="842">
        <v>693</v>
      </c>
      <c r="N318" s="825">
        <f t="shared" si="95"/>
        <v>5719.3289999999997</v>
      </c>
      <c r="O318" s="825">
        <v>3407</v>
      </c>
      <c r="P318" s="825">
        <v>4890</v>
      </c>
      <c r="Q318" s="825">
        <f t="shared" si="96"/>
        <v>16660.23</v>
      </c>
      <c r="R318" s="825">
        <v>580</v>
      </c>
      <c r="S318" s="919">
        <v>11800</v>
      </c>
      <c r="T318" s="825">
        <f t="shared" si="97"/>
        <v>6844</v>
      </c>
      <c r="U318" s="825">
        <v>337</v>
      </c>
      <c r="V318" s="825">
        <v>1133.3333333333333</v>
      </c>
      <c r="W318" s="825">
        <f t="shared" si="98"/>
        <v>381.93333333333334</v>
      </c>
      <c r="X318" s="825">
        <f t="shared" si="84"/>
        <v>52027.3</v>
      </c>
      <c r="Y318" s="825">
        <f t="shared" si="99"/>
        <v>70073.344952591026</v>
      </c>
    </row>
    <row r="319" spans="1:25" x14ac:dyDescent="0.25">
      <c r="A319" s="887" t="s">
        <v>15</v>
      </c>
      <c r="B319" s="920" t="s">
        <v>223</v>
      </c>
      <c r="C319" s="825">
        <v>24068</v>
      </c>
      <c r="D319" s="825">
        <v>933.03527584889196</v>
      </c>
      <c r="E319" s="825">
        <f>C319*D319/1000</f>
        <v>22456.293019131132</v>
      </c>
      <c r="F319" s="825">
        <v>5760</v>
      </c>
      <c r="G319" s="825">
        <v>412.38835339952004</v>
      </c>
      <c r="H319" s="825">
        <f>F319*G319/1000</f>
        <v>2375.3569155812356</v>
      </c>
      <c r="I319" s="825">
        <f>0.75*321</f>
        <v>240.75</v>
      </c>
      <c r="J319" s="825">
        <v>560.33333333333337</v>
      </c>
      <c r="K319" s="825">
        <f>I319*J319/1000</f>
        <v>134.90025</v>
      </c>
      <c r="L319" s="825">
        <f>1.18*10458</f>
        <v>12340.439999999999</v>
      </c>
      <c r="M319" s="825">
        <v>409</v>
      </c>
      <c r="N319" s="825">
        <f>L319*M319/1000</f>
        <v>5047.239959999999</v>
      </c>
      <c r="O319" s="825"/>
      <c r="P319" s="825">
        <v>0</v>
      </c>
      <c r="Q319" s="825">
        <f>O319*P319/1000</f>
        <v>0</v>
      </c>
      <c r="R319" s="825"/>
      <c r="S319" s="825"/>
      <c r="T319" s="825">
        <f>R319*S319/1000</f>
        <v>0</v>
      </c>
      <c r="U319" s="825"/>
      <c r="V319" s="825"/>
      <c r="W319" s="825"/>
      <c r="X319" s="825">
        <f t="shared" ref="X319:X336" si="100">+C319+F319+L319+I319+O319+R319+U319</f>
        <v>42409.19</v>
      </c>
      <c r="Y319" s="825">
        <f t="shared" ref="Y319:Y336" si="101">+W319+T319+Q319+K319+N319+H319+E319</f>
        <v>30013.790144712366</v>
      </c>
    </row>
    <row r="320" spans="1:25" x14ac:dyDescent="0.25">
      <c r="A320" s="887" t="s">
        <v>187</v>
      </c>
      <c r="B320" s="920" t="s">
        <v>223</v>
      </c>
      <c r="C320" s="825"/>
      <c r="D320" s="825"/>
      <c r="E320" s="825">
        <f t="shared" ref="E320:E336" si="102">C320*D320/1000</f>
        <v>0</v>
      </c>
      <c r="F320" s="825"/>
      <c r="G320" s="825"/>
      <c r="H320" s="825">
        <f t="shared" ref="H320:H329" si="103">F320*G320/1000</f>
        <v>0</v>
      </c>
      <c r="I320" s="825"/>
      <c r="J320" s="825"/>
      <c r="K320" s="825">
        <f t="shared" ref="K320:K329" si="104">I320*J320/1000</f>
        <v>0</v>
      </c>
      <c r="L320" s="825">
        <v>95</v>
      </c>
      <c r="M320" s="825">
        <v>350</v>
      </c>
      <c r="N320" s="825">
        <f t="shared" ref="N320:N329" si="105">L320*M320/1000</f>
        <v>33.25</v>
      </c>
      <c r="O320" s="825"/>
      <c r="P320" s="825">
        <v>0</v>
      </c>
      <c r="Q320" s="825">
        <f t="shared" ref="Q320:Q329" si="106">O320*P320/1000</f>
        <v>0</v>
      </c>
      <c r="R320" s="825"/>
      <c r="S320" s="825"/>
      <c r="T320" s="825">
        <f t="shared" ref="T320:T329" si="107">R320*S320/1000</f>
        <v>0</v>
      </c>
      <c r="U320" s="825"/>
      <c r="V320" s="825"/>
      <c r="W320" s="825"/>
      <c r="X320" s="825">
        <f t="shared" si="100"/>
        <v>95</v>
      </c>
      <c r="Y320" s="825">
        <f t="shared" si="101"/>
        <v>33.25</v>
      </c>
    </row>
    <row r="321" spans="1:25" x14ac:dyDescent="0.25">
      <c r="A321" s="812" t="s">
        <v>103</v>
      </c>
      <c r="B321" s="920" t="s">
        <v>223</v>
      </c>
      <c r="C321" s="825">
        <v>65659</v>
      </c>
      <c r="D321" s="825">
        <v>1052</v>
      </c>
      <c r="E321" s="825">
        <f t="shared" si="102"/>
        <v>69073.267999999996</v>
      </c>
      <c r="F321" s="825">
        <v>19881</v>
      </c>
      <c r="G321" s="825">
        <v>396.85069624239907</v>
      </c>
      <c r="H321" s="825">
        <f t="shared" si="103"/>
        <v>7889.7886919951352</v>
      </c>
      <c r="I321" s="825">
        <v>1738</v>
      </c>
      <c r="J321" s="825">
        <v>1280</v>
      </c>
      <c r="K321" s="825">
        <f t="shared" si="104"/>
        <v>2224.64</v>
      </c>
      <c r="L321" s="825">
        <v>26367</v>
      </c>
      <c r="M321" s="825">
        <v>602</v>
      </c>
      <c r="N321" s="825">
        <f t="shared" si="105"/>
        <v>15872.933999999999</v>
      </c>
      <c r="O321" s="825">
        <f>1.75*766.666666666667</f>
        <v>1341.6666666666672</v>
      </c>
      <c r="P321" s="825">
        <v>3978.9557500000001</v>
      </c>
      <c r="Q321" s="825">
        <f t="shared" si="106"/>
        <v>5338.4322979166682</v>
      </c>
      <c r="R321" s="825">
        <f>0.45*1800</f>
        <v>810</v>
      </c>
      <c r="S321" s="825">
        <v>4634</v>
      </c>
      <c r="T321" s="825">
        <f t="shared" si="107"/>
        <v>3753.54</v>
      </c>
      <c r="U321" s="825"/>
      <c r="V321" s="825"/>
      <c r="W321" s="825"/>
      <c r="X321" s="825">
        <f t="shared" si="100"/>
        <v>115796.66666666667</v>
      </c>
      <c r="Y321" s="825">
        <f t="shared" si="101"/>
        <v>104152.6029899118</v>
      </c>
    </row>
    <row r="322" spans="1:25" x14ac:dyDescent="0.25">
      <c r="A322" s="812" t="s">
        <v>20</v>
      </c>
      <c r="B322" s="920" t="s">
        <v>223</v>
      </c>
      <c r="C322" s="825">
        <v>38106</v>
      </c>
      <c r="D322" s="825">
        <v>841</v>
      </c>
      <c r="E322" s="825">
        <f t="shared" si="102"/>
        <v>32047.146000000001</v>
      </c>
      <c r="F322" s="825">
        <f>1.22*11140</f>
        <v>13590.8</v>
      </c>
      <c r="G322" s="825">
        <v>370.46270393096034</v>
      </c>
      <c r="H322" s="825">
        <f t="shared" si="103"/>
        <v>5034.8845165848952</v>
      </c>
      <c r="I322" s="825">
        <v>3220</v>
      </c>
      <c r="J322" s="825">
        <v>984</v>
      </c>
      <c r="K322" s="825">
        <f t="shared" si="104"/>
        <v>3168.48</v>
      </c>
      <c r="L322" s="825">
        <v>7149</v>
      </c>
      <c r="M322" s="825">
        <v>426.85890092354987</v>
      </c>
      <c r="N322" s="825">
        <f t="shared" si="105"/>
        <v>3051.6142827024582</v>
      </c>
      <c r="O322" s="825">
        <v>456</v>
      </c>
      <c r="P322" s="825">
        <v>561.29200000000003</v>
      </c>
      <c r="Q322" s="825">
        <f t="shared" si="106"/>
        <v>255.949152</v>
      </c>
      <c r="R322" s="825">
        <f>0.65*2190</f>
        <v>1423.5</v>
      </c>
      <c r="S322" s="825">
        <v>5403</v>
      </c>
      <c r="T322" s="825">
        <f t="shared" si="107"/>
        <v>7691.1705000000002</v>
      </c>
      <c r="U322" s="825"/>
      <c r="V322" s="825"/>
      <c r="W322" s="825"/>
      <c r="X322" s="825">
        <f t="shared" si="100"/>
        <v>63945.3</v>
      </c>
      <c r="Y322" s="825">
        <f t="shared" si="101"/>
        <v>51249.244451287355</v>
      </c>
    </row>
    <row r="323" spans="1:25" x14ac:dyDescent="0.25">
      <c r="A323" s="887" t="s">
        <v>133</v>
      </c>
      <c r="B323" s="920" t="s">
        <v>223</v>
      </c>
      <c r="C323" s="825">
        <v>51842.400000000001</v>
      </c>
      <c r="D323" s="825">
        <v>911.87306045275693</v>
      </c>
      <c r="E323" s="825">
        <f t="shared" si="102"/>
        <v>47273.687949216008</v>
      </c>
      <c r="F323" s="825">
        <f>0.54*15402</f>
        <v>8317.08</v>
      </c>
      <c r="G323" s="825">
        <v>431.09</v>
      </c>
      <c r="H323" s="825">
        <f t="shared" si="103"/>
        <v>3585.4100171999999</v>
      </c>
      <c r="I323" s="825"/>
      <c r="J323" s="825"/>
      <c r="K323" s="825">
        <f t="shared" si="104"/>
        <v>0</v>
      </c>
      <c r="L323" s="825">
        <v>25212</v>
      </c>
      <c r="M323" s="825">
        <v>585.94827195467428</v>
      </c>
      <c r="N323" s="825">
        <f t="shared" si="105"/>
        <v>14772.927832521249</v>
      </c>
      <c r="O323" s="825">
        <v>952</v>
      </c>
      <c r="P323" s="825">
        <v>450.0625</v>
      </c>
      <c r="Q323" s="825">
        <f t="shared" si="106"/>
        <v>428.45949999999999</v>
      </c>
      <c r="R323" s="825">
        <f>0.55*662</f>
        <v>364.1</v>
      </c>
      <c r="S323" s="825">
        <v>6500</v>
      </c>
      <c r="T323" s="825">
        <f t="shared" si="107"/>
        <v>2366.65</v>
      </c>
      <c r="U323" s="825"/>
      <c r="V323" s="825"/>
      <c r="W323" s="825"/>
      <c r="X323" s="825">
        <f t="shared" si="100"/>
        <v>86687.580000000016</v>
      </c>
      <c r="Y323" s="825">
        <f t="shared" si="101"/>
        <v>68427.135298937254</v>
      </c>
    </row>
    <row r="324" spans="1:25" x14ac:dyDescent="0.25">
      <c r="A324" s="887" t="s">
        <v>21</v>
      </c>
      <c r="B324" s="920" t="s">
        <v>223</v>
      </c>
      <c r="C324" s="825"/>
      <c r="D324" s="825"/>
      <c r="E324" s="825">
        <f t="shared" si="102"/>
        <v>0</v>
      </c>
      <c r="F324" s="825"/>
      <c r="G324" s="825"/>
      <c r="H324" s="825">
        <f t="shared" si="103"/>
        <v>0</v>
      </c>
      <c r="I324" s="825"/>
      <c r="J324" s="825"/>
      <c r="K324" s="825">
        <f t="shared" si="104"/>
        <v>0</v>
      </c>
      <c r="L324" s="825">
        <v>123</v>
      </c>
      <c r="M324" s="825">
        <v>206.75</v>
      </c>
      <c r="N324" s="825">
        <f t="shared" si="105"/>
        <v>25.430250000000001</v>
      </c>
      <c r="O324" s="825"/>
      <c r="P324" s="825">
        <v>0</v>
      </c>
      <c r="Q324" s="825">
        <f t="shared" si="106"/>
        <v>0</v>
      </c>
      <c r="R324" s="825"/>
      <c r="S324" s="825"/>
      <c r="T324" s="825">
        <f t="shared" si="107"/>
        <v>0</v>
      </c>
      <c r="U324" s="825"/>
      <c r="V324" s="825"/>
      <c r="W324" s="825"/>
      <c r="X324" s="825">
        <f t="shared" si="100"/>
        <v>123</v>
      </c>
      <c r="Y324" s="825">
        <f t="shared" si="101"/>
        <v>25.430250000000001</v>
      </c>
    </row>
    <row r="325" spans="1:25" x14ac:dyDescent="0.25">
      <c r="A325" s="887" t="s">
        <v>22</v>
      </c>
      <c r="B325" s="920" t="s">
        <v>223</v>
      </c>
      <c r="C325" s="825">
        <v>599</v>
      </c>
      <c r="D325" s="825">
        <v>1053</v>
      </c>
      <c r="E325" s="825">
        <f t="shared" si="102"/>
        <v>630.74699999999996</v>
      </c>
      <c r="F325" s="825"/>
      <c r="G325" s="825"/>
      <c r="H325" s="825">
        <f t="shared" si="103"/>
        <v>0</v>
      </c>
      <c r="I325" s="825"/>
      <c r="J325" s="825"/>
      <c r="K325" s="825">
        <f t="shared" si="104"/>
        <v>0</v>
      </c>
      <c r="L325" s="825">
        <v>964</v>
      </c>
      <c r="M325" s="825">
        <v>894.33333333333337</v>
      </c>
      <c r="N325" s="825">
        <f t="shared" si="105"/>
        <v>862.13733333333334</v>
      </c>
      <c r="O325" s="825">
        <v>291</v>
      </c>
      <c r="P325" s="825">
        <v>7023.9968000000008</v>
      </c>
      <c r="Q325" s="825">
        <f>O325*P325/1000</f>
        <v>2043.9830688000002</v>
      </c>
      <c r="R325" s="825">
        <v>382</v>
      </c>
      <c r="S325" s="825">
        <v>7566</v>
      </c>
      <c r="T325" s="825">
        <f t="shared" si="107"/>
        <v>2890.212</v>
      </c>
      <c r="U325" s="825"/>
      <c r="V325" s="825"/>
      <c r="W325" s="825"/>
      <c r="X325" s="825">
        <f t="shared" si="100"/>
        <v>2236</v>
      </c>
      <c r="Y325" s="825">
        <f t="shared" si="101"/>
        <v>6427.0794021333331</v>
      </c>
    </row>
    <row r="326" spans="1:25" x14ac:dyDescent="0.25">
      <c r="A326" s="813" t="s">
        <v>23</v>
      </c>
      <c r="B326" s="920" t="s">
        <v>223</v>
      </c>
      <c r="C326" s="825">
        <v>181833.12</v>
      </c>
      <c r="D326" s="825">
        <v>939.2</v>
      </c>
      <c r="E326" s="825">
        <f t="shared" si="102"/>
        <v>170777.66630399998</v>
      </c>
      <c r="F326" s="825">
        <v>43753</v>
      </c>
      <c r="G326" s="825">
        <v>466.8</v>
      </c>
      <c r="H326" s="825">
        <f t="shared" si="103"/>
        <v>20423.900400000002</v>
      </c>
      <c r="I326" s="825">
        <v>2000</v>
      </c>
      <c r="J326" s="825">
        <v>672</v>
      </c>
      <c r="K326" s="825">
        <f t="shared" si="104"/>
        <v>1344</v>
      </c>
      <c r="L326" s="825">
        <v>9690.0999999999985</v>
      </c>
      <c r="M326" s="825">
        <v>399.28000000000003</v>
      </c>
      <c r="N326" s="825">
        <f t="shared" si="105"/>
        <v>3869.0631279999998</v>
      </c>
      <c r="O326" s="825"/>
      <c r="P326" s="825">
        <v>0</v>
      </c>
      <c r="Q326" s="825">
        <f t="shared" si="106"/>
        <v>0</v>
      </c>
      <c r="R326" s="825"/>
      <c r="S326" s="825"/>
      <c r="T326" s="825">
        <f t="shared" si="107"/>
        <v>0</v>
      </c>
      <c r="U326" s="825"/>
      <c r="V326" s="825"/>
      <c r="W326" s="825"/>
      <c r="X326" s="825">
        <f t="shared" si="100"/>
        <v>237276.22</v>
      </c>
      <c r="Y326" s="825">
        <f t="shared" si="101"/>
        <v>196414.62983199998</v>
      </c>
    </row>
    <row r="327" spans="1:25" x14ac:dyDescent="0.25">
      <c r="A327" s="887" t="s">
        <v>24</v>
      </c>
      <c r="B327" s="920" t="s">
        <v>223</v>
      </c>
      <c r="C327" s="825">
        <f>0.8*13057</f>
        <v>10445.6</v>
      </c>
      <c r="D327" s="825">
        <v>951.4</v>
      </c>
      <c r="E327" s="825">
        <f t="shared" si="102"/>
        <v>9937.9438399999999</v>
      </c>
      <c r="F327" s="825">
        <v>7560</v>
      </c>
      <c r="G327" s="825">
        <v>479</v>
      </c>
      <c r="H327" s="825">
        <f t="shared" si="103"/>
        <v>3621.24</v>
      </c>
      <c r="I327" s="825">
        <f>1.16*462</f>
        <v>535.91999999999996</v>
      </c>
      <c r="J327" s="825">
        <v>905.2</v>
      </c>
      <c r="K327" s="825">
        <f t="shared" si="104"/>
        <v>485.11478399999999</v>
      </c>
      <c r="L327" s="825">
        <v>5072</v>
      </c>
      <c r="M327" s="825">
        <v>530</v>
      </c>
      <c r="N327" s="825">
        <f t="shared" si="105"/>
        <v>2688.16</v>
      </c>
      <c r="O327" s="825">
        <f>1.51*1694</f>
        <v>2557.94</v>
      </c>
      <c r="P327" s="825">
        <v>14477</v>
      </c>
      <c r="Q327" s="825">
        <f t="shared" si="106"/>
        <v>37031.297380000004</v>
      </c>
      <c r="R327" s="825">
        <v>2739</v>
      </c>
      <c r="S327" s="825">
        <v>6800</v>
      </c>
      <c r="T327" s="825">
        <f t="shared" si="107"/>
        <v>18625.2</v>
      </c>
      <c r="U327" s="825"/>
      <c r="V327" s="825"/>
      <c r="W327" s="825"/>
      <c r="X327" s="825">
        <f t="shared" si="100"/>
        <v>28910.459999999995</v>
      </c>
      <c r="Y327" s="825">
        <f t="shared" si="101"/>
        <v>72388.956003999992</v>
      </c>
    </row>
    <row r="328" spans="1:25" x14ac:dyDescent="0.25">
      <c r="A328" s="887" t="s">
        <v>134</v>
      </c>
      <c r="B328" s="920" t="s">
        <v>223</v>
      </c>
      <c r="C328" s="825">
        <v>92733.1</v>
      </c>
      <c r="D328" s="825">
        <v>1036</v>
      </c>
      <c r="E328" s="825">
        <f t="shared" si="102"/>
        <v>96071.491600000008</v>
      </c>
      <c r="F328" s="825">
        <v>42296</v>
      </c>
      <c r="G328" s="825">
        <v>565</v>
      </c>
      <c r="H328" s="825">
        <f t="shared" si="103"/>
        <v>23897.24</v>
      </c>
      <c r="I328" s="825"/>
      <c r="J328" s="825"/>
      <c r="K328" s="825">
        <f t="shared" si="104"/>
        <v>0</v>
      </c>
      <c r="L328" s="825">
        <v>23826</v>
      </c>
      <c r="M328" s="825">
        <v>586.65436596544828</v>
      </c>
      <c r="N328" s="825">
        <f t="shared" si="105"/>
        <v>13977.626923492771</v>
      </c>
      <c r="O328" s="825"/>
      <c r="P328" s="825">
        <v>0</v>
      </c>
      <c r="Q328" s="825">
        <f t="shared" si="106"/>
        <v>0</v>
      </c>
      <c r="R328" s="825">
        <v>113</v>
      </c>
      <c r="S328" s="825">
        <v>5900</v>
      </c>
      <c r="T328" s="825">
        <f t="shared" si="107"/>
        <v>666.7</v>
      </c>
      <c r="U328" s="825"/>
      <c r="V328" s="825"/>
      <c r="W328" s="825"/>
      <c r="X328" s="825">
        <f t="shared" si="100"/>
        <v>158968.1</v>
      </c>
      <c r="Y328" s="825">
        <f t="shared" si="101"/>
        <v>134613.05852349277</v>
      </c>
    </row>
    <row r="329" spans="1:25" x14ac:dyDescent="0.25">
      <c r="A329" s="887" t="s">
        <v>161</v>
      </c>
      <c r="B329" s="920" t="s">
        <v>223</v>
      </c>
      <c r="C329" s="825">
        <v>26518</v>
      </c>
      <c r="D329" s="825">
        <v>900</v>
      </c>
      <c r="E329" s="825">
        <f t="shared" si="102"/>
        <v>23866.2</v>
      </c>
      <c r="F329" s="825">
        <v>5466</v>
      </c>
      <c r="G329" s="825">
        <v>359</v>
      </c>
      <c r="H329" s="825">
        <f t="shared" si="103"/>
        <v>1962.2940000000001</v>
      </c>
      <c r="I329" s="825"/>
      <c r="J329" s="825"/>
      <c r="K329" s="825">
        <f t="shared" si="104"/>
        <v>0</v>
      </c>
      <c r="L329" s="825">
        <v>4274</v>
      </c>
      <c r="M329" s="825">
        <v>383.39879667682084</v>
      </c>
      <c r="N329" s="825">
        <f t="shared" si="105"/>
        <v>1638.6464569967322</v>
      </c>
      <c r="O329" s="825"/>
      <c r="P329" s="825">
        <v>0</v>
      </c>
      <c r="Q329" s="825">
        <f t="shared" si="106"/>
        <v>0</v>
      </c>
      <c r="R329" s="825"/>
      <c r="S329" s="825"/>
      <c r="T329" s="825">
        <f t="shared" si="107"/>
        <v>0</v>
      </c>
      <c r="U329" s="825"/>
      <c r="V329" s="825"/>
      <c r="W329" s="825"/>
      <c r="X329" s="825">
        <f t="shared" si="100"/>
        <v>36258</v>
      </c>
      <c r="Y329" s="825">
        <f t="shared" si="101"/>
        <v>27467.140456996734</v>
      </c>
    </row>
    <row r="330" spans="1:25" x14ac:dyDescent="0.25">
      <c r="A330" s="891" t="s">
        <v>135</v>
      </c>
      <c r="B330" s="920" t="s">
        <v>223</v>
      </c>
      <c r="C330" s="825">
        <f>1.14*42729</f>
        <v>48711.06</v>
      </c>
      <c r="D330" s="825">
        <v>1146</v>
      </c>
      <c r="E330" s="825">
        <f t="shared" si="102"/>
        <v>55822.874759999999</v>
      </c>
      <c r="F330" s="825">
        <f>1.27*16990</f>
        <v>21577.3</v>
      </c>
      <c r="G330" s="825">
        <v>493</v>
      </c>
      <c r="H330" s="825">
        <f t="shared" ref="H330:H336" si="108">F330*G330/1000</f>
        <v>10637.608900000001</v>
      </c>
      <c r="I330" s="825">
        <f>1.16*5591</f>
        <v>6485.5599999999995</v>
      </c>
      <c r="J330" s="825">
        <v>873</v>
      </c>
      <c r="K330" s="825">
        <f t="shared" ref="K330:K336" si="109">I330*J330/1000</f>
        <v>5661.8938799999996</v>
      </c>
      <c r="L330" s="825">
        <f>1.18*19863</f>
        <v>23438.34</v>
      </c>
      <c r="M330" s="825">
        <v>554</v>
      </c>
      <c r="N330" s="825">
        <f t="shared" ref="N330:N336" si="110">L330*M330/1000</f>
        <v>12984.84036</v>
      </c>
      <c r="O330" s="825">
        <v>5730</v>
      </c>
      <c r="P330" s="825">
        <v>16388.8</v>
      </c>
      <c r="Q330" s="825">
        <f t="shared" ref="Q330:Q336" si="111">O330*P330/1000</f>
        <v>93907.823999999993</v>
      </c>
      <c r="R330" s="825">
        <v>1254.1200000000001</v>
      </c>
      <c r="S330" s="825">
        <v>5064</v>
      </c>
      <c r="T330" s="825">
        <f t="shared" ref="T330:T336" si="112">R330*S330/1000</f>
        <v>6350.8636800000004</v>
      </c>
      <c r="U330" s="825">
        <v>2066</v>
      </c>
      <c r="V330" s="825">
        <v>2250</v>
      </c>
      <c r="W330" s="825">
        <f t="shared" ref="W330:W336" si="113">U330*V330/1000</f>
        <v>4648.5</v>
      </c>
      <c r="X330" s="825">
        <f t="shared" si="100"/>
        <v>109262.37999999999</v>
      </c>
      <c r="Y330" s="825">
        <f t="shared" si="101"/>
        <v>190014.40557999999</v>
      </c>
    </row>
    <row r="331" spans="1:25" x14ac:dyDescent="0.25">
      <c r="A331" s="812" t="s">
        <v>281</v>
      </c>
      <c r="B331" s="920" t="s">
        <v>223</v>
      </c>
      <c r="C331" s="825">
        <v>25957.72</v>
      </c>
      <c r="D331" s="825">
        <v>1290.6186091778964</v>
      </c>
      <c r="E331" s="825">
        <f t="shared" si="102"/>
        <v>33501.516483829262</v>
      </c>
      <c r="F331" s="825">
        <f>1.18*12533</f>
        <v>14788.939999999999</v>
      </c>
      <c r="G331" s="825">
        <v>437.94991381479031</v>
      </c>
      <c r="H331" s="825">
        <f t="shared" si="108"/>
        <v>6476.8149984121046</v>
      </c>
      <c r="I331" s="825">
        <v>6118.9</v>
      </c>
      <c r="J331" s="825">
        <v>561.8125</v>
      </c>
      <c r="K331" s="825">
        <f t="shared" si="109"/>
        <v>3437.6745062499995</v>
      </c>
      <c r="L331" s="825">
        <f>1.11*13853.2</f>
        <v>15377.052000000001</v>
      </c>
      <c r="M331" s="825">
        <v>500.86727827846136</v>
      </c>
      <c r="N331" s="825">
        <f t="shared" si="110"/>
        <v>7701.862183186372</v>
      </c>
      <c r="O331" s="825">
        <f>1.27*2903</f>
        <v>3686.81</v>
      </c>
      <c r="P331" s="825">
        <v>18452.587804357132</v>
      </c>
      <c r="Q331" s="825">
        <f t="shared" si="111"/>
        <v>68031.185242981912</v>
      </c>
      <c r="R331" s="825">
        <v>1031</v>
      </c>
      <c r="S331" s="825">
        <v>4535</v>
      </c>
      <c r="T331" s="825">
        <f t="shared" si="112"/>
        <v>4675.585</v>
      </c>
      <c r="U331" s="825">
        <v>1824</v>
      </c>
      <c r="V331" s="825">
        <v>2695.5</v>
      </c>
      <c r="W331" s="825">
        <f t="shared" si="113"/>
        <v>4916.5919999999996</v>
      </c>
      <c r="X331" s="825">
        <f t="shared" si="100"/>
        <v>68784.422000000006</v>
      </c>
      <c r="Y331" s="825">
        <f t="shared" si="101"/>
        <v>128741.23041465966</v>
      </c>
    </row>
    <row r="332" spans="1:25" x14ac:dyDescent="0.25">
      <c r="A332" s="812" t="s">
        <v>282</v>
      </c>
      <c r="B332" s="920" t="s">
        <v>223</v>
      </c>
      <c r="C332" s="825">
        <v>36041.25</v>
      </c>
      <c r="D332" s="825">
        <v>1109.6001483915438</v>
      </c>
      <c r="E332" s="825">
        <f t="shared" si="102"/>
        <v>39991.376348216727</v>
      </c>
      <c r="F332" s="825">
        <f>1.03*11243</f>
        <v>11580.29</v>
      </c>
      <c r="G332" s="825">
        <v>475.31661323156243</v>
      </c>
      <c r="H332" s="825">
        <f t="shared" si="108"/>
        <v>5504.3042230393312</v>
      </c>
      <c r="I332" s="825">
        <v>2439.36</v>
      </c>
      <c r="J332" s="825">
        <v>888.66666666666663</v>
      </c>
      <c r="K332" s="825">
        <f t="shared" si="109"/>
        <v>2167.77792</v>
      </c>
      <c r="L332" s="825">
        <f>1.04*8292</f>
        <v>8623.68</v>
      </c>
      <c r="M332" s="825">
        <v>531.23993441017444</v>
      </c>
      <c r="N332" s="825">
        <f t="shared" si="110"/>
        <v>4581.243197574333</v>
      </c>
      <c r="O332" s="825">
        <f>1.32*2684.5</f>
        <v>3543.54</v>
      </c>
      <c r="P332" s="825">
        <v>8501.0531200000005</v>
      </c>
      <c r="Q332" s="825">
        <f t="shared" si="111"/>
        <v>30123.821772844803</v>
      </c>
      <c r="R332" s="825">
        <v>1000</v>
      </c>
      <c r="S332" s="825">
        <v>3240</v>
      </c>
      <c r="T332" s="825">
        <f t="shared" si="112"/>
        <v>3240</v>
      </c>
      <c r="U332" s="825">
        <v>722</v>
      </c>
      <c r="V332" s="825">
        <v>1471.7250000000001</v>
      </c>
      <c r="W332" s="825">
        <f t="shared" si="113"/>
        <v>1062.5854500000003</v>
      </c>
      <c r="X332" s="825">
        <f t="shared" si="100"/>
        <v>63950.12</v>
      </c>
      <c r="Y332" s="825">
        <f t="shared" si="101"/>
        <v>86671.108911675197</v>
      </c>
    </row>
    <row r="333" spans="1:25" x14ac:dyDescent="0.25">
      <c r="A333" s="812" t="s">
        <v>52</v>
      </c>
      <c r="B333" s="920" t="s">
        <v>223</v>
      </c>
      <c r="C333" s="825">
        <v>34221.22</v>
      </c>
      <c r="D333" s="825">
        <v>1366.7940524226428</v>
      </c>
      <c r="E333" s="825">
        <f t="shared" si="102"/>
        <v>46773.359962646799</v>
      </c>
      <c r="F333" s="825">
        <f>0.85*10103</f>
        <v>8587.5499999999993</v>
      </c>
      <c r="G333" s="825">
        <v>468.60847703209828</v>
      </c>
      <c r="H333" s="825">
        <f t="shared" si="108"/>
        <v>4024.1987269369952</v>
      </c>
      <c r="I333" s="825">
        <v>3703</v>
      </c>
      <c r="J333" s="825">
        <v>1018.75</v>
      </c>
      <c r="K333" s="825">
        <f t="shared" si="109"/>
        <v>3772.4312500000001</v>
      </c>
      <c r="L333" s="825">
        <f>1.09*10084</f>
        <v>10991.560000000001</v>
      </c>
      <c r="M333" s="825">
        <v>694.13425501827362</v>
      </c>
      <c r="N333" s="825">
        <f t="shared" si="110"/>
        <v>7629.6183120886562</v>
      </c>
      <c r="O333" s="825">
        <v>3159.28</v>
      </c>
      <c r="P333" s="825">
        <v>11717.281396398197</v>
      </c>
      <c r="Q333" s="825">
        <f t="shared" si="111"/>
        <v>37018.172770012898</v>
      </c>
      <c r="R333" s="825">
        <v>1878</v>
      </c>
      <c r="S333" s="825">
        <v>4742</v>
      </c>
      <c r="T333" s="825">
        <f t="shared" si="112"/>
        <v>8905.4760000000006</v>
      </c>
      <c r="U333" s="825">
        <v>1000.8000000000001</v>
      </c>
      <c r="V333" s="825">
        <v>2160</v>
      </c>
      <c r="W333" s="825">
        <f t="shared" si="113"/>
        <v>2161.7280000000001</v>
      </c>
      <c r="X333" s="825">
        <f t="shared" si="100"/>
        <v>63541.41</v>
      </c>
      <c r="Y333" s="825">
        <f t="shared" si="101"/>
        <v>110284.98502168534</v>
      </c>
    </row>
    <row r="334" spans="1:25" x14ac:dyDescent="0.25">
      <c r="A334" s="812" t="s">
        <v>50</v>
      </c>
      <c r="B334" s="920" t="s">
        <v>223</v>
      </c>
      <c r="C334" s="825">
        <v>69777</v>
      </c>
      <c r="D334" s="825">
        <v>1202.2704083745909</v>
      </c>
      <c r="E334" s="825">
        <f t="shared" si="102"/>
        <v>83890.82228515383</v>
      </c>
      <c r="F334" s="825">
        <f>1.02*39549.75</f>
        <v>40340.745000000003</v>
      </c>
      <c r="G334" s="825">
        <v>517.92992747155461</v>
      </c>
      <c r="H334" s="825">
        <f t="shared" si="108"/>
        <v>20893.67913199848</v>
      </c>
      <c r="I334" s="825">
        <v>2524</v>
      </c>
      <c r="J334" s="825">
        <v>852</v>
      </c>
      <c r="K334" s="825">
        <f t="shared" si="109"/>
        <v>2150.4479999999999</v>
      </c>
      <c r="L334" s="825">
        <v>12291</v>
      </c>
      <c r="M334" s="825">
        <v>471.84803739819188</v>
      </c>
      <c r="N334" s="825">
        <f t="shared" si="110"/>
        <v>5799.4842276611762</v>
      </c>
      <c r="O334" s="825">
        <v>7073.95</v>
      </c>
      <c r="P334" s="825">
        <v>18582.400000000001</v>
      </c>
      <c r="Q334" s="825">
        <f t="shared" si="111"/>
        <v>131450.96848000001</v>
      </c>
      <c r="R334" s="825">
        <f>2.75*4118</f>
        <v>11324.5</v>
      </c>
      <c r="S334" s="825">
        <v>5200</v>
      </c>
      <c r="T334" s="825">
        <f t="shared" si="112"/>
        <v>58887.4</v>
      </c>
      <c r="U334" s="825">
        <v>93</v>
      </c>
      <c r="V334" s="825">
        <v>1500</v>
      </c>
      <c r="W334" s="825">
        <f t="shared" si="113"/>
        <v>139.5</v>
      </c>
      <c r="X334" s="825">
        <f t="shared" si="100"/>
        <v>143424.19500000001</v>
      </c>
      <c r="Y334" s="825">
        <f t="shared" si="101"/>
        <v>303212.30212481349</v>
      </c>
    </row>
    <row r="335" spans="1:25" x14ac:dyDescent="0.25">
      <c r="A335" s="812" t="s">
        <v>163</v>
      </c>
      <c r="B335" s="920" t="s">
        <v>223</v>
      </c>
      <c r="C335" s="825">
        <v>49398</v>
      </c>
      <c r="D335" s="825">
        <v>1325.5584444127239</v>
      </c>
      <c r="E335" s="825">
        <f t="shared" si="102"/>
        <v>65479.936037099731</v>
      </c>
      <c r="F335" s="825">
        <f>1.02*24067.4</f>
        <v>24548.748000000003</v>
      </c>
      <c r="G335" s="825">
        <v>555.07228190643355</v>
      </c>
      <c r="H335" s="825">
        <f t="shared" si="108"/>
        <v>13626.329570305999</v>
      </c>
      <c r="I335" s="825">
        <f>1.07*4916</f>
        <v>5260.12</v>
      </c>
      <c r="J335" s="825">
        <v>1394</v>
      </c>
      <c r="K335" s="825">
        <f t="shared" si="109"/>
        <v>7332.6072800000002</v>
      </c>
      <c r="L335" s="825">
        <f>1.07*13000</f>
        <v>13910</v>
      </c>
      <c r="M335" s="825">
        <v>610.72525105889167</v>
      </c>
      <c r="N335" s="825">
        <f t="shared" si="110"/>
        <v>8495.1882422291819</v>
      </c>
      <c r="O335" s="825">
        <v>3964.5</v>
      </c>
      <c r="P335" s="825">
        <v>18622.825780317453</v>
      </c>
      <c r="Q335" s="825">
        <f t="shared" si="111"/>
        <v>73830.192806068546</v>
      </c>
      <c r="R335" s="825">
        <v>7917.2999999999993</v>
      </c>
      <c r="S335" s="825">
        <v>3923.3333333333335</v>
      </c>
      <c r="T335" s="825">
        <f t="shared" si="112"/>
        <v>31062.206999999999</v>
      </c>
      <c r="U335" s="825">
        <f>1.8*1609</f>
        <v>2896.2000000000003</v>
      </c>
      <c r="V335" s="825">
        <v>1552.5</v>
      </c>
      <c r="W335" s="825">
        <f t="shared" si="113"/>
        <v>4496.3504999999996</v>
      </c>
      <c r="X335" s="825">
        <f t="shared" si="100"/>
        <v>107894.868</v>
      </c>
      <c r="Y335" s="825">
        <f t="shared" si="101"/>
        <v>204322.81143570348</v>
      </c>
    </row>
    <row r="336" spans="1:25" x14ac:dyDescent="0.25">
      <c r="A336" s="813" t="s">
        <v>27</v>
      </c>
      <c r="B336" s="920" t="s">
        <v>223</v>
      </c>
      <c r="C336" s="825">
        <f>1.13*25151</f>
        <v>28420.629999999997</v>
      </c>
      <c r="D336" s="825">
        <v>1082.3570901632461</v>
      </c>
      <c r="E336" s="825">
        <f t="shared" si="102"/>
        <v>30761.270387406254</v>
      </c>
      <c r="F336" s="825">
        <f>1.09*10064</f>
        <v>10969.76</v>
      </c>
      <c r="G336" s="825">
        <v>504.22508729601088</v>
      </c>
      <c r="H336" s="825">
        <f t="shared" si="108"/>
        <v>5531.228193616289</v>
      </c>
      <c r="I336" s="825">
        <v>1422</v>
      </c>
      <c r="J336" s="825">
        <v>501</v>
      </c>
      <c r="K336" s="825">
        <f t="shared" si="109"/>
        <v>712.42200000000003</v>
      </c>
      <c r="L336" s="825">
        <f>1.2*8229.88</f>
        <v>9875.8559999999979</v>
      </c>
      <c r="M336" s="825">
        <v>517.29175508000048</v>
      </c>
      <c r="N336" s="825">
        <f t="shared" si="110"/>
        <v>5108.6988831573517</v>
      </c>
      <c r="O336" s="825">
        <f>1.14*3362.32</f>
        <v>3833.0447999999997</v>
      </c>
      <c r="P336" s="825">
        <v>17076</v>
      </c>
      <c r="Q336" s="825">
        <f t="shared" si="111"/>
        <v>65453.07300479999</v>
      </c>
      <c r="R336" s="825">
        <v>3548</v>
      </c>
      <c r="S336" s="825">
        <v>4451</v>
      </c>
      <c r="T336" s="825">
        <f t="shared" si="112"/>
        <v>15792.147999999999</v>
      </c>
      <c r="U336" s="825">
        <v>1138.57</v>
      </c>
      <c r="V336" s="825">
        <v>1360</v>
      </c>
      <c r="W336" s="825">
        <f t="shared" si="113"/>
        <v>1548.4551999999999</v>
      </c>
      <c r="X336" s="825">
        <f t="shared" si="100"/>
        <v>59207.860800000002</v>
      </c>
      <c r="Y336" s="825">
        <f t="shared" si="101"/>
        <v>124907.2956689799</v>
      </c>
    </row>
    <row r="337" spans="1:25" x14ac:dyDescent="0.25">
      <c r="A337" s="813" t="s">
        <v>15</v>
      </c>
      <c r="B337" s="882" t="s">
        <v>285</v>
      </c>
      <c r="C337" s="882">
        <v>26594.440000000002</v>
      </c>
      <c r="D337" s="882"/>
      <c r="E337" s="882">
        <v>25473.213722032538</v>
      </c>
      <c r="F337" s="882">
        <v>6371.1</v>
      </c>
      <c r="G337" s="882"/>
      <c r="H337" s="882">
        <v>2627.4779899746381</v>
      </c>
      <c r="I337" s="882"/>
      <c r="J337" s="882"/>
      <c r="K337" s="882">
        <v>0</v>
      </c>
      <c r="L337" s="882">
        <v>12622.5</v>
      </c>
      <c r="M337" s="882"/>
      <c r="N337" s="882">
        <v>6750.2541454727407</v>
      </c>
      <c r="O337" s="882"/>
      <c r="P337" s="882"/>
      <c r="Q337" s="882">
        <v>0</v>
      </c>
      <c r="R337" s="882">
        <v>240</v>
      </c>
      <c r="S337" s="882"/>
      <c r="T337" s="882">
        <v>1198.8</v>
      </c>
      <c r="U337" s="882"/>
      <c r="V337" s="882"/>
      <c r="W337" s="882"/>
      <c r="X337" s="921"/>
      <c r="Y337" s="921"/>
    </row>
    <row r="338" spans="1:25" x14ac:dyDescent="0.25">
      <c r="A338" s="813" t="s">
        <v>187</v>
      </c>
      <c r="B338" s="882" t="s">
        <v>285</v>
      </c>
      <c r="C338" s="882"/>
      <c r="D338" s="882"/>
      <c r="E338" s="882">
        <v>0</v>
      </c>
      <c r="F338" s="882"/>
      <c r="G338" s="882"/>
      <c r="H338" s="882">
        <v>0</v>
      </c>
      <c r="I338" s="882"/>
      <c r="J338" s="882"/>
      <c r="K338" s="882">
        <v>0</v>
      </c>
      <c r="L338" s="882">
        <v>201</v>
      </c>
      <c r="M338" s="882"/>
      <c r="N338" s="882">
        <v>79.650270000000006</v>
      </c>
      <c r="O338" s="882"/>
      <c r="P338" s="882"/>
      <c r="Q338" s="882">
        <v>0</v>
      </c>
      <c r="R338" s="882"/>
      <c r="S338" s="882"/>
      <c r="T338" s="882">
        <v>0</v>
      </c>
      <c r="U338" s="882"/>
      <c r="V338" s="882"/>
      <c r="W338" s="882"/>
      <c r="X338" s="921"/>
      <c r="Y338" s="921"/>
    </row>
    <row r="339" spans="1:25" x14ac:dyDescent="0.25">
      <c r="A339" s="813" t="s">
        <v>103</v>
      </c>
      <c r="B339" s="882" t="s">
        <v>285</v>
      </c>
      <c r="C339" s="882">
        <v>65124.545999999995</v>
      </c>
      <c r="D339" s="882"/>
      <c r="E339" s="882">
        <v>76241.83576199066</v>
      </c>
      <c r="F339" s="882">
        <v>23857.919999999998</v>
      </c>
      <c r="G339" s="882"/>
      <c r="H339" s="882">
        <v>12948.443147116675</v>
      </c>
      <c r="I339" s="882"/>
      <c r="J339" s="882"/>
      <c r="K339" s="882">
        <v>0</v>
      </c>
      <c r="L339" s="882">
        <v>29630.880000000001</v>
      </c>
      <c r="M339" s="882"/>
      <c r="N339" s="882">
        <v>30140.484226278881</v>
      </c>
      <c r="O339" s="882">
        <v>2116.71</v>
      </c>
      <c r="P339" s="882"/>
      <c r="Q339" s="882">
        <v>6786.0531439270198</v>
      </c>
      <c r="R339" s="882">
        <v>1640</v>
      </c>
      <c r="S339" s="882"/>
      <c r="T339" s="882">
        <v>8848.97055</v>
      </c>
      <c r="U339" s="882"/>
      <c r="V339" s="882"/>
      <c r="W339" s="882"/>
      <c r="X339" s="921"/>
      <c r="Y339" s="921"/>
    </row>
    <row r="340" spans="1:25" x14ac:dyDescent="0.25">
      <c r="A340" s="813" t="s">
        <v>20</v>
      </c>
      <c r="B340" s="882" t="s">
        <v>285</v>
      </c>
      <c r="C340" s="882">
        <v>38585.75</v>
      </c>
      <c r="D340" s="882"/>
      <c r="E340" s="882">
        <v>36264.410136106999</v>
      </c>
      <c r="F340" s="882">
        <v>15445.1325</v>
      </c>
      <c r="G340" s="882"/>
      <c r="H340" s="882">
        <v>6724.6038494335144</v>
      </c>
      <c r="I340" s="882">
        <v>3791</v>
      </c>
      <c r="J340" s="882"/>
      <c r="K340" s="882">
        <v>5649.0529758750008</v>
      </c>
      <c r="L340" s="882">
        <v>7917</v>
      </c>
      <c r="M340" s="882"/>
      <c r="N340" s="882">
        <v>4707.4854458863647</v>
      </c>
      <c r="O340" s="882">
        <v>511.5</v>
      </c>
      <c r="P340" s="882"/>
      <c r="Q340" s="882">
        <v>963.13017721337997</v>
      </c>
      <c r="R340" s="882">
        <v>1628.8000000000002</v>
      </c>
      <c r="S340" s="882"/>
      <c r="T340" s="882">
        <v>10682.381235466675</v>
      </c>
      <c r="U340" s="882"/>
      <c r="V340" s="882"/>
      <c r="W340" s="882"/>
      <c r="X340" s="921"/>
      <c r="Y340" s="921"/>
    </row>
    <row r="341" spans="1:25" x14ac:dyDescent="0.25">
      <c r="A341" s="813" t="s">
        <v>133</v>
      </c>
      <c r="B341" s="882" t="s">
        <v>285</v>
      </c>
      <c r="C341" s="882">
        <v>54851.94000000001</v>
      </c>
      <c r="D341" s="882"/>
      <c r="E341" s="882">
        <v>53084.361478642764</v>
      </c>
      <c r="F341" s="882">
        <v>11133.960000000001</v>
      </c>
      <c r="G341" s="882"/>
      <c r="H341" s="882">
        <v>4833.408557209681</v>
      </c>
      <c r="I341" s="882"/>
      <c r="J341" s="882"/>
      <c r="K341" s="882">
        <v>0</v>
      </c>
      <c r="L341" s="882">
        <v>26543.460000000003</v>
      </c>
      <c r="M341" s="882"/>
      <c r="N341" s="882">
        <v>19894.801023918531</v>
      </c>
      <c r="O341" s="882">
        <v>796.85970000000009</v>
      </c>
      <c r="P341" s="882"/>
      <c r="Q341" s="882">
        <v>571.44996230308777</v>
      </c>
      <c r="R341" s="882">
        <v>335.90925000000004</v>
      </c>
      <c r="S341" s="882"/>
      <c r="T341" s="882">
        <v>2748.1575515625004</v>
      </c>
      <c r="U341" s="882"/>
      <c r="V341" s="882"/>
      <c r="W341" s="882"/>
      <c r="X341" s="921"/>
      <c r="Y341" s="921"/>
    </row>
    <row r="342" spans="1:25" x14ac:dyDescent="0.25">
      <c r="A342" s="813" t="s">
        <v>21</v>
      </c>
      <c r="B342" s="882" t="s">
        <v>285</v>
      </c>
      <c r="C342" s="882"/>
      <c r="D342" s="882"/>
      <c r="E342" s="882">
        <v>0</v>
      </c>
      <c r="F342" s="882"/>
      <c r="G342" s="882"/>
      <c r="H342" s="882">
        <v>0</v>
      </c>
      <c r="I342" s="882"/>
      <c r="J342" s="882"/>
      <c r="K342" s="882">
        <v>0</v>
      </c>
      <c r="L342" s="882">
        <v>448.8</v>
      </c>
      <c r="M342" s="882"/>
      <c r="N342" s="882">
        <v>97.887857760000017</v>
      </c>
      <c r="O342" s="882"/>
      <c r="P342" s="882"/>
      <c r="Q342" s="882">
        <v>0</v>
      </c>
      <c r="R342" s="882"/>
      <c r="S342" s="882"/>
      <c r="T342" s="882">
        <v>0</v>
      </c>
      <c r="U342" s="882"/>
      <c r="V342" s="882"/>
      <c r="W342" s="882"/>
      <c r="X342" s="921"/>
      <c r="Y342" s="921"/>
    </row>
    <row r="343" spans="1:25" x14ac:dyDescent="0.25">
      <c r="A343" s="813" t="s">
        <v>22</v>
      </c>
      <c r="B343" s="882" t="s">
        <v>285</v>
      </c>
      <c r="C343" s="882">
        <v>493.67999999999995</v>
      </c>
      <c r="D343" s="882"/>
      <c r="E343" s="882">
        <v>686.00538599999993</v>
      </c>
      <c r="F343" s="882"/>
      <c r="G343" s="882"/>
      <c r="H343" s="882">
        <v>0</v>
      </c>
      <c r="I343" s="882"/>
      <c r="J343" s="882"/>
      <c r="K343" s="882">
        <v>0</v>
      </c>
      <c r="L343" s="882">
        <v>2056.1999999999998</v>
      </c>
      <c r="M343" s="882"/>
      <c r="N343" s="882">
        <v>2191.8607650666618</v>
      </c>
      <c r="O343" s="882">
        <v>553.0139999999999</v>
      </c>
      <c r="P343" s="882"/>
      <c r="Q343" s="882">
        <v>8632.3671514079979</v>
      </c>
      <c r="R343" s="882">
        <v>3027.2</v>
      </c>
      <c r="S343" s="882"/>
      <c r="T343" s="882">
        <v>45824.89885597086</v>
      </c>
      <c r="U343" s="882"/>
      <c r="V343" s="882"/>
      <c r="W343" s="882"/>
      <c r="X343" s="921"/>
      <c r="Y343" s="921"/>
    </row>
    <row r="344" spans="1:25" x14ac:dyDescent="0.25">
      <c r="A344" s="813" t="s">
        <v>23</v>
      </c>
      <c r="B344" s="882" t="s">
        <v>285</v>
      </c>
      <c r="C344" s="882">
        <v>190274.76</v>
      </c>
      <c r="D344" s="882"/>
      <c r="E344" s="882">
        <v>212816.90003483521</v>
      </c>
      <c r="F344" s="882">
        <v>59497.240000000005</v>
      </c>
      <c r="G344" s="882"/>
      <c r="H344" s="882">
        <v>26882.628729807861</v>
      </c>
      <c r="I344" s="882">
        <v>1195.2</v>
      </c>
      <c r="J344" s="882"/>
      <c r="K344" s="882">
        <v>905.57913600000006</v>
      </c>
      <c r="L344" s="882">
        <v>13409.2862</v>
      </c>
      <c r="M344" s="882"/>
      <c r="N344" s="882">
        <v>7387.2173900043645</v>
      </c>
      <c r="O344" s="882"/>
      <c r="P344" s="882"/>
      <c r="Q344" s="882">
        <v>0</v>
      </c>
      <c r="R344" s="882"/>
      <c r="S344" s="882"/>
      <c r="T344" s="882">
        <v>0</v>
      </c>
      <c r="U344" s="882"/>
      <c r="V344" s="882"/>
      <c r="W344" s="882"/>
      <c r="X344" s="921"/>
      <c r="Y344" s="921"/>
    </row>
    <row r="345" spans="1:25" x14ac:dyDescent="0.25">
      <c r="A345" s="813" t="s">
        <v>24</v>
      </c>
      <c r="B345" s="882" t="s">
        <v>285</v>
      </c>
      <c r="C345" s="882">
        <v>9905</v>
      </c>
      <c r="D345" s="882"/>
      <c r="E345" s="882">
        <v>10564.213408</v>
      </c>
      <c r="F345" s="882">
        <v>6771.6</v>
      </c>
      <c r="G345" s="882"/>
      <c r="H345" s="882">
        <v>3752.5373545846173</v>
      </c>
      <c r="I345" s="882">
        <v>400</v>
      </c>
      <c r="J345" s="882"/>
      <c r="K345" s="882">
        <v>391.42016000000001</v>
      </c>
      <c r="L345" s="882">
        <v>4775</v>
      </c>
      <c r="M345" s="882"/>
      <c r="N345" s="882">
        <v>3956.8833333333323</v>
      </c>
      <c r="O345" s="882">
        <v>1400</v>
      </c>
      <c r="P345" s="882"/>
      <c r="Q345" s="882">
        <v>15113.914368000002</v>
      </c>
      <c r="R345" s="882">
        <v>3930</v>
      </c>
      <c r="S345" s="882"/>
      <c r="T345" s="882">
        <v>43467.047775000006</v>
      </c>
      <c r="U345" s="882"/>
      <c r="V345" s="882"/>
      <c r="W345" s="882"/>
      <c r="X345" s="921"/>
      <c r="Y345" s="921"/>
    </row>
    <row r="346" spans="1:25" x14ac:dyDescent="0.25">
      <c r="A346" s="813" t="s">
        <v>134</v>
      </c>
      <c r="B346" s="882" t="s">
        <v>285</v>
      </c>
      <c r="C346" s="882">
        <v>87588.72</v>
      </c>
      <c r="D346" s="882"/>
      <c r="E346" s="882">
        <v>95259.184214358786</v>
      </c>
      <c r="F346" s="882">
        <v>54369</v>
      </c>
      <c r="G346" s="882"/>
      <c r="H346" s="882">
        <v>37271.104222231304</v>
      </c>
      <c r="I346" s="882"/>
      <c r="J346" s="882"/>
      <c r="K346" s="882">
        <v>0</v>
      </c>
      <c r="L346" s="882">
        <v>24303.16</v>
      </c>
      <c r="M346" s="882"/>
      <c r="N346" s="882">
        <v>15881.612262267241</v>
      </c>
      <c r="O346" s="882"/>
      <c r="P346" s="882"/>
      <c r="Q346" s="882">
        <v>0</v>
      </c>
      <c r="R346" s="882">
        <v>68.25</v>
      </c>
      <c r="S346" s="882"/>
      <c r="T346" s="882">
        <v>405.69506250000001</v>
      </c>
      <c r="U346" s="882"/>
      <c r="V346" s="882"/>
      <c r="W346" s="882"/>
      <c r="X346" s="921"/>
      <c r="Y346" s="921"/>
    </row>
    <row r="347" spans="1:25" x14ac:dyDescent="0.25">
      <c r="A347" s="813" t="s">
        <v>161</v>
      </c>
      <c r="B347" s="882" t="s">
        <v>285</v>
      </c>
      <c r="C347" s="882">
        <v>24411.884800000003</v>
      </c>
      <c r="D347" s="882"/>
      <c r="E347" s="882">
        <v>31973.690870730927</v>
      </c>
      <c r="F347" s="882">
        <v>3738.8063999999999</v>
      </c>
      <c r="G347" s="882"/>
      <c r="H347" s="882">
        <v>1447.3731947688932</v>
      </c>
      <c r="I347" s="882"/>
      <c r="J347" s="882"/>
      <c r="K347" s="882">
        <v>0</v>
      </c>
      <c r="L347" s="882">
        <v>4775.4839999999995</v>
      </c>
      <c r="M347" s="882"/>
      <c r="N347" s="882">
        <v>2468.3059668422384</v>
      </c>
      <c r="O347" s="882"/>
      <c r="P347" s="882"/>
      <c r="Q347" s="882">
        <v>0</v>
      </c>
      <c r="R347" s="882"/>
      <c r="S347" s="882"/>
      <c r="T347" s="882">
        <v>0</v>
      </c>
      <c r="U347" s="882"/>
      <c r="V347" s="882"/>
      <c r="W347" s="882"/>
      <c r="X347" s="921"/>
      <c r="Y347" s="921"/>
    </row>
    <row r="348" spans="1:25" x14ac:dyDescent="0.25">
      <c r="A348" s="813" t="s">
        <v>135</v>
      </c>
      <c r="B348" s="882" t="s">
        <v>285</v>
      </c>
      <c r="C348" s="882">
        <v>44413.423999999999</v>
      </c>
      <c r="D348" s="882"/>
      <c r="E348" s="882">
        <v>54179.34134320169</v>
      </c>
      <c r="F348" s="882">
        <v>19043</v>
      </c>
      <c r="G348" s="882"/>
      <c r="H348" s="882">
        <v>10519.312177502614</v>
      </c>
      <c r="I348" s="882">
        <v>6203</v>
      </c>
      <c r="J348" s="882"/>
      <c r="K348" s="882">
        <v>8325.3116665553825</v>
      </c>
      <c r="L348" s="882">
        <v>23022</v>
      </c>
      <c r="M348" s="882"/>
      <c r="N348" s="882">
        <v>14765.639755465056</v>
      </c>
      <c r="O348" s="882">
        <v>6081</v>
      </c>
      <c r="P348" s="882"/>
      <c r="Q348" s="882">
        <v>60287.85578864516</v>
      </c>
      <c r="R348" s="882">
        <v>2218</v>
      </c>
      <c r="S348" s="882"/>
      <c r="T348" s="882">
        <v>14337.717589999993</v>
      </c>
      <c r="U348" s="882">
        <v>1695.3999999999999</v>
      </c>
      <c r="V348" s="882"/>
      <c r="W348" s="882">
        <v>5101.2678674999997</v>
      </c>
      <c r="X348" s="921"/>
      <c r="Y348" s="921"/>
    </row>
    <row r="349" spans="1:25" x14ac:dyDescent="0.25">
      <c r="A349" s="813" t="s">
        <v>136</v>
      </c>
      <c r="B349" s="882" t="s">
        <v>285</v>
      </c>
      <c r="C349" s="882">
        <v>31556.448000000004</v>
      </c>
      <c r="D349" s="882"/>
      <c r="E349" s="882">
        <v>35191.873094163864</v>
      </c>
      <c r="F349" s="882">
        <v>14891</v>
      </c>
      <c r="G349" s="882"/>
      <c r="H349" s="882">
        <v>7021.021491966314</v>
      </c>
      <c r="I349" s="882">
        <v>4327.5</v>
      </c>
      <c r="J349" s="882"/>
      <c r="K349" s="882">
        <v>3019.4981646972651</v>
      </c>
      <c r="L349" s="882">
        <v>17944</v>
      </c>
      <c r="M349" s="882"/>
      <c r="N349" s="882">
        <v>10182.680605167472</v>
      </c>
      <c r="O349" s="882">
        <v>3284</v>
      </c>
      <c r="P349" s="882"/>
      <c r="Q349" s="882">
        <v>29397.974701676289</v>
      </c>
      <c r="R349" s="882">
        <v>1574</v>
      </c>
      <c r="S349" s="882"/>
      <c r="T349" s="882">
        <v>10397.885973333327</v>
      </c>
      <c r="U349" s="882">
        <v>1928</v>
      </c>
      <c r="V349" s="882"/>
      <c r="W349" s="882">
        <v>6093.4009092000006</v>
      </c>
      <c r="X349" s="921"/>
      <c r="Y349" s="921"/>
    </row>
    <row r="350" spans="1:25" x14ac:dyDescent="0.25">
      <c r="A350" s="813" t="s">
        <v>137</v>
      </c>
      <c r="B350" s="882" t="s">
        <v>285</v>
      </c>
      <c r="C350" s="882">
        <v>32939.199999999997</v>
      </c>
      <c r="D350" s="882"/>
      <c r="E350" s="882">
        <v>33916.507154342456</v>
      </c>
      <c r="F350" s="882">
        <v>13831.05</v>
      </c>
      <c r="G350" s="882"/>
      <c r="H350" s="882">
        <v>7187.9745538797079</v>
      </c>
      <c r="I350" s="882">
        <v>2496</v>
      </c>
      <c r="J350" s="882"/>
      <c r="K350" s="882">
        <v>2232.5144399999999</v>
      </c>
      <c r="L350" s="882">
        <v>9166.5</v>
      </c>
      <c r="M350" s="882"/>
      <c r="N350" s="882">
        <v>5446.6745323340438</v>
      </c>
      <c r="O350" s="882">
        <v>2898.5</v>
      </c>
      <c r="P350" s="882"/>
      <c r="Q350" s="882">
        <v>15817.598404546174</v>
      </c>
      <c r="R350" s="882">
        <v>1295.5899999999999</v>
      </c>
      <c r="S350" s="882"/>
      <c r="T350" s="882">
        <v>4865.1477443999993</v>
      </c>
      <c r="U350" s="882">
        <v>1572</v>
      </c>
      <c r="V350" s="882"/>
      <c r="W350" s="882">
        <v>2249.4995480249995</v>
      </c>
      <c r="X350" s="921"/>
      <c r="Y350" s="921"/>
    </row>
    <row r="351" spans="1:25" x14ac:dyDescent="0.25">
      <c r="A351" s="813" t="s">
        <v>73</v>
      </c>
      <c r="B351" s="882" t="s">
        <v>285</v>
      </c>
      <c r="C351" s="882">
        <v>35251.53</v>
      </c>
      <c r="D351" s="882"/>
      <c r="E351" s="882">
        <v>46590.186308654462</v>
      </c>
      <c r="F351" s="882">
        <v>9540</v>
      </c>
      <c r="G351" s="882"/>
      <c r="H351" s="882">
        <v>4753.8541170866501</v>
      </c>
      <c r="I351" s="882">
        <v>3465</v>
      </c>
      <c r="J351" s="882"/>
      <c r="K351" s="882">
        <v>3822.8661474609376</v>
      </c>
      <c r="L351" s="882">
        <v>11470.14</v>
      </c>
      <c r="M351" s="882"/>
      <c r="N351" s="882">
        <v>8348.9323636255522</v>
      </c>
      <c r="O351" s="882">
        <v>3779.2000000000003</v>
      </c>
      <c r="P351" s="882"/>
      <c r="Q351" s="882">
        <v>22523.415197025253</v>
      </c>
      <c r="R351" s="882">
        <v>2145.6999999999998</v>
      </c>
      <c r="S351" s="882"/>
      <c r="T351" s="882">
        <v>13085.622079291657</v>
      </c>
      <c r="U351" s="882">
        <v>1101.6000000000001</v>
      </c>
      <c r="V351" s="882"/>
      <c r="W351" s="882">
        <v>2950.5254400000003</v>
      </c>
      <c r="X351" s="921"/>
      <c r="Y351" s="921"/>
    </row>
    <row r="352" spans="1:25" x14ac:dyDescent="0.25">
      <c r="A352" s="813" t="s">
        <v>162</v>
      </c>
      <c r="B352" s="882" t="s">
        <v>285</v>
      </c>
      <c r="C352" s="882">
        <v>71432.399999999994</v>
      </c>
      <c r="D352" s="882"/>
      <c r="E352" s="882">
        <v>80762.673929563112</v>
      </c>
      <c r="F352" s="882">
        <v>42518.700000000004</v>
      </c>
      <c r="G352" s="882"/>
      <c r="H352" s="882">
        <v>22380.191578290047</v>
      </c>
      <c r="I352" s="882">
        <v>1230.82</v>
      </c>
      <c r="J352" s="882"/>
      <c r="K352" s="882">
        <v>1071.6504806819999</v>
      </c>
      <c r="L352" s="882">
        <v>11368.5</v>
      </c>
      <c r="M352" s="882"/>
      <c r="N352" s="882">
        <v>6041.6980694590084</v>
      </c>
      <c r="O352" s="882">
        <v>5762.4</v>
      </c>
      <c r="P352" s="882"/>
      <c r="Q352" s="882">
        <v>65037.093976986616</v>
      </c>
      <c r="R352" s="882">
        <v>8976.5</v>
      </c>
      <c r="S352" s="882"/>
      <c r="T352" s="882">
        <v>48012.773859374996</v>
      </c>
      <c r="U352" s="882">
        <v>113</v>
      </c>
      <c r="V352" s="882"/>
      <c r="W352" s="882">
        <v>191.45872500000002</v>
      </c>
      <c r="X352" s="921"/>
      <c r="Y352" s="921"/>
    </row>
    <row r="353" spans="1:25" x14ac:dyDescent="0.25">
      <c r="A353" s="813" t="s">
        <v>163</v>
      </c>
      <c r="B353" s="882" t="s">
        <v>285</v>
      </c>
      <c r="C353" s="882">
        <v>46470.863400000009</v>
      </c>
      <c r="D353" s="882"/>
      <c r="E353" s="882">
        <v>68083.964097190532</v>
      </c>
      <c r="F353" s="882">
        <v>33352.451999999997</v>
      </c>
      <c r="G353" s="882"/>
      <c r="H353" s="882">
        <v>18371.781919147219</v>
      </c>
      <c r="I353" s="882">
        <v>4236.5999999999995</v>
      </c>
      <c r="J353" s="882"/>
      <c r="K353" s="882">
        <v>4683.3155771999882</v>
      </c>
      <c r="L353" s="882">
        <v>13930.501</v>
      </c>
      <c r="M353" s="882"/>
      <c r="N353" s="882">
        <v>8169.0800918382911</v>
      </c>
      <c r="O353" s="882">
        <v>5036.7000000000007</v>
      </c>
      <c r="P353" s="882"/>
      <c r="Q353" s="882">
        <v>37805.977631981383</v>
      </c>
      <c r="R353" s="882">
        <v>6922.40625</v>
      </c>
      <c r="S353" s="882"/>
      <c r="T353" s="882">
        <v>29064.7934503418</v>
      </c>
      <c r="U353" s="882">
        <v>864.5</v>
      </c>
      <c r="V353" s="882"/>
      <c r="W353" s="882">
        <v>1167.2981490625002</v>
      </c>
      <c r="X353" s="921"/>
      <c r="Y353" s="921"/>
    </row>
    <row r="354" spans="1:25" x14ac:dyDescent="0.25">
      <c r="A354" s="813" t="s">
        <v>27</v>
      </c>
      <c r="B354" s="882" t="s">
        <v>285</v>
      </c>
      <c r="C354" s="882">
        <v>26995.199999999997</v>
      </c>
      <c r="D354" s="882"/>
      <c r="E354" s="882">
        <v>32852.106682048783</v>
      </c>
      <c r="F354" s="882">
        <v>10753.050000000001</v>
      </c>
      <c r="G354" s="882"/>
      <c r="H354" s="882">
        <v>5816.7917143203067</v>
      </c>
      <c r="I354" s="882">
        <v>1528.8000000000002</v>
      </c>
      <c r="J354" s="882"/>
      <c r="K354" s="882">
        <v>778.60492164000004</v>
      </c>
      <c r="L354" s="882">
        <v>8597.4500000000007</v>
      </c>
      <c r="M354" s="882"/>
      <c r="N354" s="882">
        <v>5420.5919118365437</v>
      </c>
      <c r="O354" s="882">
        <v>2839.5</v>
      </c>
      <c r="P354" s="882"/>
      <c r="Q354" s="882">
        <v>21370.0268160003</v>
      </c>
      <c r="R354" s="882">
        <v>2972.0880000000002</v>
      </c>
      <c r="S354" s="882"/>
      <c r="T354" s="882">
        <v>22506.753555302388</v>
      </c>
      <c r="U354" s="882">
        <v>1871.518</v>
      </c>
      <c r="V354" s="882"/>
      <c r="W354" s="882">
        <v>3301.191394844454</v>
      </c>
      <c r="X354" s="921"/>
      <c r="Y354" s="921"/>
    </row>
  </sheetData>
  <autoFilter ref="A1:Y354" xr:uid="{64509767-ABEB-49FD-990A-3C404259DBCD}">
    <filterColumn colId="1">
      <filters>
        <filter val="2013/2014"/>
        <filter val="2014/2015"/>
        <filter val="2015/2016"/>
        <filter val="2016/2017"/>
        <filter val="2017/2018"/>
      </filters>
    </filterColumn>
    <filterColumn colId="2" showButton="0"/>
    <filterColumn colId="3" showButton="0"/>
    <filterColumn colId="5" showButton="0"/>
    <filterColumn colId="6" showButton="0"/>
    <filterColumn colId="8" showButton="0"/>
    <filterColumn colId="9" showButton="0"/>
    <filterColumn colId="11" showButton="0"/>
    <filterColumn colId="12" showButton="0"/>
    <filterColumn colId="14" showButton="0"/>
    <filterColumn colId="15" showButton="0"/>
    <filterColumn colId="17" showButton="0"/>
    <filterColumn colId="18" showButton="0"/>
    <filterColumn colId="20" showButton="0"/>
    <filterColumn colId="21" showButton="0"/>
    <filterColumn colId="23" showButton="0"/>
  </autoFilter>
  <mergeCells count="8">
    <mergeCell ref="X1:Y1"/>
    <mergeCell ref="R1:T1"/>
    <mergeCell ref="U1:W1"/>
    <mergeCell ref="C1:E1"/>
    <mergeCell ref="F1:H1"/>
    <mergeCell ref="I1:K1"/>
    <mergeCell ref="L1:N1"/>
    <mergeCell ref="O1:Q1"/>
  </mergeCells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BASE_ DSA</vt:lpstr>
      <vt:lpstr>Céréale</vt:lpstr>
      <vt:lpstr>Oléagineux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Gilles</cp:lastModifiedBy>
  <dcterms:created xsi:type="dcterms:W3CDTF">2015-12-28T13:07:48Z</dcterms:created>
  <dcterms:modified xsi:type="dcterms:W3CDTF">2019-10-29T08:33:21Z</dcterms:modified>
</cp:coreProperties>
</file>