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 defaultThemeVersion="124226"/>
  <bookViews>
    <workbookView xWindow="120" yWindow="60" windowWidth="14340" windowHeight="7080" tabRatio="631"/>
  </bookViews>
  <sheets>
    <sheet name="resultat" sheetId="35" r:id="rId1"/>
    <sheet name="tirage" sheetId="1" r:id="rId2"/>
    <sheet name="tirage_po" sheetId="48" r:id="rId3"/>
  </sheets>
  <externalReferences>
    <externalReference r:id="rId4"/>
  </externalReferences>
  <definedNames>
    <definedName name="_xlnm.Print_Area" localSheetId="0">resultat!$Y$1:$AE$66</definedName>
  </definedNames>
  <calcPr calcId="125725"/>
</workbook>
</file>

<file path=xl/calcChain.xml><?xml version="1.0" encoding="utf-8"?>
<calcChain xmlns="http://schemas.openxmlformats.org/spreadsheetml/2006/main">
  <c r="O1002" i="1"/>
  <c r="P1002"/>
  <c r="O1003"/>
  <c r="P1003"/>
  <c r="O1004"/>
  <c r="P1004"/>
  <c r="O1005"/>
  <c r="P1005"/>
  <c r="O1006"/>
  <c r="P1006"/>
  <c r="O1007"/>
  <c r="P1007"/>
  <c r="O1008"/>
  <c r="P1008"/>
  <c r="O1009"/>
  <c r="P1009"/>
  <c r="O1010"/>
  <c r="P1010"/>
  <c r="O1011"/>
  <c r="P1011"/>
  <c r="O1012"/>
  <c r="P1012"/>
  <c r="O1013"/>
  <c r="P1013"/>
  <c r="O1014"/>
  <c r="P1014"/>
  <c r="O1015"/>
  <c r="P1015"/>
  <c r="O1016"/>
  <c r="P1016"/>
  <c r="O1017"/>
  <c r="P1017"/>
  <c r="O1018"/>
  <c r="P1018"/>
  <c r="O1019"/>
  <c r="P1019"/>
  <c r="O1020"/>
  <c r="P1020"/>
  <c r="O1021"/>
  <c r="P1021"/>
  <c r="O1022"/>
  <c r="P1022"/>
  <c r="O1023"/>
  <c r="P1023"/>
  <c r="O1024"/>
  <c r="P1024"/>
  <c r="O1025"/>
  <c r="P1025"/>
  <c r="O1026"/>
  <c r="P1026"/>
  <c r="O1027"/>
  <c r="P1027"/>
  <c r="O1028"/>
  <c r="P1028"/>
  <c r="O1029"/>
  <c r="P1029"/>
  <c r="O1030"/>
  <c r="P1030"/>
  <c r="O1031"/>
  <c r="P1031"/>
  <c r="O1032"/>
  <c r="P1032"/>
  <c r="O1033"/>
  <c r="P1033"/>
  <c r="O1034"/>
  <c r="P1034"/>
  <c r="O1035"/>
  <c r="P1035"/>
  <c r="O1036"/>
  <c r="P1036"/>
  <c r="O1037"/>
  <c r="P1037"/>
  <c r="O1038"/>
  <c r="P1038"/>
  <c r="O1039"/>
  <c r="P1039"/>
  <c r="O1040"/>
  <c r="P1040"/>
  <c r="O1041"/>
  <c r="P1041"/>
  <c r="O1042"/>
  <c r="P1042"/>
  <c r="O1043"/>
  <c r="P1043"/>
  <c r="O1044"/>
  <c r="P1044"/>
  <c r="O1045"/>
  <c r="P1045"/>
  <c r="O1046"/>
  <c r="P1046"/>
  <c r="O1047"/>
  <c r="P1047"/>
  <c r="O1048"/>
  <c r="P1048"/>
  <c r="O1049"/>
  <c r="P1049"/>
  <c r="O1050"/>
  <c r="P1050"/>
  <c r="O1051"/>
  <c r="P1051"/>
  <c r="P1001"/>
  <c r="O1001"/>
  <c r="N1002"/>
  <c r="N1003"/>
  <c r="N1004"/>
  <c r="N1005"/>
  <c r="N1006"/>
  <c r="N1007"/>
  <c r="N1008"/>
  <c r="N1009"/>
  <c r="N1010"/>
  <c r="N1011"/>
  <c r="N1012"/>
  <c r="N1013"/>
  <c r="N1014"/>
  <c r="N1015"/>
  <c r="N1016"/>
  <c r="N1017"/>
  <c r="N1018"/>
  <c r="N1019"/>
  <c r="N1020"/>
  <c r="N1021"/>
  <c r="N1022"/>
  <c r="N1023"/>
  <c r="N1024"/>
  <c r="N1025"/>
  <c r="N1026"/>
  <c r="N1027"/>
  <c r="N1028"/>
  <c r="N1029"/>
  <c r="N1030"/>
  <c r="N1031"/>
  <c r="N1032"/>
  <c r="N1033"/>
  <c r="N1034"/>
  <c r="N1035"/>
  <c r="N1036"/>
  <c r="N1037"/>
  <c r="N1038"/>
  <c r="N1039"/>
  <c r="N1040"/>
  <c r="N1041"/>
  <c r="N1042"/>
  <c r="N1043"/>
  <c r="N1044"/>
  <c r="N1045"/>
  <c r="N1046"/>
  <c r="N1047"/>
  <c r="N1048"/>
  <c r="N1049"/>
  <c r="N1050"/>
  <c r="N1051"/>
  <c r="N1001"/>
  <c r="Z16" l="1"/>
  <c r="T1" l="1"/>
  <c r="T11"/>
  <c r="AK12" i="35"/>
  <c r="T2" i="1"/>
  <c r="T3"/>
  <c r="T4"/>
  <c r="T5"/>
  <c r="T6"/>
  <c r="T7"/>
  <c r="T8"/>
  <c r="T9"/>
  <c r="T10"/>
  <c r="AK10" i="35"/>
  <c r="AJ11" l="1"/>
  <c r="AK3"/>
  <c r="AK4"/>
  <c r="AK5" l="1"/>
  <c r="AK9" l="1"/>
  <c r="AK7"/>
  <c r="AK6"/>
  <c r="AK2"/>
  <c r="AJ3" l="1"/>
  <c r="AJ4"/>
  <c r="AJ5"/>
  <c r="AJ6"/>
  <c r="AJ7"/>
  <c r="AJ8"/>
  <c r="AJ9"/>
  <c r="AJ10"/>
  <c r="AJ2"/>
  <c r="I129" l="1"/>
  <c r="G129"/>
  <c r="F129"/>
  <c r="F131" l="1"/>
  <c r="D129"/>
  <c r="H129" l="1"/>
  <c r="H131" s="1"/>
  <c r="AB68"/>
  <c r="AB59"/>
  <c r="AB23"/>
  <c r="AB84"/>
  <c r="AB38"/>
  <c r="AB127"/>
  <c r="AB17"/>
  <c r="AB52"/>
  <c r="AB103"/>
  <c r="AB75"/>
  <c r="AB73"/>
  <c r="AB31"/>
  <c r="AB78"/>
  <c r="AB102"/>
  <c r="AB6"/>
  <c r="AB97"/>
  <c r="AB71"/>
  <c r="AB130"/>
  <c r="AB34"/>
  <c r="AB124"/>
  <c r="AB62"/>
  <c r="AB22"/>
  <c r="AB37"/>
  <c r="AB19"/>
  <c r="AB64"/>
  <c r="AB106"/>
  <c r="AB50"/>
  <c r="AB111"/>
  <c r="AB85"/>
  <c r="AB61"/>
  <c r="AB116"/>
  <c r="AB77"/>
  <c r="AB108"/>
  <c r="AB83"/>
  <c r="AB29"/>
  <c r="AB8"/>
  <c r="AB91"/>
  <c r="AB98"/>
  <c r="AB18"/>
  <c r="AB63"/>
  <c r="AB128"/>
  <c r="AB60"/>
  <c r="AB110"/>
  <c r="AB126"/>
  <c r="AB16"/>
  <c r="AB45"/>
  <c r="AB93"/>
  <c r="AB96"/>
  <c r="AB115"/>
  <c r="AB30"/>
  <c r="AB79"/>
  <c r="AB92"/>
  <c r="AB13"/>
  <c r="AB70"/>
  <c r="AB125"/>
  <c r="AB114"/>
  <c r="AB41"/>
  <c r="AB66"/>
  <c r="AB89"/>
  <c r="AB67"/>
  <c r="AB56"/>
  <c r="AB129"/>
  <c r="AB47"/>
  <c r="AB36"/>
  <c r="AB82"/>
  <c r="AB100"/>
  <c r="AB80"/>
  <c r="AB33"/>
  <c r="AB12"/>
  <c r="AB14"/>
  <c r="AB3"/>
  <c r="AB120"/>
  <c r="AB35"/>
  <c r="AB46"/>
  <c r="AB10"/>
  <c r="AB122"/>
  <c r="AB51"/>
  <c r="AB69"/>
  <c r="AB119"/>
  <c r="AB72"/>
  <c r="AB117"/>
  <c r="AB90"/>
  <c r="AB121"/>
  <c r="AB5"/>
  <c r="AB32"/>
  <c r="AB88"/>
  <c r="AB9"/>
  <c r="AB53"/>
  <c r="AB81"/>
  <c r="AB65"/>
  <c r="AB118"/>
  <c r="AB25"/>
  <c r="AB43"/>
  <c r="AB104"/>
  <c r="AB76"/>
  <c r="AB86"/>
  <c r="AB107"/>
  <c r="AB87"/>
  <c r="AB11"/>
  <c r="AB57"/>
  <c r="AB7"/>
  <c r="AB21"/>
  <c r="AB113"/>
  <c r="AB58"/>
  <c r="AB112"/>
  <c r="AB4"/>
  <c r="AB94"/>
  <c r="AB49"/>
  <c r="AB40"/>
  <c r="AB99"/>
  <c r="AB39"/>
  <c r="AB20"/>
  <c r="AB55"/>
  <c r="AB74"/>
  <c r="AB95"/>
  <c r="AB26"/>
  <c r="AB54"/>
  <c r="AB109"/>
  <c r="AB44"/>
  <c r="AB42"/>
  <c r="AB48"/>
  <c r="AB101"/>
  <c r="AB27"/>
  <c r="AB105"/>
  <c r="AB28"/>
  <c r="AB123"/>
  <c r="AB24"/>
  <c r="AB15"/>
  <c r="O136" l="1"/>
  <c r="N136"/>
  <c r="M136"/>
  <c r="L136"/>
  <c r="K136"/>
  <c r="J136"/>
  <c r="I136"/>
  <c r="O135"/>
  <c r="N135"/>
  <c r="M135"/>
  <c r="L135"/>
  <c r="K135"/>
  <c r="J135"/>
  <c r="I135"/>
  <c r="O134"/>
  <c r="N134"/>
  <c r="M134"/>
  <c r="L134"/>
  <c r="K134"/>
  <c r="J134"/>
  <c r="I134"/>
  <c r="O133"/>
  <c r="N133"/>
  <c r="M133"/>
  <c r="L133"/>
  <c r="K133"/>
  <c r="J133"/>
  <c r="I133"/>
  <c r="O132"/>
  <c r="N132"/>
  <c r="M132"/>
  <c r="L132"/>
  <c r="K132"/>
  <c r="J132"/>
  <c r="I132"/>
  <c r="O131"/>
  <c r="N131"/>
  <c r="M131"/>
  <c r="L131"/>
  <c r="O129"/>
  <c r="N129"/>
  <c r="M129"/>
  <c r="L129"/>
  <c r="K129"/>
  <c r="J129"/>
  <c r="E129"/>
  <c r="D131" s="1"/>
  <c r="Q128"/>
  <c r="P128"/>
  <c r="Q127"/>
  <c r="P127"/>
  <c r="Q126"/>
  <c r="P126"/>
  <c r="Q125"/>
  <c r="P125"/>
  <c r="Q124"/>
  <c r="P124"/>
  <c r="Q123"/>
  <c r="P123"/>
  <c r="Q122"/>
  <c r="P122"/>
  <c r="Q121"/>
  <c r="P121"/>
  <c r="Q120"/>
  <c r="P120"/>
  <c r="Q119"/>
  <c r="P119"/>
  <c r="Q118"/>
  <c r="P118"/>
  <c r="Q117"/>
  <c r="P117"/>
  <c r="Q116"/>
  <c r="P116"/>
  <c r="Q115"/>
  <c r="P115"/>
  <c r="Q114"/>
  <c r="P114"/>
  <c r="Q113"/>
  <c r="P113"/>
  <c r="Q112"/>
  <c r="P112"/>
  <c r="Q111"/>
  <c r="P111"/>
  <c r="Q110"/>
  <c r="P110"/>
  <c r="Q109"/>
  <c r="P109"/>
  <c r="Q108"/>
  <c r="P108"/>
  <c r="Q107"/>
  <c r="P107"/>
  <c r="Q106"/>
  <c r="P106"/>
  <c r="Q105"/>
  <c r="P105"/>
  <c r="Q104"/>
  <c r="P104"/>
  <c r="Q103"/>
  <c r="P103"/>
  <c r="Q102"/>
  <c r="P102"/>
  <c r="Q101"/>
  <c r="P101"/>
  <c r="Q100"/>
  <c r="P100"/>
  <c r="Q99"/>
  <c r="P99"/>
  <c r="Q98"/>
  <c r="P98"/>
  <c r="Q97"/>
  <c r="P97"/>
  <c r="Q96"/>
  <c r="P96"/>
  <c r="Q95"/>
  <c r="P95"/>
  <c r="Q94"/>
  <c r="P94"/>
  <c r="Q93"/>
  <c r="P93"/>
  <c r="Q92"/>
  <c r="P92"/>
  <c r="Q91"/>
  <c r="P91"/>
  <c r="Q90"/>
  <c r="P90"/>
  <c r="Q89"/>
  <c r="P89"/>
  <c r="Q88"/>
  <c r="P88"/>
  <c r="Q87"/>
  <c r="P87"/>
  <c r="Q86"/>
  <c r="P86"/>
  <c r="Q85"/>
  <c r="P85"/>
  <c r="Q84"/>
  <c r="P84"/>
  <c r="Q83"/>
  <c r="P83"/>
  <c r="Q82"/>
  <c r="P82"/>
  <c r="Q81"/>
  <c r="P81"/>
  <c r="Q80"/>
  <c r="P80"/>
  <c r="Q79"/>
  <c r="P79"/>
  <c r="Q78"/>
  <c r="P78"/>
  <c r="Q77"/>
  <c r="P77"/>
  <c r="Q76"/>
  <c r="P76"/>
  <c r="Q75"/>
  <c r="P75"/>
  <c r="Q74"/>
  <c r="P74"/>
  <c r="Q73"/>
  <c r="P73"/>
  <c r="Q72"/>
  <c r="P72"/>
  <c r="Q71"/>
  <c r="P71"/>
  <c r="Q70"/>
  <c r="P70"/>
  <c r="Q69"/>
  <c r="P69"/>
  <c r="Q68"/>
  <c r="P68"/>
  <c r="Q67"/>
  <c r="P67"/>
  <c r="Q66"/>
  <c r="P66"/>
  <c r="Q65"/>
  <c r="P65"/>
  <c r="Q64"/>
  <c r="P64"/>
  <c r="Q63"/>
  <c r="P63"/>
  <c r="Q62"/>
  <c r="P62"/>
  <c r="Q61"/>
  <c r="P61"/>
  <c r="Q60"/>
  <c r="P60"/>
  <c r="Q59"/>
  <c r="P59"/>
  <c r="Q58"/>
  <c r="P58"/>
  <c r="Q57"/>
  <c r="P57"/>
  <c r="Q56"/>
  <c r="P56"/>
  <c r="Q55"/>
  <c r="P55"/>
  <c r="Q54"/>
  <c r="P54"/>
  <c r="Q53"/>
  <c r="P53"/>
  <c r="Q52"/>
  <c r="P52"/>
  <c r="Q51"/>
  <c r="P51"/>
  <c r="Q50"/>
  <c r="P50"/>
  <c r="Q49"/>
  <c r="P49"/>
  <c r="Q48"/>
  <c r="P48"/>
  <c r="Q47"/>
  <c r="P47"/>
  <c r="Q46"/>
  <c r="P46"/>
  <c r="Q45"/>
  <c r="P45"/>
  <c r="Q44"/>
  <c r="P44"/>
  <c r="Q43"/>
  <c r="P43"/>
  <c r="Q42"/>
  <c r="P42"/>
  <c r="Q41"/>
  <c r="P41"/>
  <c r="Q40"/>
  <c r="P40"/>
  <c r="Q39"/>
  <c r="P39"/>
  <c r="Q38"/>
  <c r="P38"/>
  <c r="Q37"/>
  <c r="P37"/>
  <c r="Q36"/>
  <c r="P36"/>
  <c r="Q35"/>
  <c r="P35"/>
  <c r="Q34"/>
  <c r="P34"/>
  <c r="Q33"/>
  <c r="P33"/>
  <c r="Q32"/>
  <c r="P32"/>
  <c r="Q31"/>
  <c r="P31"/>
  <c r="Q30"/>
  <c r="P30"/>
  <c r="Q29"/>
  <c r="P29"/>
  <c r="Q28"/>
  <c r="P28"/>
  <c r="Q27"/>
  <c r="P27"/>
  <c r="Q26"/>
  <c r="P26"/>
  <c r="Q25"/>
  <c r="P25"/>
  <c r="Q24"/>
  <c r="P24"/>
  <c r="Q23"/>
  <c r="P23"/>
  <c r="Q22"/>
  <c r="P22"/>
  <c r="Q21"/>
  <c r="P21"/>
  <c r="Q20"/>
  <c r="P20"/>
  <c r="Q19"/>
  <c r="P19"/>
  <c r="Q18"/>
  <c r="P18"/>
  <c r="Q17"/>
  <c r="P17"/>
  <c r="Q16"/>
  <c r="P16"/>
  <c r="Q15"/>
  <c r="P15"/>
  <c r="Q14"/>
  <c r="P14"/>
  <c r="Q13"/>
  <c r="P13"/>
  <c r="Q12"/>
  <c r="P12"/>
  <c r="Q11"/>
  <c r="P11"/>
  <c r="Q10"/>
  <c r="P10"/>
  <c r="Q9"/>
  <c r="P9"/>
  <c r="Q8"/>
  <c r="P8"/>
  <c r="Q7"/>
  <c r="P7"/>
  <c r="Q6"/>
  <c r="P6"/>
  <c r="Q5"/>
  <c r="P5"/>
  <c r="Q4"/>
  <c r="P4"/>
  <c r="Q3"/>
  <c r="P3"/>
  <c r="Q2"/>
  <c r="P2"/>
  <c r="Q1"/>
  <c r="P1"/>
  <c r="AC86"/>
  <c r="AD9"/>
  <c r="AD4"/>
  <c r="AD113"/>
  <c r="AC120"/>
  <c r="AD40"/>
  <c r="AD81"/>
  <c r="AC80"/>
  <c r="AC44"/>
  <c r="AC9"/>
  <c r="AD51"/>
  <c r="AD111"/>
  <c r="AC17"/>
  <c r="AD6"/>
  <c r="AC8"/>
  <c r="AD44"/>
  <c r="AD47"/>
  <c r="AC62"/>
  <c r="AC79"/>
  <c r="AC56"/>
  <c r="AD58"/>
  <c r="AC51"/>
  <c r="AD103"/>
  <c r="AC28"/>
  <c r="AD127"/>
  <c r="AC42"/>
  <c r="AD35"/>
  <c r="AC57"/>
  <c r="AD96"/>
  <c r="AD26"/>
  <c r="AC83"/>
  <c r="AC127"/>
  <c r="AC35"/>
  <c r="AC58"/>
  <c r="AC121"/>
  <c r="AC22"/>
  <c r="AD21"/>
  <c r="AC6"/>
  <c r="AC91"/>
  <c r="AC39"/>
  <c r="AD62"/>
  <c r="AC117"/>
  <c r="AD37"/>
  <c r="AC114"/>
  <c r="AC109"/>
  <c r="AC115"/>
  <c r="AD56"/>
  <c r="AC48"/>
  <c r="AD78"/>
  <c r="AD63"/>
  <c r="AC99"/>
  <c r="AC124"/>
  <c r="AC34"/>
  <c r="AC13"/>
  <c r="AD55"/>
  <c r="AC82"/>
  <c r="AC64"/>
  <c r="AD22"/>
  <c r="AC54"/>
  <c r="AC55"/>
  <c r="AC98"/>
  <c r="AC30"/>
  <c r="AD84"/>
  <c r="AD59"/>
  <c r="AD85"/>
  <c r="AD38"/>
  <c r="AD115"/>
  <c r="AC46"/>
  <c r="AC18"/>
  <c r="AD107"/>
  <c r="AD64"/>
  <c r="AC129"/>
  <c r="AD46"/>
  <c r="AC102"/>
  <c r="AD106"/>
  <c r="AD60"/>
  <c r="AC47"/>
  <c r="AC7"/>
  <c r="AD17"/>
  <c r="AC110"/>
  <c r="AC10"/>
  <c r="AC38"/>
  <c r="AC63"/>
  <c r="AC21"/>
  <c r="AD119"/>
  <c r="AD39"/>
  <c r="AC36"/>
  <c r="AC106"/>
  <c r="AC77"/>
  <c r="AD89"/>
  <c r="AD66"/>
  <c r="AD16"/>
  <c r="AD100"/>
  <c r="AD112"/>
  <c r="AD92"/>
  <c r="AD130"/>
  <c r="AC52"/>
  <c r="AD65"/>
  <c r="AD15"/>
  <c r="AD83"/>
  <c r="AC19"/>
  <c r="AC53"/>
  <c r="AD3"/>
  <c r="AC96"/>
  <c r="AC111"/>
  <c r="AC26"/>
  <c r="AD101"/>
  <c r="AD123"/>
  <c r="AD48"/>
  <c r="AD80"/>
  <c r="AC60"/>
  <c r="AC16"/>
  <c r="AD128"/>
  <c r="AC122"/>
  <c r="AC116"/>
  <c r="AD45"/>
  <c r="AD70"/>
  <c r="AD71"/>
  <c r="AD88"/>
  <c r="AC49"/>
  <c r="AD31"/>
  <c r="AD34"/>
  <c r="AC89"/>
  <c r="AC5"/>
  <c r="AD67"/>
  <c r="AC103"/>
  <c r="AD73"/>
  <c r="AC37"/>
  <c r="AC43"/>
  <c r="AC126"/>
  <c r="AC67"/>
  <c r="AC71"/>
  <c r="AC23"/>
  <c r="AD126"/>
  <c r="AD33"/>
  <c r="AC113"/>
  <c r="AC11"/>
  <c r="AD13"/>
  <c r="AD118"/>
  <c r="AD124"/>
  <c r="AD114"/>
  <c r="AC4"/>
  <c r="AD10"/>
  <c r="AD14"/>
  <c r="AD108"/>
  <c r="AC66"/>
  <c r="AC81"/>
  <c r="AC45"/>
  <c r="AC20"/>
  <c r="AC104"/>
  <c r="AD43"/>
  <c r="AC75"/>
  <c r="AC69"/>
  <c r="AD53"/>
  <c r="AD98"/>
  <c r="AD57"/>
  <c r="AC31"/>
  <c r="AD29"/>
  <c r="AC41"/>
  <c r="AD32"/>
  <c r="AD74"/>
  <c r="AC87"/>
  <c r="AD7"/>
  <c r="AC25"/>
  <c r="AC125"/>
  <c r="AC90"/>
  <c r="AC32"/>
  <c r="AC100"/>
  <c r="AC118"/>
  <c r="AC95"/>
  <c r="AD82"/>
  <c r="AC14"/>
  <c r="AD18"/>
  <c r="AD120"/>
  <c r="AD11"/>
  <c r="AC33"/>
  <c r="AD24"/>
  <c r="AC94"/>
  <c r="AC97"/>
  <c r="AC65"/>
  <c r="AC12"/>
  <c r="AD76"/>
  <c r="AD19"/>
  <c r="AD8"/>
  <c r="AC29"/>
  <c r="AD41"/>
  <c r="AC24"/>
  <c r="AD87"/>
  <c r="AD20"/>
  <c r="AD105"/>
  <c r="AC130"/>
  <c r="AD117"/>
  <c r="AD42"/>
  <c r="AD90"/>
  <c r="AD69"/>
  <c r="AC105"/>
  <c r="AD102"/>
  <c r="AD5"/>
  <c r="AC59"/>
  <c r="AD121"/>
  <c r="AD99"/>
  <c r="AC84"/>
  <c r="AC112"/>
  <c r="AC119"/>
  <c r="AD109"/>
  <c r="AC128"/>
  <c r="AC101"/>
  <c r="AC3"/>
  <c r="AD30"/>
  <c r="AD79"/>
  <c r="AD61"/>
  <c r="AD93"/>
  <c r="AC107"/>
  <c r="AD50"/>
  <c r="AC74"/>
  <c r="AD12"/>
  <c r="AD68"/>
  <c r="AD125"/>
  <c r="AD116"/>
  <c r="AD25"/>
  <c r="AC93"/>
  <c r="AD23"/>
  <c r="AC50"/>
  <c r="AC68"/>
  <c r="AD72"/>
  <c r="AC76"/>
  <c r="AD91"/>
  <c r="AD54"/>
  <c r="AC108"/>
  <c r="AD97"/>
  <c r="AC73"/>
  <c r="AD28"/>
  <c r="AD49"/>
  <c r="AC85"/>
  <c r="AD77"/>
  <c r="AC88"/>
  <c r="AD95"/>
  <c r="AD27"/>
  <c r="AC27"/>
  <c r="AC78"/>
  <c r="AD86"/>
  <c r="AD129"/>
  <c r="AD36"/>
  <c r="AD110"/>
  <c r="AC70"/>
  <c r="AD94"/>
  <c r="AC92"/>
  <c r="AD52"/>
  <c r="AC123"/>
  <c r="AC40"/>
  <c r="AC61"/>
  <c r="AC72"/>
  <c r="AD75"/>
  <c r="AC15"/>
  <c r="AD104"/>
  <c r="AD122"/>
  <c r="J131" l="1"/>
  <c r="R1" l="1"/>
</calcChain>
</file>

<file path=xl/sharedStrings.xml><?xml version="1.0" encoding="utf-8"?>
<sst xmlns="http://schemas.openxmlformats.org/spreadsheetml/2006/main" count="419" uniqueCount="92">
  <si>
    <t>2ème tour</t>
  </si>
  <si>
    <t>1er tour</t>
  </si>
  <si>
    <t>3ème tour</t>
  </si>
  <si>
    <t>4ème tour</t>
  </si>
  <si>
    <t>5ème tour</t>
  </si>
  <si>
    <t>6ème tour</t>
  </si>
  <si>
    <t xml:space="preserve">Tirages aléatoires des tours </t>
  </si>
  <si>
    <t>NB Equipes</t>
  </si>
  <si>
    <t>CLASSEMENT FINAL</t>
  </si>
  <si>
    <t>N° eq</t>
  </si>
  <si>
    <t>Nom équipes</t>
  </si>
  <si>
    <t>Parties gagnées</t>
  </si>
  <si>
    <t>Goal average</t>
  </si>
  <si>
    <t>Poule Gagnants</t>
  </si>
  <si>
    <t>Poule Perdants</t>
  </si>
  <si>
    <t>MICHEL DEDE</t>
  </si>
  <si>
    <t xml:space="preserve">Copie Tour 1 effectuée avec </t>
  </si>
  <si>
    <t>Equipes</t>
  </si>
  <si>
    <t xml:space="preserve">Copie Tour 2A  effectuée avec </t>
  </si>
  <si>
    <t xml:space="preserve">Copie Tour 2B  effectuée avec </t>
  </si>
  <si>
    <t xml:space="preserve">Copie Tour 3C  effectuée avec </t>
  </si>
  <si>
    <t xml:space="preserve">Copie Tour 3A  effectuée avec </t>
  </si>
  <si>
    <t xml:space="preserve">Copie Tour 3B  effectuée avec </t>
  </si>
  <si>
    <t xml:space="preserve">Copie Tour 4A  effectuée avec </t>
  </si>
  <si>
    <t xml:space="preserve">Copie Tour 4B  effectuée avec </t>
  </si>
  <si>
    <t>2è  Tour Poule A</t>
  </si>
  <si>
    <t>Tableau des 4 Tours</t>
  </si>
  <si>
    <t>2è  Tour Poule B</t>
  </si>
  <si>
    <t>3è  Tour Poule A</t>
  </si>
  <si>
    <t>3è  Tour Poule B</t>
  </si>
  <si>
    <t>3è  Tour Poule C</t>
  </si>
  <si>
    <t>4è  Tour Poule A</t>
  </si>
  <si>
    <t>4è  Tour Poule B</t>
  </si>
  <si>
    <t xml:space="preserve">Tour 2 </t>
  </si>
  <si>
    <t>Ecran resultat</t>
  </si>
  <si>
    <t>Ecran  64_4t</t>
  </si>
  <si>
    <t>47</t>
  </si>
  <si>
    <t>48</t>
  </si>
  <si>
    <t>4è  Tour Poule C</t>
  </si>
  <si>
    <t xml:space="preserve">Copie Tour 4 C  effectuée avec </t>
  </si>
  <si>
    <t>Nbre Equipes 1er Tour</t>
  </si>
  <si>
    <t>4è  Tour Poule D</t>
  </si>
  <si>
    <t xml:space="preserve">Lancement </t>
  </si>
  <si>
    <t xml:space="preserve">Copie Tour 4D  effectuée avec </t>
  </si>
  <si>
    <t>Nombre de poules au 4è tour :2 ou 3 ou 4</t>
  </si>
  <si>
    <t>BERNARD - REGIS</t>
  </si>
  <si>
    <t>WILLIAM - RENE</t>
  </si>
  <si>
    <t>PAPI</t>
  </si>
  <si>
    <t>CHRISTIAN - J PIERRE</t>
  </si>
  <si>
    <t>MOULES FRITES</t>
  </si>
  <si>
    <t>MARGOT - DOMINIQUE</t>
  </si>
  <si>
    <t>JOCELYNE - JACQUES</t>
  </si>
  <si>
    <t>DEDE - CEDRIC</t>
  </si>
  <si>
    <t>NATHAN - JEAN BERNARD</t>
  </si>
  <si>
    <t>VINCENT - CHRISTOPHE</t>
  </si>
  <si>
    <t>GIROT - GIROT</t>
  </si>
  <si>
    <t>LOUISETTE - JOEL</t>
  </si>
  <si>
    <t>CHARLES - CHRISTINE</t>
  </si>
  <si>
    <t>MARYVONNE - LOLO</t>
  </si>
  <si>
    <t>JUSTINE - CHLOEY</t>
  </si>
  <si>
    <t>CHRISTIAN - ODILE</t>
  </si>
  <si>
    <t>CHARLES -DANIELLE</t>
  </si>
  <si>
    <t>JEAN PIERRE - YVON</t>
  </si>
  <si>
    <t>PATRICK - DIDIER</t>
  </si>
  <si>
    <t>BERNARD - FABRICE</t>
  </si>
  <si>
    <t>ELIANE - YOAN</t>
  </si>
  <si>
    <t>JEAN PIERRE - MONIQUE</t>
  </si>
  <si>
    <t>VERO - BABETTE</t>
  </si>
  <si>
    <t>CHRISTIAN M - DOMINIQUE</t>
  </si>
  <si>
    <t>CEDRIC - KILLIAN</t>
  </si>
  <si>
    <t>COLETTE - BABETH</t>
  </si>
  <si>
    <t>CAMILLE - CLAUDE</t>
  </si>
  <si>
    <t>GIGI - CEDRIC</t>
  </si>
  <si>
    <t>GEGE - MATTEO</t>
  </si>
  <si>
    <t>COSNET - DOMINIQUE</t>
  </si>
  <si>
    <t>POLO - JEAN LUC</t>
  </si>
  <si>
    <t>JEAN - SUZI</t>
  </si>
  <si>
    <t>JEAN MARC - PHILIPPE</t>
  </si>
  <si>
    <t>CHRISTIANE - BERTRAND</t>
  </si>
  <si>
    <t>PIERRE - ALAIN</t>
  </si>
  <si>
    <t>FRANCINE - YVES</t>
  </si>
  <si>
    <t>JESUS - SERGE</t>
  </si>
  <si>
    <t>MURMURE - JACKY</t>
  </si>
  <si>
    <t>JEAN LUC - MARIE THE</t>
  </si>
  <si>
    <t>OSCAR - THIERRY</t>
  </si>
  <si>
    <t>SERGE - MARC</t>
  </si>
  <si>
    <t>CHRISTIAN - ROLANDE</t>
  </si>
  <si>
    <t>DANIELLE - BERNARD</t>
  </si>
  <si>
    <t>JESSICA - GREGORY</t>
  </si>
  <si>
    <t>SUZANNE - AURELIEN</t>
  </si>
  <si>
    <t>PATRICK - ERIC</t>
  </si>
  <si>
    <t>ROBERT - LAURENT</t>
  </si>
</sst>
</file>

<file path=xl/styles.xml><?xml version="1.0" encoding="utf-8"?>
<styleSheet xmlns="http://schemas.openxmlformats.org/spreadsheetml/2006/main">
  <numFmts count="1">
    <numFmt numFmtId="166" formatCode=";;;"/>
  </numFmts>
  <fonts count="38">
    <font>
      <sz val="10"/>
      <name val="Arial"/>
    </font>
    <font>
      <sz val="8"/>
      <name val="Arial"/>
      <family val="2"/>
    </font>
    <font>
      <b/>
      <sz val="14"/>
      <name val="Tahoma"/>
      <family val="2"/>
    </font>
    <font>
      <b/>
      <sz val="12"/>
      <name val="Tahoma"/>
      <family val="2"/>
    </font>
    <font>
      <sz val="10"/>
      <name val="Arial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2"/>
      <name val="Arial"/>
      <family val="2"/>
    </font>
    <font>
      <sz val="14"/>
      <name val="Arial"/>
      <family val="2"/>
    </font>
    <font>
      <sz val="10"/>
      <color indexed="39"/>
      <name val="Arial"/>
      <family val="2"/>
    </font>
    <font>
      <sz val="10"/>
      <color indexed="14"/>
      <name val="Arial"/>
      <family val="2"/>
    </font>
    <font>
      <sz val="20"/>
      <name val="Berlin Sans FB Demi"/>
      <family val="2"/>
    </font>
    <font>
      <b/>
      <sz val="14"/>
      <name val="Arial"/>
      <family val="2"/>
    </font>
    <font>
      <sz val="11"/>
      <name val="Arial"/>
      <family val="2"/>
    </font>
    <font>
      <sz val="10"/>
      <color indexed="12"/>
      <name val="Arial"/>
      <family val="2"/>
    </font>
    <font>
      <sz val="10"/>
      <name val="Calibri"/>
      <family val="2"/>
    </font>
    <font>
      <b/>
      <sz val="12"/>
      <name val="Arial"/>
      <family val="2"/>
    </font>
    <font>
      <b/>
      <sz val="8"/>
      <color rgb="FF2600FF"/>
      <name val="Courier New"/>
      <family val="3"/>
    </font>
    <font>
      <sz val="9"/>
      <color rgb="FF111111"/>
      <name val="Courier New"/>
      <family val="3"/>
    </font>
    <font>
      <sz val="10"/>
      <color rgb="FF333333"/>
      <name val="Trebuchet MS"/>
      <family val="2"/>
    </font>
    <font>
      <b/>
      <sz val="10"/>
      <color indexed="37"/>
      <name val="Calibri"/>
      <family val="2"/>
    </font>
    <font>
      <b/>
      <sz val="9"/>
      <color indexed="16"/>
      <name val="Calibri"/>
      <family val="2"/>
    </font>
    <font>
      <sz val="10"/>
      <color rgb="FF33CC33"/>
      <name val="Arial"/>
      <family val="2"/>
    </font>
    <font>
      <b/>
      <sz val="10"/>
      <name val="Arial"/>
      <family val="2"/>
    </font>
    <font>
      <sz val="9"/>
      <color indexed="60"/>
      <name val="Arial"/>
      <family val="2"/>
    </font>
    <font>
      <sz val="9"/>
      <color indexed="18"/>
      <name val="Arial"/>
      <family val="2"/>
    </font>
    <font>
      <b/>
      <sz val="10"/>
      <color indexed="18"/>
      <name val="Calibri"/>
      <family val="2"/>
    </font>
    <font>
      <sz val="8"/>
      <color rgb="FF000000"/>
      <name val="DejaVu Serif Condensed"/>
      <family val="1"/>
    </font>
    <font>
      <sz val="12"/>
      <color theme="1"/>
      <name val="Calibri"/>
      <family val="2"/>
      <scheme val="minor"/>
    </font>
    <font>
      <b/>
      <sz val="11"/>
      <color theme="0"/>
      <name val="Arial"/>
      <family val="2"/>
    </font>
    <font>
      <b/>
      <sz val="10"/>
      <color theme="0"/>
      <name val="Arial"/>
      <family val="2"/>
    </font>
    <font>
      <b/>
      <sz val="16"/>
      <name val="Arial"/>
      <family val="2"/>
    </font>
    <font>
      <b/>
      <sz val="16"/>
      <color theme="0"/>
      <name val="Arial"/>
      <family val="2"/>
    </font>
    <font>
      <b/>
      <sz val="11"/>
      <color rgb="FFFFFFFF"/>
      <name val="Calibri"/>
      <family val="2"/>
    </font>
    <font>
      <sz val="12"/>
      <color theme="0"/>
      <name val="Arial"/>
      <family val="2"/>
    </font>
    <font>
      <sz val="9"/>
      <color rgb="FFFFFFFF"/>
      <name val="Calibri"/>
      <family val="2"/>
    </font>
    <font>
      <b/>
      <sz val="11"/>
      <name val="Arial"/>
      <family val="2"/>
    </font>
    <font>
      <sz val="8"/>
      <color rgb="FFFFFFFF"/>
      <name val="Calibri"/>
      <family val="2"/>
    </font>
  </fonts>
  <fills count="3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C0066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4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21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4" fillId="0" borderId="0" xfId="0" applyFont="1"/>
    <xf numFmtId="0" fontId="8" fillId="0" borderId="0" xfId="0" applyFont="1" applyAlignment="1">
      <alignment horizontal="center"/>
    </xf>
    <xf numFmtId="0" fontId="0" fillId="13" borderId="0" xfId="0" applyFill="1"/>
    <xf numFmtId="0" fontId="0" fillId="14" borderId="0" xfId="0" applyFill="1"/>
    <xf numFmtId="0" fontId="4" fillId="14" borderId="10" xfId="0" applyFont="1" applyFill="1" applyBorder="1" applyAlignment="1">
      <alignment horizontal="center"/>
    </xf>
    <xf numFmtId="0" fontId="0" fillId="0" borderId="0" xfId="0" applyFill="1"/>
    <xf numFmtId="0" fontId="12" fillId="0" borderId="10" xfId="0" applyFont="1" applyFill="1" applyBorder="1" applyAlignment="1">
      <alignment horizontal="center"/>
    </xf>
    <xf numFmtId="0" fontId="7" fillId="10" borderId="10" xfId="0" applyFont="1" applyFill="1" applyBorder="1" applyAlignment="1">
      <alignment horizontal="center"/>
    </xf>
    <xf numFmtId="0" fontId="7" fillId="11" borderId="10" xfId="0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0" fillId="9" borderId="0" xfId="0" applyFill="1" applyAlignment="1">
      <alignment horizontal="center" vertical="center"/>
    </xf>
    <xf numFmtId="0" fontId="8" fillId="14" borderId="0" xfId="0" applyFont="1" applyFill="1"/>
    <xf numFmtId="0" fontId="12" fillId="0" borderId="10" xfId="0" applyFont="1" applyFill="1" applyBorder="1" applyAlignment="1">
      <alignment horizontal="center" vertical="center"/>
    </xf>
    <xf numFmtId="0" fontId="8" fillId="0" borderId="0" xfId="0" applyFont="1" applyFill="1"/>
    <xf numFmtId="0" fontId="12" fillId="12" borderId="10" xfId="0" applyFont="1" applyFill="1" applyBorder="1" applyAlignment="1">
      <alignment horizontal="center" vertical="center"/>
    </xf>
    <xf numFmtId="0" fontId="17" fillId="0" borderId="0" xfId="0" applyFont="1"/>
    <xf numFmtId="0" fontId="18" fillId="0" borderId="0" xfId="0" applyFont="1"/>
    <xf numFmtId="0" fontId="4" fillId="0" borderId="0" xfId="0" applyFont="1" applyFill="1"/>
    <xf numFmtId="0" fontId="7" fillId="12" borderId="10" xfId="0" applyFont="1" applyFill="1" applyBorder="1" applyAlignment="1">
      <alignment horizontal="center"/>
    </xf>
    <xf numFmtId="49" fontId="7" fillId="12" borderId="10" xfId="0" applyNumberFormat="1" applyFont="1" applyFill="1" applyBorder="1" applyAlignment="1">
      <alignment horizontal="center" vertical="center"/>
    </xf>
    <xf numFmtId="0" fontId="13" fillId="14" borderId="10" xfId="0" applyFont="1" applyFill="1" applyBorder="1"/>
    <xf numFmtId="0" fontId="19" fillId="0" borderId="0" xfId="0" applyFont="1"/>
    <xf numFmtId="0" fontId="8" fillId="12" borderId="10" xfId="0" applyFont="1" applyFill="1" applyBorder="1" applyAlignment="1">
      <alignment horizontal="left"/>
    </xf>
    <xf numFmtId="0" fontId="8" fillId="12" borderId="1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2" fillId="12" borderId="1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0" fillId="17" borderId="0" xfId="0" applyFill="1"/>
    <xf numFmtId="0" fontId="22" fillId="18" borderId="0" xfId="0" applyFont="1" applyFill="1"/>
    <xf numFmtId="0" fontId="23" fillId="18" borderId="0" xfId="0" applyFont="1" applyFill="1" applyAlignment="1">
      <alignment horizontal="center"/>
    </xf>
    <xf numFmtId="0" fontId="23" fillId="14" borderId="0" xfId="0" applyFont="1" applyFill="1" applyAlignment="1">
      <alignment horizontal="center"/>
    </xf>
    <xf numFmtId="0" fontId="23" fillId="13" borderId="0" xfId="0" applyFont="1" applyFill="1" applyAlignment="1">
      <alignment horizontal="center"/>
    </xf>
    <xf numFmtId="0" fontId="8" fillId="12" borderId="5" xfId="0" applyFont="1" applyFill="1" applyBorder="1" applyAlignment="1">
      <alignment horizontal="center"/>
    </xf>
    <xf numFmtId="0" fontId="0" fillId="13" borderId="0" xfId="0" applyFill="1" applyBorder="1"/>
    <xf numFmtId="0" fontId="8" fillId="13" borderId="0" xfId="0" applyFont="1" applyFill="1" applyBorder="1"/>
    <xf numFmtId="0" fontId="0" fillId="0" borderId="0" xfId="0" applyBorder="1"/>
    <xf numFmtId="0" fontId="8" fillId="13" borderId="0" xfId="0" applyFont="1" applyFill="1" applyBorder="1" applyAlignment="1">
      <alignment horizontal="center"/>
    </xf>
    <xf numFmtId="0" fontId="7" fillId="12" borderId="0" xfId="0" applyFont="1" applyFill="1" applyAlignment="1">
      <alignment horizontal="center"/>
    </xf>
    <xf numFmtId="0" fontId="4" fillId="12" borderId="10" xfId="0" applyFont="1" applyFill="1" applyBorder="1" applyAlignment="1">
      <alignment horizontal="center"/>
    </xf>
    <xf numFmtId="0" fontId="4" fillId="12" borderId="5" xfId="0" applyFont="1" applyFill="1" applyBorder="1" applyAlignment="1">
      <alignment horizontal="center"/>
    </xf>
    <xf numFmtId="0" fontId="0" fillId="12" borderId="0" xfId="0" applyFill="1"/>
    <xf numFmtId="166" fontId="7" fillId="0" borderId="0" xfId="0" applyNumberFormat="1" applyFont="1" applyAlignment="1">
      <alignment horizontal="center"/>
    </xf>
    <xf numFmtId="0" fontId="4" fillId="0" borderId="10" xfId="0" applyFont="1" applyFill="1" applyBorder="1" applyAlignment="1" applyProtection="1">
      <alignment horizontal="left"/>
      <protection locked="0"/>
    </xf>
    <xf numFmtId="0" fontId="0" fillId="0" borderId="10" xfId="0" applyFont="1" applyFill="1" applyBorder="1" applyAlignment="1" applyProtection="1">
      <alignment horizontal="left"/>
      <protection locked="0"/>
    </xf>
    <xf numFmtId="0" fontId="7" fillId="0" borderId="10" xfId="0" applyFont="1" applyFill="1" applyBorder="1" applyProtection="1">
      <protection locked="0"/>
    </xf>
    <xf numFmtId="0" fontId="28" fillId="12" borderId="10" xfId="0" applyFont="1" applyFill="1" applyBorder="1" applyAlignment="1" applyProtection="1">
      <alignment horizontal="left"/>
      <protection locked="0"/>
    </xf>
    <xf numFmtId="0" fontId="6" fillId="12" borderId="10" xfId="0" applyFont="1" applyFill="1" applyBorder="1" applyProtection="1">
      <protection locked="0"/>
    </xf>
    <xf numFmtId="1" fontId="28" fillId="12" borderId="10" xfId="0" applyNumberFormat="1" applyFont="1" applyFill="1" applyBorder="1" applyProtection="1">
      <protection locked="0"/>
    </xf>
    <xf numFmtId="0" fontId="4" fillId="0" borderId="0" xfId="0" applyFont="1" applyBorder="1"/>
    <xf numFmtId="0" fontId="15" fillId="0" borderId="0" xfId="0" applyFont="1" applyFill="1" applyBorder="1" applyAlignment="1">
      <alignment horizontal="center" wrapText="1"/>
    </xf>
    <xf numFmtId="0" fontId="4" fillId="0" borderId="0" xfId="0" applyFont="1" applyFill="1" applyBorder="1"/>
    <xf numFmtId="0" fontId="7" fillId="0" borderId="0" xfId="0" applyNumberFormat="1" applyFont="1" applyAlignment="1">
      <alignment horizontal="center"/>
    </xf>
    <xf numFmtId="0" fontId="7" fillId="0" borderId="0" xfId="0" quotePrefix="1" applyNumberFormat="1" applyFon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12" borderId="10" xfId="0" applyFont="1" applyFill="1" applyBorder="1" applyAlignment="1">
      <alignment horizontal="left"/>
    </xf>
    <xf numFmtId="0" fontId="13" fillId="0" borderId="0" xfId="0" applyFont="1" applyFill="1" applyBorder="1" applyAlignment="1">
      <alignment horizontal="center"/>
    </xf>
    <xf numFmtId="0" fontId="4" fillId="14" borderId="0" xfId="0" applyFont="1" applyFill="1" applyBorder="1"/>
    <xf numFmtId="0" fontId="4" fillId="14" borderId="0" xfId="0" applyFont="1" applyFill="1"/>
    <xf numFmtId="0" fontId="15" fillId="14" borderId="0" xfId="0" applyFont="1" applyFill="1" applyBorder="1" applyAlignment="1">
      <alignment horizontal="center" wrapText="1"/>
    </xf>
    <xf numFmtId="0" fontId="0" fillId="14" borderId="0" xfId="0" applyFill="1" applyAlignment="1">
      <alignment horizontal="center"/>
    </xf>
    <xf numFmtId="0" fontId="0" fillId="14" borderId="0" xfId="0" applyFill="1" applyBorder="1" applyAlignment="1">
      <alignment horizontal="center"/>
    </xf>
    <xf numFmtId="0" fontId="0" fillId="20" borderId="0" xfId="0" applyFill="1" applyAlignment="1">
      <alignment horizontal="center"/>
    </xf>
    <xf numFmtId="0" fontId="4" fillId="20" borderId="0" xfId="0" applyFont="1" applyFill="1" applyBorder="1"/>
    <xf numFmtId="0" fontId="15" fillId="20" borderId="0" xfId="0" applyFont="1" applyFill="1" applyBorder="1" applyAlignment="1">
      <alignment horizontal="center" wrapText="1"/>
    </xf>
    <xf numFmtId="0" fontId="4" fillId="20" borderId="0" xfId="0" applyFont="1" applyFill="1"/>
    <xf numFmtId="0" fontId="4" fillId="19" borderId="0" xfId="0" applyFont="1" applyFill="1" applyBorder="1" applyAlignment="1">
      <alignment horizontal="center"/>
    </xf>
    <xf numFmtId="0" fontId="4" fillId="19" borderId="0" xfId="0" applyFont="1" applyFill="1" applyBorder="1"/>
    <xf numFmtId="0" fontId="4" fillId="19" borderId="0" xfId="0" applyFont="1" applyFill="1" applyAlignment="1">
      <alignment horizontal="center"/>
    </xf>
    <xf numFmtId="0" fontId="4" fillId="19" borderId="0" xfId="0" applyFont="1" applyFill="1"/>
    <xf numFmtId="0" fontId="3" fillId="0" borderId="0" xfId="0" applyFont="1" applyAlignment="1">
      <alignment horizontal="right" vertical="center"/>
    </xf>
    <xf numFmtId="0" fontId="31" fillId="21" borderId="14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27" fillId="17" borderId="0" xfId="0" applyFont="1" applyFill="1" applyAlignment="1">
      <alignment horizontal="center"/>
    </xf>
    <xf numFmtId="0" fontId="0" fillId="0" borderId="0" xfId="0" applyNumberFormat="1"/>
    <xf numFmtId="0" fontId="12" fillId="23" borderId="7" xfId="0" applyFont="1" applyFill="1" applyBorder="1" applyAlignment="1">
      <alignment horizontal="right"/>
    </xf>
    <xf numFmtId="0" fontId="12" fillId="23" borderId="18" xfId="0" applyFont="1" applyFill="1" applyBorder="1" applyAlignment="1">
      <alignment horizontal="right"/>
    </xf>
    <xf numFmtId="0" fontId="12" fillId="17" borderId="7" xfId="0" applyFont="1" applyFill="1" applyBorder="1" applyAlignment="1">
      <alignment horizontal="right"/>
    </xf>
    <xf numFmtId="0" fontId="12" fillId="17" borderId="19" xfId="0" applyFont="1" applyFill="1" applyBorder="1" applyAlignment="1">
      <alignment horizontal="right"/>
    </xf>
    <xf numFmtId="0" fontId="12" fillId="17" borderId="18" xfId="0" applyFont="1" applyFill="1" applyBorder="1" applyAlignment="1">
      <alignment horizontal="right"/>
    </xf>
    <xf numFmtId="0" fontId="16" fillId="24" borderId="20" xfId="0" applyFont="1" applyFill="1" applyBorder="1" applyAlignment="1">
      <alignment horizontal="right"/>
    </xf>
    <xf numFmtId="0" fontId="12" fillId="14" borderId="7" xfId="0" applyFont="1" applyFill="1" applyBorder="1" applyAlignment="1">
      <alignment horizontal="right"/>
    </xf>
    <xf numFmtId="0" fontId="12" fillId="14" borderId="18" xfId="0" applyFont="1" applyFill="1" applyBorder="1" applyAlignment="1">
      <alignment horizontal="right"/>
    </xf>
    <xf numFmtId="0" fontId="33" fillId="0" borderId="0" xfId="0" applyFont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14" borderId="10" xfId="0" applyFont="1" applyFill="1" applyBorder="1" applyAlignment="1">
      <alignment horizontal="left"/>
    </xf>
    <xf numFmtId="0" fontId="4" fillId="0" borderId="0" xfId="0" applyFont="1" applyAlignment="1">
      <alignment horizontal="left"/>
    </xf>
    <xf numFmtId="0" fontId="0" fillId="0" borderId="0" xfId="0" applyFill="1" applyAlignment="1">
      <alignment horizontal="right"/>
    </xf>
    <xf numFmtId="0" fontId="0" fillId="0" borderId="0" xfId="0" applyFill="1" applyAlignment="1">
      <alignment horizontal="left"/>
    </xf>
    <xf numFmtId="0" fontId="0" fillId="0" borderId="0" xfId="0" applyFill="1" applyBorder="1"/>
    <xf numFmtId="0" fontId="31" fillId="0" borderId="0" xfId="0" applyFont="1" applyFill="1" applyAlignment="1">
      <alignment horizontal="center" vertical="center"/>
    </xf>
    <xf numFmtId="0" fontId="16" fillId="0" borderId="10" xfId="0" applyFont="1" applyBorder="1"/>
    <xf numFmtId="0" fontId="35" fillId="0" borderId="0" xfId="0" applyFont="1" applyAlignment="1">
      <alignment horizontal="center"/>
    </xf>
    <xf numFmtId="1" fontId="32" fillId="25" borderId="8" xfId="0" applyNumberFormat="1" applyFont="1" applyFill="1" applyBorder="1" applyAlignment="1">
      <alignment horizontal="center"/>
    </xf>
    <xf numFmtId="1" fontId="32" fillId="25" borderId="22" xfId="0" applyNumberFormat="1" applyFont="1" applyFill="1" applyBorder="1" applyAlignment="1">
      <alignment horizontal="center"/>
    </xf>
    <xf numFmtId="0" fontId="0" fillId="16" borderId="0" xfId="0" applyFill="1"/>
    <xf numFmtId="0" fontId="7" fillId="12" borderId="10" xfId="0" applyFont="1" applyFill="1" applyBorder="1" applyAlignment="1">
      <alignment horizontal="center" vertical="center"/>
    </xf>
    <xf numFmtId="1" fontId="16" fillId="0" borderId="10" xfId="0" applyNumberFormat="1" applyFont="1" applyBorder="1"/>
    <xf numFmtId="0" fontId="34" fillId="26" borderId="14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left"/>
    </xf>
    <xf numFmtId="0" fontId="28" fillId="0" borderId="10" xfId="0" applyFont="1" applyFill="1" applyBorder="1" applyAlignment="1" applyProtection="1">
      <alignment horizontal="left"/>
      <protection locked="0"/>
    </xf>
    <xf numFmtId="0" fontId="6" fillId="0" borderId="10" xfId="0" applyFont="1" applyFill="1" applyBorder="1" applyProtection="1">
      <protection locked="0"/>
    </xf>
    <xf numFmtId="1" fontId="28" fillId="0" borderId="10" xfId="0" applyNumberFormat="1" applyFont="1" applyFill="1" applyBorder="1" applyProtection="1">
      <protection locked="0"/>
    </xf>
    <xf numFmtId="1" fontId="32" fillId="15" borderId="8" xfId="0" applyNumberFormat="1" applyFont="1" applyFill="1" applyBorder="1" applyAlignment="1">
      <alignment horizontal="center"/>
    </xf>
    <xf numFmtId="1" fontId="0" fillId="0" borderId="0" xfId="0" applyNumberFormat="1" applyFill="1" applyAlignment="1">
      <alignment horizontal="center"/>
    </xf>
    <xf numFmtId="1" fontId="32" fillId="13" borderId="21" xfId="0" applyNumberFormat="1" applyFont="1" applyFill="1" applyBorder="1" applyAlignment="1">
      <alignment horizontal="center"/>
    </xf>
    <xf numFmtId="1" fontId="32" fillId="22" borderId="8" xfId="0" applyNumberFormat="1" applyFont="1" applyFill="1" applyBorder="1" applyAlignment="1">
      <alignment horizontal="center"/>
    </xf>
    <xf numFmtId="1" fontId="32" fillId="22" borderId="22" xfId="0" applyNumberFormat="1" applyFont="1" applyFill="1" applyBorder="1" applyAlignment="1">
      <alignment horizontal="center"/>
    </xf>
    <xf numFmtId="1" fontId="32" fillId="25" borderId="0" xfId="0" applyNumberFormat="1" applyFont="1" applyFill="1" applyBorder="1" applyAlignment="1">
      <alignment horizontal="center"/>
    </xf>
    <xf numFmtId="1" fontId="32" fillId="15" borderId="22" xfId="0" applyNumberFormat="1" applyFont="1" applyFill="1" applyBorder="1" applyAlignment="1">
      <alignment horizontal="center"/>
    </xf>
    <xf numFmtId="1" fontId="32" fillId="27" borderId="11" xfId="0" applyNumberFormat="1" applyFont="1" applyFill="1" applyBorder="1" applyAlignment="1">
      <alignment horizontal="center"/>
    </xf>
    <xf numFmtId="1" fontId="4" fillId="0" borderId="0" xfId="0" applyNumberFormat="1" applyFont="1"/>
    <xf numFmtId="0" fontId="16" fillId="0" borderId="12" xfId="0" applyFont="1" applyBorder="1"/>
    <xf numFmtId="1" fontId="32" fillId="15" borderId="0" xfId="0" applyNumberFormat="1" applyFont="1" applyFill="1" applyBorder="1" applyAlignment="1">
      <alignment horizontal="center"/>
    </xf>
    <xf numFmtId="0" fontId="12" fillId="14" borderId="19" xfId="0" applyFont="1" applyFill="1" applyBorder="1" applyAlignment="1">
      <alignment horizontal="right"/>
    </xf>
    <xf numFmtId="0" fontId="15" fillId="12" borderId="0" xfId="0" applyFont="1" applyFill="1" applyBorder="1" applyAlignment="1">
      <alignment horizontal="center" wrapText="1"/>
    </xf>
    <xf numFmtId="0" fontId="37" fillId="0" borderId="0" xfId="0" applyFont="1" applyAlignment="1">
      <alignment horizontal="center"/>
    </xf>
    <xf numFmtId="0" fontId="0" fillId="28" borderId="0" xfId="0" applyFill="1"/>
    <xf numFmtId="0" fontId="2" fillId="0" borderId="0" xfId="0" applyFont="1" applyAlignment="1"/>
    <xf numFmtId="0" fontId="0" fillId="0" borderId="1" xfId="0" applyNumberFormat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0" xfId="0" applyNumberFormat="1" applyFill="1"/>
    <xf numFmtId="0" fontId="30" fillId="17" borderId="15" xfId="0" applyNumberFormat="1" applyFont="1" applyFill="1" applyBorder="1" applyAlignment="1">
      <alignment vertical="center"/>
    </xf>
    <xf numFmtId="0" fontId="30" fillId="17" borderId="16" xfId="0" applyNumberFormat="1" applyFont="1" applyFill="1" applyBorder="1" applyAlignment="1">
      <alignment vertical="center"/>
    </xf>
    <xf numFmtId="0" fontId="29" fillId="17" borderId="16" xfId="0" applyNumberFormat="1" applyFont="1" applyFill="1" applyBorder="1" applyAlignment="1">
      <alignment horizontal="center" vertical="center"/>
    </xf>
    <xf numFmtId="0" fontId="30" fillId="17" borderId="17" xfId="0" applyNumberFormat="1" applyFont="1" applyFill="1" applyBorder="1" applyAlignment="1">
      <alignment vertical="center"/>
    </xf>
    <xf numFmtId="0" fontId="29" fillId="0" borderId="0" xfId="0" applyNumberFormat="1" applyFont="1" applyFill="1" applyAlignment="1">
      <alignment vertical="center"/>
    </xf>
    <xf numFmtId="0" fontId="0" fillId="0" borderId="3" xfId="0" applyNumberFormat="1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30" fillId="0" borderId="0" xfId="0" applyNumberFormat="1" applyFont="1" applyFill="1" applyAlignment="1">
      <alignment vertical="center"/>
    </xf>
    <xf numFmtId="0" fontId="29" fillId="0" borderId="0" xfId="0" applyNumberFormat="1" applyFont="1" applyFill="1" applyAlignment="1">
      <alignment horizontal="center" vertical="center"/>
    </xf>
    <xf numFmtId="0" fontId="30" fillId="14" borderId="15" xfId="0" applyNumberFormat="1" applyFont="1" applyFill="1" applyBorder="1" applyAlignment="1">
      <alignment vertical="center"/>
    </xf>
    <xf numFmtId="0" fontId="30" fillId="14" borderId="16" xfId="0" applyNumberFormat="1" applyFont="1" applyFill="1" applyBorder="1" applyAlignment="1">
      <alignment vertical="center"/>
    </xf>
    <xf numFmtId="0" fontId="29" fillId="14" borderId="16" xfId="0" applyNumberFormat="1" applyFont="1" applyFill="1" applyBorder="1" applyAlignment="1">
      <alignment horizontal="center" vertical="center"/>
    </xf>
    <xf numFmtId="0" fontId="30" fillId="14" borderId="17" xfId="0" applyNumberFormat="1" applyFont="1" applyFill="1" applyBorder="1" applyAlignment="1">
      <alignment vertical="center"/>
    </xf>
    <xf numFmtId="0" fontId="30" fillId="3" borderId="15" xfId="0" applyNumberFormat="1" applyFont="1" applyFill="1" applyBorder="1" applyAlignment="1">
      <alignment vertical="center"/>
    </xf>
    <xf numFmtId="0" fontId="30" fillId="3" borderId="16" xfId="0" applyNumberFormat="1" applyFont="1" applyFill="1" applyBorder="1" applyAlignment="1">
      <alignment vertical="center"/>
    </xf>
    <xf numFmtId="0" fontId="29" fillId="3" borderId="16" xfId="0" applyNumberFormat="1" applyFont="1" applyFill="1" applyBorder="1" applyAlignment="1">
      <alignment horizontal="center" vertical="center"/>
    </xf>
    <xf numFmtId="0" fontId="30" fillId="3" borderId="17" xfId="0" applyNumberFormat="1" applyFont="1" applyFill="1" applyBorder="1" applyAlignment="1">
      <alignment vertical="center"/>
    </xf>
    <xf numFmtId="0" fontId="0" fillId="0" borderId="24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25" xfId="0" applyNumberFormat="1" applyBorder="1" applyAlignment="1">
      <alignment horizontal="center"/>
    </xf>
    <xf numFmtId="0" fontId="0" fillId="0" borderId="0" xfId="0" applyNumberFormat="1" applyFill="1" applyBorder="1"/>
    <xf numFmtId="0" fontId="0" fillId="0" borderId="0" xfId="0" applyNumberFormat="1" applyFill="1" applyBorder="1" applyAlignment="1">
      <alignment horizontal="center"/>
    </xf>
    <xf numFmtId="0" fontId="4" fillId="0" borderId="5" xfId="0" applyNumberFormat="1" applyFont="1" applyBorder="1" applyAlignment="1">
      <alignment horizontal="center"/>
    </xf>
    <xf numFmtId="0" fontId="4" fillId="0" borderId="5" xfId="0" applyNumberFormat="1" applyFont="1" applyFill="1" applyBorder="1" applyAlignment="1">
      <alignment horizontal="center"/>
    </xf>
    <xf numFmtId="0" fontId="13" fillId="0" borderId="5" xfId="0" applyNumberFormat="1" applyFont="1" applyFill="1" applyBorder="1" applyAlignment="1">
      <alignment horizontal="center"/>
    </xf>
    <xf numFmtId="0" fontId="7" fillId="29" borderId="10" xfId="0" applyFont="1" applyFill="1" applyBorder="1" applyAlignment="1">
      <alignment horizontal="center" vertical="center"/>
    </xf>
    <xf numFmtId="0" fontId="4" fillId="29" borderId="10" xfId="0" applyFont="1" applyFill="1" applyBorder="1" applyAlignment="1">
      <alignment horizontal="left"/>
    </xf>
    <xf numFmtId="0" fontId="7" fillId="29" borderId="10" xfId="0" applyFont="1" applyFill="1" applyBorder="1" applyAlignment="1">
      <alignment horizontal="center"/>
    </xf>
    <xf numFmtId="0" fontId="12" fillId="29" borderId="10" xfId="0" applyFont="1" applyFill="1" applyBorder="1" applyAlignment="1">
      <alignment horizontal="center" vertical="center"/>
    </xf>
    <xf numFmtId="0" fontId="8" fillId="29" borderId="10" xfId="0" applyFont="1" applyFill="1" applyBorder="1" applyAlignment="1">
      <alignment horizontal="center"/>
    </xf>
    <xf numFmtId="0" fontId="12" fillId="29" borderId="10" xfId="0" applyFont="1" applyFill="1" applyBorder="1" applyAlignment="1">
      <alignment horizontal="center"/>
    </xf>
    <xf numFmtId="49" fontId="7" fillId="29" borderId="10" xfId="0" applyNumberFormat="1" applyFont="1" applyFill="1" applyBorder="1" applyAlignment="1">
      <alignment horizontal="center" vertical="center"/>
    </xf>
    <xf numFmtId="0" fontId="28" fillId="29" borderId="10" xfId="0" applyFont="1" applyFill="1" applyBorder="1" applyAlignment="1" applyProtection="1">
      <alignment horizontal="left"/>
      <protection locked="0"/>
    </xf>
    <xf numFmtId="0" fontId="0" fillId="23" borderId="0" xfId="0" applyFill="1" applyAlignment="1">
      <alignment horizontal="center"/>
    </xf>
    <xf numFmtId="0" fontId="4" fillId="23" borderId="0" xfId="0" applyFont="1" applyFill="1" applyBorder="1"/>
    <xf numFmtId="0" fontId="4" fillId="23" borderId="0" xfId="0" applyFont="1" applyFill="1" applyBorder="1" applyAlignment="1">
      <alignment horizontal="center"/>
    </xf>
    <xf numFmtId="0" fontId="15" fillId="23" borderId="0" xfId="0" applyFont="1" applyFill="1" applyBorder="1" applyAlignment="1">
      <alignment horizontal="center" wrapText="1"/>
    </xf>
    <xf numFmtId="0" fontId="4" fillId="23" borderId="0" xfId="0" applyFont="1" applyFill="1"/>
    <xf numFmtId="0" fontId="4" fillId="23" borderId="0" xfId="0" applyFont="1" applyFill="1" applyAlignment="1">
      <alignment horizontal="center"/>
    </xf>
    <xf numFmtId="0" fontId="4" fillId="13" borderId="0" xfId="0" applyFont="1" applyFill="1" applyBorder="1"/>
    <xf numFmtId="0" fontId="4" fillId="13" borderId="0" xfId="0" applyFont="1" applyFill="1"/>
    <xf numFmtId="0" fontId="7" fillId="30" borderId="10" xfId="0" applyFont="1" applyFill="1" applyBorder="1" applyAlignment="1">
      <alignment horizontal="center" vertical="center"/>
    </xf>
    <xf numFmtId="0" fontId="4" fillId="30" borderId="10" xfId="0" applyFont="1" applyFill="1" applyBorder="1" applyAlignment="1">
      <alignment horizontal="left"/>
    </xf>
    <xf numFmtId="0" fontId="7" fillId="30" borderId="10" xfId="0" applyFont="1" applyFill="1" applyBorder="1" applyAlignment="1">
      <alignment horizontal="center"/>
    </xf>
    <xf numFmtId="0" fontId="12" fillId="30" borderId="10" xfId="0" applyFont="1" applyFill="1" applyBorder="1" applyAlignment="1">
      <alignment horizontal="center"/>
    </xf>
    <xf numFmtId="0" fontId="8" fillId="30" borderId="10" xfId="0" applyFont="1" applyFill="1" applyBorder="1" applyAlignment="1">
      <alignment horizontal="center"/>
    </xf>
    <xf numFmtId="0" fontId="12" fillId="30" borderId="10" xfId="0" applyFont="1" applyFill="1" applyBorder="1" applyAlignment="1">
      <alignment horizontal="center" vertical="center"/>
    </xf>
    <xf numFmtId="49" fontId="7" fillId="30" borderId="10" xfId="0" applyNumberFormat="1" applyFont="1" applyFill="1" applyBorder="1" applyAlignment="1">
      <alignment horizontal="center" vertical="center"/>
    </xf>
    <xf numFmtId="0" fontId="7" fillId="31" borderId="10" xfId="0" applyFont="1" applyFill="1" applyBorder="1" applyAlignment="1">
      <alignment horizontal="center" vertical="center"/>
    </xf>
    <xf numFmtId="0" fontId="4" fillId="31" borderId="10" xfId="0" applyFont="1" applyFill="1" applyBorder="1" applyAlignment="1">
      <alignment horizontal="left"/>
    </xf>
    <xf numFmtId="0" fontId="7" fillId="31" borderId="10" xfId="0" applyFont="1" applyFill="1" applyBorder="1" applyAlignment="1">
      <alignment horizontal="center"/>
    </xf>
    <xf numFmtId="0" fontId="12" fillId="31" borderId="10" xfId="0" applyFont="1" applyFill="1" applyBorder="1" applyAlignment="1">
      <alignment horizontal="center"/>
    </xf>
    <xf numFmtId="0" fontId="8" fillId="31" borderId="10" xfId="0" applyFont="1" applyFill="1" applyBorder="1" applyAlignment="1">
      <alignment horizontal="center"/>
    </xf>
    <xf numFmtId="0" fontId="12" fillId="31" borderId="10" xfId="0" applyFont="1" applyFill="1" applyBorder="1" applyAlignment="1">
      <alignment horizontal="center" vertical="center"/>
    </xf>
    <xf numFmtId="49" fontId="7" fillId="31" borderId="10" xfId="0" applyNumberFormat="1" applyFont="1" applyFill="1" applyBorder="1" applyAlignment="1">
      <alignment horizontal="center" vertical="center"/>
    </xf>
    <xf numFmtId="0" fontId="28" fillId="31" borderId="10" xfId="0" applyFont="1" applyFill="1" applyBorder="1" applyAlignment="1" applyProtection="1">
      <alignment horizontal="left"/>
      <protection locked="0"/>
    </xf>
    <xf numFmtId="0" fontId="36" fillId="23" borderId="0" xfId="0" applyFont="1" applyFill="1" applyAlignment="1">
      <alignment horizontal="left"/>
    </xf>
    <xf numFmtId="0" fontId="36" fillId="23" borderId="23" xfId="0" applyFont="1" applyFill="1" applyBorder="1" applyAlignment="1">
      <alignment horizontal="left"/>
    </xf>
    <xf numFmtId="0" fontId="11" fillId="14" borderId="0" xfId="0" applyFont="1" applyFill="1" applyAlignment="1">
      <alignment horizontal="center" vertical="center"/>
    </xf>
    <xf numFmtId="0" fontId="11" fillId="13" borderId="0" xfId="0" applyFont="1" applyFill="1" applyAlignment="1">
      <alignment horizontal="center" vertical="center"/>
    </xf>
    <xf numFmtId="0" fontId="31" fillId="16" borderId="0" xfId="0" applyFont="1" applyFill="1" applyBorder="1" applyAlignment="1">
      <alignment horizontal="center"/>
    </xf>
    <xf numFmtId="0" fontId="5" fillId="8" borderId="7" xfId="0" applyFont="1" applyFill="1" applyBorder="1" applyAlignment="1">
      <alignment horizontal="center"/>
    </xf>
    <xf numFmtId="0" fontId="5" fillId="8" borderId="9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5" fillId="2" borderId="8" xfId="0" applyFont="1" applyFill="1" applyBorder="1" applyAlignment="1">
      <alignment horizontal="center"/>
    </xf>
    <xf numFmtId="0" fontId="5" fillId="4" borderId="7" xfId="0" applyFont="1" applyFill="1" applyBorder="1" applyAlignment="1">
      <alignment horizontal="center"/>
    </xf>
    <xf numFmtId="0" fontId="5" fillId="4" borderId="8" xfId="0" applyFont="1" applyFill="1" applyBorder="1" applyAlignment="1">
      <alignment horizontal="center"/>
    </xf>
    <xf numFmtId="0" fontId="5" fillId="5" borderId="7" xfId="0" applyFont="1" applyFill="1" applyBorder="1" applyAlignment="1">
      <alignment horizontal="center"/>
    </xf>
    <xf numFmtId="0" fontId="5" fillId="5" borderId="8" xfId="0" applyFont="1" applyFill="1" applyBorder="1" applyAlignment="1">
      <alignment horizontal="center"/>
    </xf>
    <xf numFmtId="0" fontId="5" fillId="6" borderId="7" xfId="0" applyFont="1" applyFill="1" applyBorder="1" applyAlignment="1">
      <alignment horizontal="center"/>
    </xf>
    <xf numFmtId="0" fontId="5" fillId="6" borderId="8" xfId="0" applyFont="1" applyFill="1" applyBorder="1" applyAlignment="1">
      <alignment horizontal="center"/>
    </xf>
    <xf numFmtId="0" fontId="5" fillId="7" borderId="7" xfId="0" applyFont="1" applyFill="1" applyBorder="1" applyAlignment="1">
      <alignment horizontal="center"/>
    </xf>
    <xf numFmtId="0" fontId="5" fillId="7" borderId="8" xfId="0" applyFont="1" applyFill="1" applyBorder="1" applyAlignment="1">
      <alignment horizontal="center"/>
    </xf>
    <xf numFmtId="0" fontId="5" fillId="8" borderId="7" xfId="0" applyNumberFormat="1" applyFont="1" applyFill="1" applyBorder="1" applyAlignment="1">
      <alignment horizontal="center"/>
    </xf>
    <xf numFmtId="0" fontId="5" fillId="8" borderId="9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5" fillId="2" borderId="8" xfId="0" applyNumberFormat="1" applyFont="1" applyFill="1" applyBorder="1" applyAlignment="1">
      <alignment horizontal="center"/>
    </xf>
    <xf numFmtId="0" fontId="5" fillId="4" borderId="7" xfId="0" applyNumberFormat="1" applyFont="1" applyFill="1" applyBorder="1" applyAlignment="1">
      <alignment horizontal="center"/>
    </xf>
    <xf numFmtId="0" fontId="5" fillId="4" borderId="8" xfId="0" applyNumberFormat="1" applyFont="1" applyFill="1" applyBorder="1" applyAlignment="1">
      <alignment horizontal="center"/>
    </xf>
    <xf numFmtId="0" fontId="5" fillId="5" borderId="7" xfId="0" applyNumberFormat="1" applyFont="1" applyFill="1" applyBorder="1" applyAlignment="1">
      <alignment horizontal="center"/>
    </xf>
    <xf numFmtId="0" fontId="5" fillId="5" borderId="8" xfId="0" applyNumberFormat="1" applyFont="1" applyFill="1" applyBorder="1" applyAlignment="1">
      <alignment horizontal="center"/>
    </xf>
    <xf numFmtId="0" fontId="5" fillId="6" borderId="7" xfId="0" applyNumberFormat="1" applyFont="1" applyFill="1" applyBorder="1" applyAlignment="1">
      <alignment horizontal="center"/>
    </xf>
    <xf numFmtId="0" fontId="5" fillId="6" borderId="8" xfId="0" applyNumberFormat="1" applyFont="1" applyFill="1" applyBorder="1" applyAlignment="1">
      <alignment horizontal="center"/>
    </xf>
    <xf numFmtId="0" fontId="5" fillId="7" borderId="7" xfId="0" applyNumberFormat="1" applyFont="1" applyFill="1" applyBorder="1" applyAlignment="1">
      <alignment horizontal="center"/>
    </xf>
    <xf numFmtId="0" fontId="5" fillId="7" borderId="8" xfId="0" applyNumberFormat="1" applyFont="1" applyFill="1" applyBorder="1" applyAlignment="1">
      <alignment horizontal="center"/>
    </xf>
    <xf numFmtId="0" fontId="5" fillId="0" borderId="0" xfId="0" applyNumberFormat="1" applyFont="1" applyFill="1" applyBorder="1" applyAlignment="1">
      <alignment horizontal="center"/>
    </xf>
    <xf numFmtId="0" fontId="28" fillId="30" borderId="10" xfId="0" applyFont="1" applyFill="1" applyBorder="1" applyAlignment="1" applyProtection="1">
      <alignment horizontal="left"/>
      <protection locked="0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85A644"/>
      <color rgb="FFD6CDE1"/>
      <color rgb="FFFFFF4F"/>
      <color rgb="FFFFFF66"/>
      <color rgb="FFED8411"/>
      <color rgb="FFF6AF22"/>
      <color rgb="FF993366"/>
      <color rgb="FF4A1B1A"/>
      <color rgb="FF336600"/>
      <color rgb="FFFFCC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0</xdr:colOff>
      <xdr:row>131</xdr:row>
      <xdr:rowOff>0</xdr:rowOff>
    </xdr:from>
    <xdr:to>
      <xdr:col>18</xdr:col>
      <xdr:colOff>424295</xdr:colOff>
      <xdr:row>132</xdr:row>
      <xdr:rowOff>147205</xdr:rowOff>
    </xdr:to>
    <xdr:sp macro="[0]!Feuil6.ecr_tabequipe" textlink="">
      <xdr:nvSpPr>
        <xdr:cNvPr id="3" name="Flèche droite 2"/>
        <xdr:cNvSpPr/>
      </xdr:nvSpPr>
      <xdr:spPr>
        <a:xfrm>
          <a:off x="9568295" y="29683364"/>
          <a:ext cx="1376795" cy="372341"/>
        </a:xfrm>
        <a:prstGeom prst="rightArrow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r"/>
          <a:r>
            <a:rPr lang="fr-FR" sz="900"/>
            <a:t>Retour</a:t>
          </a:r>
          <a:r>
            <a:rPr lang="fr-FR" sz="900" baseline="0"/>
            <a:t>   écran   tirage</a:t>
          </a:r>
          <a:endParaRPr lang="fr-FR" sz="900"/>
        </a:p>
      </xdr:txBody>
    </xdr:sp>
    <xdr:clientData/>
  </xdr:twoCellAnchor>
  <xdr:oneCellAnchor>
    <xdr:from>
      <xdr:col>18</xdr:col>
      <xdr:colOff>308796</xdr:colOff>
      <xdr:row>0</xdr:row>
      <xdr:rowOff>62762</xdr:rowOff>
    </xdr:from>
    <xdr:ext cx="615130" cy="455501"/>
    <xdr:sp macro="[0]!Feuil6.plein_ecran" textlink="">
      <xdr:nvSpPr>
        <xdr:cNvPr id="8" name="Flèche vers le haut 7"/>
        <xdr:cNvSpPr/>
      </xdr:nvSpPr>
      <xdr:spPr>
        <a:xfrm>
          <a:off x="10862496" y="62762"/>
          <a:ext cx="615130" cy="455501"/>
        </a:xfrm>
        <a:prstGeom prst="upArrow">
          <a:avLst>
            <a:gd name="adj1" fmla="val 50000"/>
            <a:gd name="adj2" fmla="val 50000"/>
          </a:avLst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lIns="0" tIns="0" rIns="36000" bIns="0" rtlCol="0" anchor="ctr">
          <a:noAutofit/>
        </a:bodyPr>
        <a:lstStyle/>
        <a:p>
          <a:pPr algn="ctr"/>
          <a:r>
            <a:rPr lang="fr-FR" sz="800"/>
            <a:t>plein</a:t>
          </a:r>
        </a:p>
        <a:p>
          <a:pPr algn="ctr"/>
          <a:r>
            <a:rPr lang="fr-FR" sz="800"/>
            <a:t>ecran</a:t>
          </a:r>
        </a:p>
      </xdr:txBody>
    </xdr:sp>
    <xdr:clientData/>
  </xdr:oneCellAnchor>
  <xdr:twoCellAnchor>
    <xdr:from>
      <xdr:col>18</xdr:col>
      <xdr:colOff>314324</xdr:colOff>
      <xdr:row>2</xdr:row>
      <xdr:rowOff>123825</xdr:rowOff>
    </xdr:from>
    <xdr:to>
      <xdr:col>19</xdr:col>
      <xdr:colOff>114299</xdr:colOff>
      <xdr:row>4</xdr:row>
      <xdr:rowOff>161925</xdr:rowOff>
    </xdr:to>
    <xdr:sp macro="[0]!Feuil6.ecran_normal" textlink="">
      <xdr:nvSpPr>
        <xdr:cNvPr id="9" name="Flèche vers le bas 8"/>
        <xdr:cNvSpPr/>
      </xdr:nvSpPr>
      <xdr:spPr>
        <a:xfrm>
          <a:off x="10868024" y="723900"/>
          <a:ext cx="561975" cy="514350"/>
        </a:xfrm>
        <a:prstGeom prst="downArrow">
          <a:avLst>
            <a:gd name="adj1" fmla="val 50000"/>
            <a:gd name="adj2" fmla="val 50000"/>
          </a:avLst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  <a:latin typeface="DejaVu Serif Condensed" pitchFamily="18" charset="0"/>
              <a:ea typeface="DejaVu Serif Condensed" pitchFamily="18" charset="0"/>
            </a:rPr>
            <a:t>fer</a:t>
          </a:r>
        </a:p>
        <a:p>
          <a:pPr algn="ctr"/>
          <a:r>
            <a:rPr lang="fr-FR" sz="800">
              <a:solidFill>
                <a:sysClr val="windowText" lastClr="000000"/>
              </a:solidFill>
              <a:latin typeface="DejaVu Serif Condensed" pitchFamily="18" charset="0"/>
              <a:ea typeface="DejaVu Serif Condensed" pitchFamily="18" charset="0"/>
            </a:rPr>
            <a:t>pl</a:t>
          </a:r>
        </a:p>
        <a:p>
          <a:pPr algn="ctr"/>
          <a:r>
            <a:rPr lang="fr-FR" sz="800">
              <a:solidFill>
                <a:sysClr val="windowText" lastClr="000000"/>
              </a:solidFill>
              <a:latin typeface="DejaVu Serif Condensed" pitchFamily="18" charset="0"/>
              <a:ea typeface="DejaVu Serif Condensed" pitchFamily="18" charset="0"/>
            </a:rPr>
            <a:t>ecr</a:t>
          </a:r>
        </a:p>
      </xdr:txBody>
    </xdr:sp>
    <xdr:clientData/>
  </xdr:twoCellAnchor>
  <xdr:oneCellAnchor>
    <xdr:from>
      <xdr:col>59</xdr:col>
      <xdr:colOff>0</xdr:colOff>
      <xdr:row>0</xdr:row>
      <xdr:rowOff>158012</xdr:rowOff>
    </xdr:from>
    <xdr:ext cx="615130" cy="455501"/>
    <xdr:sp macro="[0]!Feuil6.plein_ecran" textlink="">
      <xdr:nvSpPr>
        <xdr:cNvPr id="10" name="Flèche vers le haut 9"/>
        <xdr:cNvSpPr/>
      </xdr:nvSpPr>
      <xdr:spPr>
        <a:xfrm>
          <a:off x="38799321" y="158012"/>
          <a:ext cx="615130" cy="455501"/>
        </a:xfrm>
        <a:prstGeom prst="upArrow">
          <a:avLst>
            <a:gd name="adj1" fmla="val 50000"/>
            <a:gd name="adj2" fmla="val 50000"/>
          </a:avLst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lIns="0" tIns="0" rIns="36000" bIns="0" rtlCol="0" anchor="ctr">
          <a:noAutofit/>
        </a:bodyPr>
        <a:lstStyle/>
        <a:p>
          <a:pPr algn="ctr"/>
          <a:r>
            <a:rPr lang="fr-FR" sz="800"/>
            <a:t>plein</a:t>
          </a:r>
        </a:p>
        <a:p>
          <a:pPr algn="ctr"/>
          <a:r>
            <a:rPr lang="fr-FR" sz="800"/>
            <a:t>ecran</a:t>
          </a:r>
        </a:p>
      </xdr:txBody>
    </xdr:sp>
    <xdr:clientData/>
  </xdr:oneCellAnchor>
  <xdr:twoCellAnchor>
    <xdr:from>
      <xdr:col>32</xdr:col>
      <xdr:colOff>76200</xdr:colOff>
      <xdr:row>0</xdr:row>
      <xdr:rowOff>276225</xdr:rowOff>
    </xdr:from>
    <xdr:to>
      <xdr:col>32</xdr:col>
      <xdr:colOff>1009650</xdr:colOff>
      <xdr:row>2</xdr:row>
      <xdr:rowOff>19050</xdr:rowOff>
    </xdr:to>
    <xdr:sp macro="[0]!Feuil6.tabl_1" textlink="">
      <xdr:nvSpPr>
        <xdr:cNvPr id="13" name="Organigramme : Disque magnétique 12"/>
        <xdr:cNvSpPr/>
      </xdr:nvSpPr>
      <xdr:spPr>
        <a:xfrm>
          <a:off x="20993100" y="276225"/>
          <a:ext cx="933450" cy="381000"/>
        </a:xfrm>
        <a:prstGeom prst="flowChartMagneticDisk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Tour1</a:t>
          </a:r>
        </a:p>
      </xdr:txBody>
    </xdr:sp>
    <xdr:clientData/>
  </xdr:twoCellAnchor>
  <xdr:twoCellAnchor>
    <xdr:from>
      <xdr:col>32</xdr:col>
      <xdr:colOff>123825</xdr:colOff>
      <xdr:row>2</xdr:row>
      <xdr:rowOff>161926</xdr:rowOff>
    </xdr:from>
    <xdr:to>
      <xdr:col>32</xdr:col>
      <xdr:colOff>1019174</xdr:colOff>
      <xdr:row>3</xdr:row>
      <xdr:rowOff>219076</xdr:rowOff>
    </xdr:to>
    <xdr:sp macro="[0]!Feuil6.tabl_pa" textlink="">
      <xdr:nvSpPr>
        <xdr:cNvPr id="14" name="Organigramme : Disque magnétique 13"/>
        <xdr:cNvSpPr/>
      </xdr:nvSpPr>
      <xdr:spPr>
        <a:xfrm>
          <a:off x="21040725" y="800101"/>
          <a:ext cx="895349" cy="361950"/>
        </a:xfrm>
        <a:prstGeom prst="flowChartMagneticDisk">
          <a:avLst/>
        </a:prstGeom>
        <a:solidFill>
          <a:schemeClr val="tx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Tour</a:t>
          </a:r>
          <a:r>
            <a:rPr lang="fr-FR" sz="1100" b="1" baseline="0">
              <a:solidFill>
                <a:schemeClr val="bg1"/>
              </a:solidFill>
            </a:rPr>
            <a:t> 2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32</xdr:col>
      <xdr:colOff>133350</xdr:colOff>
      <xdr:row>4</xdr:row>
      <xdr:rowOff>276226</xdr:rowOff>
    </xdr:from>
    <xdr:to>
      <xdr:col>32</xdr:col>
      <xdr:colOff>1028699</xdr:colOff>
      <xdr:row>6</xdr:row>
      <xdr:rowOff>28576</xdr:rowOff>
    </xdr:to>
    <xdr:sp macro="[0]!Feuil6.tabl_pa3" textlink="">
      <xdr:nvSpPr>
        <xdr:cNvPr id="15" name="Organigramme : Disque magnétique 14"/>
        <xdr:cNvSpPr/>
      </xdr:nvSpPr>
      <xdr:spPr>
        <a:xfrm>
          <a:off x="21050250" y="1524001"/>
          <a:ext cx="895349" cy="361950"/>
        </a:xfrm>
        <a:prstGeom prst="flowChartMagneticDisk">
          <a:avLst/>
        </a:prstGeom>
        <a:solidFill>
          <a:schemeClr val="accent4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Tour</a:t>
          </a:r>
          <a:r>
            <a:rPr lang="fr-FR" sz="1100" b="1" baseline="0">
              <a:solidFill>
                <a:schemeClr val="bg1"/>
              </a:solidFill>
            </a:rPr>
            <a:t> 3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32</xdr:col>
      <xdr:colOff>123825</xdr:colOff>
      <xdr:row>7</xdr:row>
      <xdr:rowOff>133351</xdr:rowOff>
    </xdr:from>
    <xdr:to>
      <xdr:col>32</xdr:col>
      <xdr:colOff>1019174</xdr:colOff>
      <xdr:row>8</xdr:row>
      <xdr:rowOff>190501</xdr:rowOff>
    </xdr:to>
    <xdr:sp macro="[0]!Feuil6.tabl_pa4" textlink="">
      <xdr:nvSpPr>
        <xdr:cNvPr id="16" name="Organigramme : Disque magnétique 15"/>
        <xdr:cNvSpPr/>
      </xdr:nvSpPr>
      <xdr:spPr>
        <a:xfrm>
          <a:off x="21040725" y="2295526"/>
          <a:ext cx="895349" cy="361950"/>
        </a:xfrm>
        <a:prstGeom prst="flowChartMagneticDisk">
          <a:avLst/>
        </a:prstGeom>
        <a:solidFill>
          <a:schemeClr val="accent6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Tour</a:t>
          </a:r>
          <a:r>
            <a:rPr lang="fr-FR" sz="1100" b="1" baseline="0">
              <a:solidFill>
                <a:schemeClr val="bg1"/>
              </a:solidFill>
            </a:rPr>
            <a:t> 4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33</xdr:col>
      <xdr:colOff>371475</xdr:colOff>
      <xdr:row>14</xdr:row>
      <xdr:rowOff>104775</xdr:rowOff>
    </xdr:from>
    <xdr:to>
      <xdr:col>33</xdr:col>
      <xdr:colOff>1247775</xdr:colOff>
      <xdr:row>16</xdr:row>
      <xdr:rowOff>28575</xdr:rowOff>
    </xdr:to>
    <xdr:sp macro="[0]!ecr_tirage" textlink="">
      <xdr:nvSpPr>
        <xdr:cNvPr id="21" name="Flèche gauche 20"/>
        <xdr:cNvSpPr/>
      </xdr:nvSpPr>
      <xdr:spPr>
        <a:xfrm>
          <a:off x="21202650" y="3638550"/>
          <a:ext cx="876300" cy="381000"/>
        </a:xfrm>
        <a:prstGeom prst="leftArrow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rIns="0" rtlCol="0" anchor="ctr"/>
        <a:lstStyle/>
        <a:p>
          <a:pPr algn="ctr"/>
          <a:r>
            <a:rPr lang="fr-FR" sz="1100"/>
            <a:t>Ecran tirage</a:t>
          </a:r>
        </a:p>
      </xdr:txBody>
    </xdr:sp>
    <xdr:clientData/>
  </xdr:twoCellAnchor>
  <xdr:twoCellAnchor>
    <xdr:from>
      <xdr:col>33</xdr:col>
      <xdr:colOff>704851</xdr:colOff>
      <xdr:row>16</xdr:row>
      <xdr:rowOff>219075</xdr:rowOff>
    </xdr:from>
    <xdr:to>
      <xdr:col>33</xdr:col>
      <xdr:colOff>1524001</xdr:colOff>
      <xdr:row>18</xdr:row>
      <xdr:rowOff>114300</xdr:rowOff>
    </xdr:to>
    <xdr:sp macro="[0]!ecr_64" textlink="">
      <xdr:nvSpPr>
        <xdr:cNvPr id="22" name="Flèche droite 21"/>
        <xdr:cNvSpPr/>
      </xdr:nvSpPr>
      <xdr:spPr>
        <a:xfrm>
          <a:off x="21536026" y="4210050"/>
          <a:ext cx="819150" cy="352425"/>
        </a:xfrm>
        <a:prstGeom prst="rightArrow">
          <a:avLst/>
        </a:prstGeom>
        <a:solidFill>
          <a:schemeClr val="accent6">
            <a:lumMod val="75000"/>
          </a:schemeClr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/>
            <a:t>Ecran 64_4t</a:t>
          </a:r>
        </a:p>
      </xdr:txBody>
    </xdr:sp>
    <xdr:clientData/>
  </xdr:twoCellAnchor>
  <xdr:twoCellAnchor>
    <xdr:from>
      <xdr:col>34</xdr:col>
      <xdr:colOff>83654</xdr:colOff>
      <xdr:row>13</xdr:row>
      <xdr:rowOff>201267</xdr:rowOff>
    </xdr:from>
    <xdr:to>
      <xdr:col>34</xdr:col>
      <xdr:colOff>740879</xdr:colOff>
      <xdr:row>16</xdr:row>
      <xdr:rowOff>86967</xdr:rowOff>
    </xdr:to>
    <xdr:sp macro="[0]!pair_impair" textlink="">
      <xdr:nvSpPr>
        <xdr:cNvPr id="17" name="Rogner un rectangle avec un coin du même côté 16"/>
        <xdr:cNvSpPr/>
      </xdr:nvSpPr>
      <xdr:spPr>
        <a:xfrm>
          <a:off x="22705529" y="3506442"/>
          <a:ext cx="657225" cy="571500"/>
        </a:xfrm>
        <a:prstGeom prst="snip2SameRect">
          <a:avLst/>
        </a:prstGeom>
        <a:solidFill>
          <a:schemeClr val="accent2">
            <a:lumMod val="75000"/>
          </a:schemeClr>
        </a:solidFill>
        <a:ln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tIns="0" bIns="0" rtlCol="0" anchor="ctr"/>
        <a:lstStyle/>
        <a:p>
          <a:pPr algn="ctr"/>
          <a:r>
            <a:rPr lang="fr-FR" sz="1100"/>
            <a:t>Calcul</a:t>
          </a:r>
        </a:p>
        <a:p>
          <a:pPr algn="ctr"/>
          <a:r>
            <a:rPr lang="fr-FR" sz="1100"/>
            <a:t>des </a:t>
          </a:r>
        </a:p>
        <a:p>
          <a:pPr algn="ctr"/>
          <a:r>
            <a:rPr lang="fr-FR" sz="1100"/>
            <a:t>poules</a:t>
          </a:r>
        </a:p>
      </xdr:txBody>
    </xdr:sp>
    <xdr:clientData/>
  </xdr:twoCellAnchor>
  <xdr:twoCellAnchor>
    <xdr:from>
      <xdr:col>33</xdr:col>
      <xdr:colOff>1466022</xdr:colOff>
      <xdr:row>11</xdr:row>
      <xdr:rowOff>91109</xdr:rowOff>
    </xdr:from>
    <xdr:to>
      <xdr:col>33</xdr:col>
      <xdr:colOff>1755913</xdr:colOff>
      <xdr:row>11</xdr:row>
      <xdr:rowOff>173935</xdr:rowOff>
    </xdr:to>
    <xdr:sp macro="" textlink="">
      <xdr:nvSpPr>
        <xdr:cNvPr id="23" name="Flèche droite 22"/>
        <xdr:cNvSpPr/>
      </xdr:nvSpPr>
      <xdr:spPr>
        <a:xfrm>
          <a:off x="22297197" y="2672384"/>
          <a:ext cx="289891" cy="82826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241380</xdr:colOff>
      <xdr:row>0</xdr:row>
      <xdr:rowOff>222446</xdr:rowOff>
    </xdr:from>
    <xdr:to>
      <xdr:col>21</xdr:col>
      <xdr:colOff>435428</xdr:colOff>
      <xdr:row>2</xdr:row>
      <xdr:rowOff>9071</xdr:rowOff>
    </xdr:to>
    <xdr:sp macro="[0]!ecr_resul" textlink="">
      <xdr:nvSpPr>
        <xdr:cNvPr id="2" name="Flèche droite 1"/>
        <xdr:cNvSpPr/>
      </xdr:nvSpPr>
      <xdr:spPr>
        <a:xfrm>
          <a:off x="12106809" y="222446"/>
          <a:ext cx="956048" cy="439768"/>
        </a:xfrm>
        <a:prstGeom prst="rightArrow">
          <a:avLst/>
        </a:prstGeom>
        <a:solidFill>
          <a:schemeClr val="accent2">
            <a:lumMod val="75000"/>
          </a:schemeClr>
        </a:solidFill>
        <a:ln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900"/>
            <a:t>Ecran resultat</a:t>
          </a:r>
        </a:p>
      </xdr:txBody>
    </xdr:sp>
    <xdr:clientData/>
  </xdr:twoCellAnchor>
  <xdr:twoCellAnchor>
    <xdr:from>
      <xdr:col>13</xdr:col>
      <xdr:colOff>33350</xdr:colOff>
      <xdr:row>0</xdr:row>
      <xdr:rowOff>16563</xdr:rowOff>
    </xdr:from>
    <xdr:to>
      <xdr:col>13</xdr:col>
      <xdr:colOff>1113350</xdr:colOff>
      <xdr:row>0</xdr:row>
      <xdr:rowOff>293763</xdr:rowOff>
    </xdr:to>
    <xdr:sp macro="[0]!lanc_tour1" textlink="">
      <xdr:nvSpPr>
        <xdr:cNvPr id="3" name="Rogner un rectangle à un seul coin 2"/>
        <xdr:cNvSpPr/>
      </xdr:nvSpPr>
      <xdr:spPr>
        <a:xfrm>
          <a:off x="7429720" y="16563"/>
          <a:ext cx="1080000" cy="277200"/>
        </a:xfrm>
        <a:prstGeom prst="snip1Rect">
          <a:avLst/>
        </a:prstGeom>
        <a:solidFill>
          <a:schemeClr val="accent4">
            <a:lumMod val="7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numCol="1" spcCol="36000" rtlCol="0" anchor="ctr"/>
        <a:lstStyle/>
        <a:p>
          <a:pPr algn="ctr"/>
          <a:r>
            <a:rPr lang="fr-FR" sz="800"/>
            <a:t>Lancement</a:t>
          </a:r>
          <a:r>
            <a:rPr lang="fr-FR" sz="800" baseline="0"/>
            <a:t> </a:t>
          </a:r>
        </a:p>
        <a:p>
          <a:pPr algn="ctr"/>
          <a:r>
            <a:rPr lang="fr-FR" sz="800" baseline="0"/>
            <a:t>1 er tour</a:t>
          </a:r>
          <a:endParaRPr lang="fr-FR" sz="800"/>
        </a:p>
      </xdr:txBody>
    </xdr:sp>
    <xdr:clientData/>
  </xdr:twoCellAnchor>
  <xdr:twoCellAnchor>
    <xdr:from>
      <xdr:col>13</xdr:col>
      <xdr:colOff>49696</xdr:colOff>
      <xdr:row>1</xdr:row>
      <xdr:rowOff>33132</xdr:rowOff>
    </xdr:from>
    <xdr:to>
      <xdr:col>13</xdr:col>
      <xdr:colOff>1129696</xdr:colOff>
      <xdr:row>1</xdr:row>
      <xdr:rowOff>310332</xdr:rowOff>
    </xdr:to>
    <xdr:sp macro="[0]!lanc_tour2A" textlink="">
      <xdr:nvSpPr>
        <xdr:cNvPr id="4" name="Rogner un rectangle à un seul coin 3"/>
        <xdr:cNvSpPr/>
      </xdr:nvSpPr>
      <xdr:spPr>
        <a:xfrm>
          <a:off x="7446066" y="356154"/>
          <a:ext cx="1080000" cy="277200"/>
        </a:xfrm>
        <a:prstGeom prst="snip1Rect">
          <a:avLst/>
        </a:prstGeom>
        <a:solidFill>
          <a:schemeClr val="accent6">
            <a:lumMod val="7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numCol="1" spcCol="36000" rtlCol="0" anchor="ctr"/>
        <a:lstStyle/>
        <a:p>
          <a:pPr algn="ctr"/>
          <a:r>
            <a:rPr lang="fr-FR" sz="800"/>
            <a:t>Lancement</a:t>
          </a:r>
          <a:r>
            <a:rPr lang="fr-FR" sz="800" baseline="0"/>
            <a:t> </a:t>
          </a:r>
        </a:p>
        <a:p>
          <a:pPr algn="ctr"/>
          <a:r>
            <a:rPr lang="fr-FR" sz="800" baseline="0"/>
            <a:t>2e tour poule A</a:t>
          </a:r>
          <a:endParaRPr lang="fr-FR" sz="800"/>
        </a:p>
      </xdr:txBody>
    </xdr:sp>
    <xdr:clientData/>
  </xdr:twoCellAnchor>
  <xdr:twoCellAnchor>
    <xdr:from>
      <xdr:col>13</xdr:col>
      <xdr:colOff>28162</xdr:colOff>
      <xdr:row>2</xdr:row>
      <xdr:rowOff>49696</xdr:rowOff>
    </xdr:from>
    <xdr:to>
      <xdr:col>13</xdr:col>
      <xdr:colOff>1108162</xdr:colOff>
      <xdr:row>3</xdr:row>
      <xdr:rowOff>3874</xdr:rowOff>
    </xdr:to>
    <xdr:sp macro="[0]!lanc_tour2B" textlink="">
      <xdr:nvSpPr>
        <xdr:cNvPr id="5" name="Rogner un rectangle à un seul coin 4"/>
        <xdr:cNvSpPr/>
      </xdr:nvSpPr>
      <xdr:spPr>
        <a:xfrm>
          <a:off x="7424532" y="695739"/>
          <a:ext cx="1080000" cy="277200"/>
        </a:xfrm>
        <a:prstGeom prst="snip1Rect">
          <a:avLst/>
        </a:prstGeom>
        <a:solidFill>
          <a:schemeClr val="accent6">
            <a:lumMod val="7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numCol="1" spcCol="36000" rtlCol="0" anchor="ctr"/>
        <a:lstStyle/>
        <a:p>
          <a:pPr algn="ctr"/>
          <a:r>
            <a:rPr lang="fr-FR" sz="800"/>
            <a:t>Lancement</a:t>
          </a:r>
          <a:r>
            <a:rPr lang="fr-FR" sz="800" baseline="0"/>
            <a:t> </a:t>
          </a:r>
        </a:p>
        <a:p>
          <a:pPr algn="ctr"/>
          <a:r>
            <a:rPr lang="fr-FR" sz="800" baseline="0"/>
            <a:t>2e tour poule  B</a:t>
          </a:r>
          <a:endParaRPr lang="fr-FR" sz="800"/>
        </a:p>
      </xdr:txBody>
    </xdr:sp>
    <xdr:clientData/>
  </xdr:twoCellAnchor>
  <xdr:twoCellAnchor>
    <xdr:from>
      <xdr:col>13</xdr:col>
      <xdr:colOff>33130</xdr:colOff>
      <xdr:row>3</xdr:row>
      <xdr:rowOff>33130</xdr:rowOff>
    </xdr:from>
    <xdr:to>
      <xdr:col>13</xdr:col>
      <xdr:colOff>1113130</xdr:colOff>
      <xdr:row>3</xdr:row>
      <xdr:rowOff>306730</xdr:rowOff>
    </xdr:to>
    <xdr:sp macro="[0]!lanc_tour3A" textlink="">
      <xdr:nvSpPr>
        <xdr:cNvPr id="6" name="Rogner un rectangle à un seul coin 5"/>
        <xdr:cNvSpPr/>
      </xdr:nvSpPr>
      <xdr:spPr>
        <a:xfrm>
          <a:off x="7429500" y="1002195"/>
          <a:ext cx="1080000" cy="273600"/>
        </a:xfrm>
        <a:prstGeom prst="snip1Rect">
          <a:avLst/>
        </a:prstGeom>
        <a:solidFill>
          <a:schemeClr val="accent3">
            <a:lumMod val="7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numCol="1" spcCol="36000" rtlCol="0" anchor="ctr"/>
        <a:lstStyle/>
        <a:p>
          <a:pPr algn="ctr"/>
          <a:r>
            <a:rPr lang="fr-FR" sz="800"/>
            <a:t>Lancement</a:t>
          </a:r>
          <a:r>
            <a:rPr lang="fr-FR" sz="800" baseline="0"/>
            <a:t> </a:t>
          </a:r>
        </a:p>
        <a:p>
          <a:pPr algn="ctr"/>
          <a:r>
            <a:rPr lang="fr-FR" sz="800" baseline="0"/>
            <a:t>3e tour poule A</a:t>
          </a:r>
          <a:endParaRPr lang="fr-FR" sz="800"/>
        </a:p>
      </xdr:txBody>
    </xdr:sp>
    <xdr:clientData/>
  </xdr:twoCellAnchor>
  <xdr:twoCellAnchor>
    <xdr:from>
      <xdr:col>13</xdr:col>
      <xdr:colOff>41413</xdr:colOff>
      <xdr:row>4</xdr:row>
      <xdr:rowOff>41412</xdr:rowOff>
    </xdr:from>
    <xdr:to>
      <xdr:col>13</xdr:col>
      <xdr:colOff>1110613</xdr:colOff>
      <xdr:row>4</xdr:row>
      <xdr:rowOff>315012</xdr:rowOff>
    </xdr:to>
    <xdr:sp macro="[0]!lanc_tour3B" textlink="">
      <xdr:nvSpPr>
        <xdr:cNvPr id="7" name="Rogner un rectangle à un seul coin 6"/>
        <xdr:cNvSpPr/>
      </xdr:nvSpPr>
      <xdr:spPr>
        <a:xfrm>
          <a:off x="7437783" y="1333499"/>
          <a:ext cx="1069200" cy="273600"/>
        </a:xfrm>
        <a:prstGeom prst="snip1Rect">
          <a:avLst/>
        </a:prstGeom>
        <a:solidFill>
          <a:schemeClr val="accent3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numCol="1" spcCol="36000" rtlCol="0" anchor="ctr"/>
        <a:lstStyle/>
        <a:p>
          <a:pPr algn="ctr"/>
          <a:r>
            <a:rPr lang="fr-FR" sz="800"/>
            <a:t>Lancement</a:t>
          </a:r>
          <a:r>
            <a:rPr lang="fr-FR" sz="800" baseline="0"/>
            <a:t> </a:t>
          </a:r>
        </a:p>
        <a:p>
          <a:pPr algn="ctr"/>
          <a:r>
            <a:rPr lang="fr-FR" sz="800" baseline="0"/>
            <a:t>3e tour poule  B</a:t>
          </a:r>
          <a:endParaRPr lang="fr-FR" sz="800"/>
        </a:p>
      </xdr:txBody>
    </xdr:sp>
    <xdr:clientData/>
  </xdr:twoCellAnchor>
  <xdr:twoCellAnchor>
    <xdr:from>
      <xdr:col>13</xdr:col>
      <xdr:colOff>49695</xdr:colOff>
      <xdr:row>5</xdr:row>
      <xdr:rowOff>33131</xdr:rowOff>
    </xdr:from>
    <xdr:to>
      <xdr:col>13</xdr:col>
      <xdr:colOff>1129695</xdr:colOff>
      <xdr:row>5</xdr:row>
      <xdr:rowOff>321131</xdr:rowOff>
    </xdr:to>
    <xdr:sp macro="[0]!lanc_tour3C" textlink="">
      <xdr:nvSpPr>
        <xdr:cNvPr id="8" name="Rogner un rectangle à un seul coin 7"/>
        <xdr:cNvSpPr/>
      </xdr:nvSpPr>
      <xdr:spPr>
        <a:xfrm>
          <a:off x="7446065" y="1648240"/>
          <a:ext cx="1080000" cy="288000"/>
        </a:xfrm>
        <a:prstGeom prst="snip1Rect">
          <a:avLst/>
        </a:prstGeom>
        <a:solidFill>
          <a:schemeClr val="accent3">
            <a:lumMod val="7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numCol="1" spcCol="36000" rtlCol="0" anchor="ctr"/>
        <a:lstStyle/>
        <a:p>
          <a:pPr algn="ctr"/>
          <a:r>
            <a:rPr lang="fr-FR" sz="800"/>
            <a:t>Lancement</a:t>
          </a:r>
          <a:r>
            <a:rPr lang="fr-FR" sz="800" baseline="0"/>
            <a:t> </a:t>
          </a:r>
        </a:p>
        <a:p>
          <a:pPr algn="ctr"/>
          <a:r>
            <a:rPr lang="fr-FR" sz="800" baseline="0"/>
            <a:t>3e tour poule  C</a:t>
          </a:r>
          <a:endParaRPr lang="fr-FR" sz="800"/>
        </a:p>
      </xdr:txBody>
    </xdr:sp>
    <xdr:clientData/>
  </xdr:twoCellAnchor>
  <xdr:twoCellAnchor>
    <xdr:from>
      <xdr:col>13</xdr:col>
      <xdr:colOff>53009</xdr:colOff>
      <xdr:row>7</xdr:row>
      <xdr:rowOff>19877</xdr:rowOff>
    </xdr:from>
    <xdr:to>
      <xdr:col>13</xdr:col>
      <xdr:colOff>1133009</xdr:colOff>
      <xdr:row>7</xdr:row>
      <xdr:rowOff>293477</xdr:rowOff>
    </xdr:to>
    <xdr:sp macro="[0]!lanc_tour4B" textlink="">
      <xdr:nvSpPr>
        <xdr:cNvPr id="9" name="Rogner un rectangle à un seul coin 8"/>
        <xdr:cNvSpPr/>
      </xdr:nvSpPr>
      <xdr:spPr>
        <a:xfrm>
          <a:off x="7449379" y="2281029"/>
          <a:ext cx="1080000" cy="273600"/>
        </a:xfrm>
        <a:prstGeom prst="snip1Rect">
          <a:avLst/>
        </a:prstGeom>
        <a:solidFill>
          <a:schemeClr val="accent4">
            <a:lumMod val="7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numCol="1" spcCol="36000" rtlCol="0" anchor="ctr"/>
        <a:lstStyle/>
        <a:p>
          <a:pPr algn="ctr"/>
          <a:r>
            <a:rPr lang="fr-FR" sz="800"/>
            <a:t>Lancement</a:t>
          </a:r>
          <a:r>
            <a:rPr lang="fr-FR" sz="800" baseline="0"/>
            <a:t> </a:t>
          </a:r>
        </a:p>
        <a:p>
          <a:pPr algn="ctr"/>
          <a:r>
            <a:rPr lang="fr-FR" sz="800" baseline="0"/>
            <a:t>4 é Tour Poule B</a:t>
          </a:r>
          <a:endParaRPr lang="fr-FR" sz="800"/>
        </a:p>
      </xdr:txBody>
    </xdr:sp>
    <xdr:clientData/>
  </xdr:twoCellAnchor>
  <xdr:twoCellAnchor>
    <xdr:from>
      <xdr:col>13</xdr:col>
      <xdr:colOff>48039</xdr:colOff>
      <xdr:row>6</xdr:row>
      <xdr:rowOff>48040</xdr:rowOff>
    </xdr:from>
    <xdr:to>
      <xdr:col>13</xdr:col>
      <xdr:colOff>1128039</xdr:colOff>
      <xdr:row>6</xdr:row>
      <xdr:rowOff>321640</xdr:rowOff>
    </xdr:to>
    <xdr:sp macro="[0]!lanc_tour4A" textlink="">
      <xdr:nvSpPr>
        <xdr:cNvPr id="10" name="Rogner un rectangle à un seul coin 9"/>
        <xdr:cNvSpPr/>
      </xdr:nvSpPr>
      <xdr:spPr>
        <a:xfrm>
          <a:off x="7444409" y="1986170"/>
          <a:ext cx="1080000" cy="273600"/>
        </a:xfrm>
        <a:prstGeom prst="snip1Rect">
          <a:avLst/>
        </a:prstGeom>
        <a:solidFill>
          <a:schemeClr val="accent4">
            <a:lumMod val="7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numCol="1" spcCol="36000" rtlCol="0" anchor="ctr"/>
        <a:lstStyle/>
        <a:p>
          <a:pPr algn="ctr"/>
          <a:r>
            <a:rPr lang="fr-FR" sz="800"/>
            <a:t>Lancement</a:t>
          </a:r>
          <a:r>
            <a:rPr lang="fr-FR" sz="800" baseline="0"/>
            <a:t> </a:t>
          </a:r>
        </a:p>
        <a:p>
          <a:pPr algn="ctr"/>
          <a:r>
            <a:rPr lang="fr-FR" sz="800" baseline="0"/>
            <a:t>4e tour Poule A</a:t>
          </a:r>
          <a:endParaRPr lang="fr-FR" sz="800"/>
        </a:p>
      </xdr:txBody>
    </xdr:sp>
    <xdr:clientData/>
  </xdr:twoCellAnchor>
  <xdr:twoCellAnchor>
    <xdr:from>
      <xdr:col>4</xdr:col>
      <xdr:colOff>451403</xdr:colOff>
      <xdr:row>3</xdr:row>
      <xdr:rowOff>32377</xdr:rowOff>
    </xdr:from>
    <xdr:to>
      <xdr:col>8</xdr:col>
      <xdr:colOff>441614</xdr:colOff>
      <xdr:row>5</xdr:row>
      <xdr:rowOff>173182</xdr:rowOff>
    </xdr:to>
    <xdr:sp macro="[0]!lanc_tour1_4" textlink="">
      <xdr:nvSpPr>
        <xdr:cNvPr id="12" name="Organigramme : Disque magnétique 11"/>
        <xdr:cNvSpPr/>
      </xdr:nvSpPr>
      <xdr:spPr>
        <a:xfrm>
          <a:off x="2356403" y="993536"/>
          <a:ext cx="1895211" cy="781578"/>
        </a:xfrm>
        <a:prstGeom prst="flowChartMagneticDisk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tIns="0" bIns="0" rtlCol="0" anchor="ctr"/>
        <a:lstStyle/>
        <a:p>
          <a:pPr algn="ctr"/>
          <a:r>
            <a:rPr lang="fr-FR" sz="1100"/>
            <a:t>Lancement des</a:t>
          </a:r>
        </a:p>
        <a:p>
          <a:pPr algn="ctr"/>
          <a:r>
            <a:rPr lang="fr-FR" sz="1100"/>
            <a:t>4 tours</a:t>
          </a:r>
        </a:p>
      </xdr:txBody>
    </xdr:sp>
    <xdr:clientData/>
  </xdr:twoCellAnchor>
  <xdr:twoCellAnchor>
    <xdr:from>
      <xdr:col>20</xdr:col>
      <xdr:colOff>244929</xdr:colOff>
      <xdr:row>3</xdr:row>
      <xdr:rowOff>281215</xdr:rowOff>
    </xdr:from>
    <xdr:to>
      <xdr:col>21</xdr:col>
      <xdr:colOff>438977</xdr:colOff>
      <xdr:row>5</xdr:row>
      <xdr:rowOff>67840</xdr:rowOff>
    </xdr:to>
    <xdr:sp macro="[0]!ecr_64" textlink="">
      <xdr:nvSpPr>
        <xdr:cNvPr id="13" name="Flèche droite 12"/>
        <xdr:cNvSpPr/>
      </xdr:nvSpPr>
      <xdr:spPr>
        <a:xfrm>
          <a:off x="12110358" y="1260929"/>
          <a:ext cx="956048" cy="439768"/>
        </a:xfrm>
        <a:prstGeom prst="rightArrow">
          <a:avLst/>
        </a:prstGeom>
        <a:solidFill>
          <a:schemeClr val="accent2">
            <a:lumMod val="75000"/>
          </a:schemeClr>
        </a:solidFill>
        <a:ln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900"/>
            <a:t>Ecran  64_4t</a:t>
          </a:r>
        </a:p>
      </xdr:txBody>
    </xdr:sp>
    <xdr:clientData/>
  </xdr:twoCellAnchor>
  <xdr:twoCellAnchor>
    <xdr:from>
      <xdr:col>13</xdr:col>
      <xdr:colOff>58205</xdr:colOff>
      <xdr:row>8</xdr:row>
      <xdr:rowOff>16414</xdr:rowOff>
    </xdr:from>
    <xdr:to>
      <xdr:col>13</xdr:col>
      <xdr:colOff>1138205</xdr:colOff>
      <xdr:row>8</xdr:row>
      <xdr:rowOff>290014</xdr:rowOff>
    </xdr:to>
    <xdr:sp macro="[0]!lanc_tour4C" textlink="">
      <xdr:nvSpPr>
        <xdr:cNvPr id="14" name="Rogner un rectangle à un seul coin 13"/>
        <xdr:cNvSpPr/>
      </xdr:nvSpPr>
      <xdr:spPr>
        <a:xfrm>
          <a:off x="6015660" y="2579505"/>
          <a:ext cx="1080000" cy="273600"/>
        </a:xfrm>
        <a:prstGeom prst="snip1Rect">
          <a:avLst/>
        </a:prstGeom>
        <a:solidFill>
          <a:schemeClr val="accent4">
            <a:lumMod val="7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numCol="1" spcCol="36000" rtlCol="0" anchor="ctr"/>
        <a:lstStyle/>
        <a:p>
          <a:pPr algn="ctr"/>
          <a:r>
            <a:rPr lang="fr-FR" sz="800"/>
            <a:t>Lancement</a:t>
          </a:r>
          <a:r>
            <a:rPr lang="fr-FR" sz="800" baseline="0"/>
            <a:t> </a:t>
          </a:r>
        </a:p>
        <a:p>
          <a:pPr algn="ctr"/>
          <a:r>
            <a:rPr lang="fr-FR" sz="800" baseline="0"/>
            <a:t>4 é Tour Poule  C</a:t>
          </a:r>
          <a:endParaRPr lang="fr-FR" sz="800"/>
        </a:p>
      </xdr:txBody>
    </xdr:sp>
    <xdr:clientData/>
  </xdr:twoCellAnchor>
  <xdr:twoCellAnchor>
    <xdr:from>
      <xdr:col>13</xdr:col>
      <xdr:colOff>72060</xdr:colOff>
      <xdr:row>9</xdr:row>
      <xdr:rowOff>30268</xdr:rowOff>
    </xdr:from>
    <xdr:to>
      <xdr:col>13</xdr:col>
      <xdr:colOff>1152060</xdr:colOff>
      <xdr:row>9</xdr:row>
      <xdr:rowOff>303868</xdr:rowOff>
    </xdr:to>
    <xdr:sp macro="[0]!lanc_tour4d" textlink="">
      <xdr:nvSpPr>
        <xdr:cNvPr id="15" name="Rogner un rectangle à un seul coin 14"/>
        <xdr:cNvSpPr/>
      </xdr:nvSpPr>
      <xdr:spPr>
        <a:xfrm>
          <a:off x="6029515" y="2913745"/>
          <a:ext cx="1080000" cy="273600"/>
        </a:xfrm>
        <a:prstGeom prst="snip1Rect">
          <a:avLst/>
        </a:prstGeom>
        <a:solidFill>
          <a:schemeClr val="accent4">
            <a:lumMod val="7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numCol="1" spcCol="36000" rtlCol="0" anchor="ctr"/>
        <a:lstStyle/>
        <a:p>
          <a:pPr algn="ctr"/>
          <a:r>
            <a:rPr lang="fr-FR" sz="800"/>
            <a:t>Lancement</a:t>
          </a:r>
          <a:r>
            <a:rPr lang="fr-FR" sz="800" baseline="0"/>
            <a:t> </a:t>
          </a:r>
        </a:p>
        <a:p>
          <a:pPr algn="ctr"/>
          <a:r>
            <a:rPr lang="fr-FR" sz="800" baseline="0"/>
            <a:t>4 é Tour Poule  D</a:t>
          </a:r>
          <a:endParaRPr lang="fr-FR" sz="8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1028700</xdr:colOff>
      <xdr:row>0</xdr:row>
      <xdr:rowOff>0</xdr:rowOff>
    </xdr:from>
    <xdr:to>
      <xdr:col>22</xdr:col>
      <xdr:colOff>303742</xdr:colOff>
      <xdr:row>11</xdr:row>
      <xdr:rowOff>107962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696700" y="2114550"/>
          <a:ext cx="5371042" cy="1603387"/>
        </a:xfrm>
        <a:prstGeom prst="rect">
          <a:avLst/>
        </a:prstGeom>
      </xdr:spPr>
    </xdr:pic>
    <xdr:clientData/>
  </xdr:twoCellAnchor>
  <xdr:twoCellAnchor editAs="oneCell">
    <xdr:from>
      <xdr:col>14</xdr:col>
      <xdr:colOff>1028700</xdr:colOff>
      <xdr:row>0</xdr:row>
      <xdr:rowOff>0</xdr:rowOff>
    </xdr:from>
    <xdr:to>
      <xdr:col>22</xdr:col>
      <xdr:colOff>570442</xdr:colOff>
      <xdr:row>9</xdr:row>
      <xdr:rowOff>146062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696700" y="2114550"/>
          <a:ext cx="5371042" cy="1603387"/>
        </a:xfrm>
        <a:prstGeom prst="rect">
          <a:avLst/>
        </a:prstGeom>
      </xdr:spPr>
    </xdr:pic>
    <xdr:clientData/>
  </xdr:twoCellAnchor>
  <xdr:twoCellAnchor editAs="oneCell">
    <xdr:from>
      <xdr:col>14</xdr:col>
      <xdr:colOff>1028700</xdr:colOff>
      <xdr:row>11</xdr:row>
      <xdr:rowOff>19050</xdr:rowOff>
    </xdr:from>
    <xdr:to>
      <xdr:col>22</xdr:col>
      <xdr:colOff>570442</xdr:colOff>
      <xdr:row>21</xdr:row>
      <xdr:rowOff>3187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696700" y="2114550"/>
          <a:ext cx="5371042" cy="1603387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cours%2013_08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e utilisation"/>
      <sheetName val="resultat"/>
      <sheetName val="tirage"/>
      <sheetName val="42_64 3t"/>
      <sheetName val="64_4t"/>
      <sheetName val="tirage_po"/>
      <sheetName val="pre_tab"/>
      <sheetName val="comande"/>
      <sheetName val="aff_tab"/>
    </sheetNames>
    <definedNames>
      <definedName name="SelectionAleatoireDesTours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>
    <tabColor rgb="FF00B050"/>
    <pageSetUpPr fitToPage="1"/>
  </sheetPr>
  <dimension ref="A1:BU328"/>
  <sheetViews>
    <sheetView tabSelected="1" topLeftCell="Y1" zoomScaleNormal="100" workbookViewId="0">
      <pane ySplit="2" topLeftCell="A3" activePane="bottomLeft" state="frozen"/>
      <selection activeCell="C32" sqref="C32"/>
      <selection pane="bottomLeft" activeCell="S20" sqref="S20"/>
    </sheetView>
  </sheetViews>
  <sheetFormatPr baseColWidth="10" defaultRowHeight="18"/>
  <cols>
    <col min="1" max="1" width="22.42578125" style="52" customWidth="1"/>
    <col min="2" max="2" width="8" style="17" customWidth="1"/>
    <col min="3" max="3" width="22.42578125" style="52" customWidth="1"/>
    <col min="4" max="15" width="6.140625" style="17" customWidth="1"/>
    <col min="16" max="17" width="11.42578125" style="17"/>
    <col min="18" max="18" width="14.28515625" customWidth="1"/>
    <col min="20" max="22" width="3.140625" customWidth="1"/>
    <col min="23" max="23" width="17.28515625" customWidth="1"/>
    <col min="24" max="24" width="3.140625" customWidth="1"/>
    <col min="25" max="25" width="10.85546875" customWidth="1"/>
    <col min="26" max="26" width="7.85546875" style="21" customWidth="1"/>
    <col min="27" max="27" width="6.85546875" style="8" customWidth="1"/>
    <col min="28" max="28" width="26.85546875" style="96" customWidth="1"/>
    <col min="29" max="30" width="10.5703125" style="8" customWidth="1"/>
    <col min="31" max="31" width="10.85546875" style="12" customWidth="1"/>
    <col min="32" max="32" width="5.85546875" customWidth="1"/>
    <col min="33" max="33" width="17.140625" customWidth="1"/>
    <col min="34" max="34" width="26.85546875" customWidth="1"/>
    <col min="35" max="35" width="13.7109375" customWidth="1"/>
    <col min="36" max="36" width="6" customWidth="1"/>
    <col min="37" max="37" width="6.7109375" customWidth="1"/>
    <col min="38" max="38" width="7.7109375" style="32" customWidth="1"/>
    <col min="39" max="39" width="22" style="43" customWidth="1"/>
    <col min="40" max="40" width="7.7109375" style="32" customWidth="1"/>
    <col min="41" max="41" width="22" style="43" customWidth="1"/>
    <col min="42" max="42" width="8.7109375" style="62" customWidth="1"/>
    <col min="43" max="43" width="24.28515625" style="43" customWidth="1"/>
    <col min="44" max="44" width="7.42578125" style="99" customWidth="1"/>
    <col min="45" max="45" width="24.28515625" style="99" customWidth="1"/>
    <col min="46" max="46" width="6.42578125" style="99" customWidth="1"/>
    <col min="47" max="47" width="24.28515625" style="99" customWidth="1"/>
    <col min="48" max="48" width="7.85546875" style="43" customWidth="1"/>
    <col min="49" max="49" width="24.5703125" style="43" customWidth="1"/>
    <col min="50" max="50" width="7.5703125" style="99" customWidth="1"/>
    <col min="51" max="51" width="24.28515625" style="99" customWidth="1"/>
    <col min="52" max="52" width="8" style="99" customWidth="1"/>
    <col min="53" max="53" width="24.28515625" style="99" customWidth="1"/>
    <col min="54" max="54" width="6.85546875" style="99" customWidth="1"/>
    <col min="55" max="55" width="24.28515625" style="99" customWidth="1"/>
    <col min="56" max="56" width="6.42578125" style="99" customWidth="1"/>
    <col min="57" max="57" width="24.28515625" style="99" customWidth="1"/>
    <col min="58" max="59" width="24.28515625" style="43" customWidth="1"/>
    <col min="62" max="62" width="11.7109375" style="43" customWidth="1"/>
  </cols>
  <sheetData>
    <row r="1" spans="1:73" ht="20.25" customHeight="1" thickBot="1">
      <c r="A1" s="109" t="s">
        <v>45</v>
      </c>
      <c r="B1" s="26">
        <v>1</v>
      </c>
      <c r="C1" s="65" t="s">
        <v>45</v>
      </c>
      <c r="D1" s="14">
        <v>3</v>
      </c>
      <c r="E1" s="14">
        <v>13</v>
      </c>
      <c r="F1" s="15">
        <v>10</v>
      </c>
      <c r="G1" s="15">
        <v>13</v>
      </c>
      <c r="H1" s="14">
        <v>5</v>
      </c>
      <c r="I1" s="14">
        <v>13</v>
      </c>
      <c r="J1" s="15"/>
      <c r="K1" s="15"/>
      <c r="L1" s="14"/>
      <c r="M1" s="14"/>
      <c r="N1" s="15"/>
      <c r="O1" s="15"/>
      <c r="P1" s="16">
        <f t="shared" ref="P1:P64" si="0">(D1+F1+H1+J1+L1+N1)-(E1+G1+I1+K1+M1+O1)</f>
        <v>-21</v>
      </c>
      <c r="Q1" s="26">
        <f t="shared" ref="Q1:Q64" si="1">COUNTIF(D1,13)+COUNTIF(F1,13)+COUNTIF(H1,13)+COUNTIF(J1,13)+COUNTIF(L1,13)+COUNTIF(N1,13)</f>
        <v>0</v>
      </c>
      <c r="R1" s="18">
        <f>P130</f>
        <v>0</v>
      </c>
      <c r="Y1" s="10"/>
      <c r="Z1" s="192" t="s">
        <v>8</v>
      </c>
      <c r="AA1" s="192"/>
      <c r="AB1" s="192"/>
      <c r="AC1" s="192"/>
      <c r="AD1" s="192"/>
      <c r="AE1" s="10"/>
      <c r="AH1" s="194" t="s">
        <v>26</v>
      </c>
      <c r="AI1" s="194"/>
      <c r="AJ1" s="101"/>
      <c r="AK1" s="107"/>
      <c r="AL1" s="70">
        <v>1</v>
      </c>
      <c r="AM1" s="67" t="s">
        <v>45</v>
      </c>
      <c r="AN1" s="167">
        <v>21</v>
      </c>
      <c r="AO1" s="168" t="s">
        <v>64</v>
      </c>
      <c r="AP1" s="169">
        <v>32</v>
      </c>
      <c r="AQ1" s="168" t="s">
        <v>75</v>
      </c>
      <c r="AR1" s="173">
        <v>47</v>
      </c>
      <c r="AS1" s="173" t="s">
        <v>90</v>
      </c>
      <c r="AT1" s="173">
        <v>21</v>
      </c>
      <c r="AU1" s="173" t="s">
        <v>64</v>
      </c>
      <c r="AV1" s="173">
        <v>31</v>
      </c>
      <c r="AW1" s="173" t="s">
        <v>74</v>
      </c>
      <c r="AX1" s="67">
        <v>47</v>
      </c>
      <c r="AY1" s="67" t="s">
        <v>90</v>
      </c>
      <c r="AZ1" s="67">
        <v>41</v>
      </c>
      <c r="BA1" s="67" t="s">
        <v>84</v>
      </c>
      <c r="BB1" s="67">
        <v>17</v>
      </c>
      <c r="BC1" s="67" t="s">
        <v>60</v>
      </c>
      <c r="BD1" s="67">
        <v>37</v>
      </c>
      <c r="BE1" s="67" t="s">
        <v>80</v>
      </c>
      <c r="BF1" s="168"/>
      <c r="BG1" s="168"/>
      <c r="BH1" s="193"/>
      <c r="BI1" s="193"/>
      <c r="BJ1" s="41"/>
      <c r="BM1">
        <v>1</v>
      </c>
      <c r="BU1">
        <v>1</v>
      </c>
    </row>
    <row r="2" spans="1:73" ht="20.25" customHeight="1" thickBot="1">
      <c r="A2" s="109" t="s">
        <v>46</v>
      </c>
      <c r="B2" s="161">
        <v>2</v>
      </c>
      <c r="C2" s="160" t="s">
        <v>46</v>
      </c>
      <c r="D2" s="14">
        <v>7</v>
      </c>
      <c r="E2" s="14">
        <v>13</v>
      </c>
      <c r="F2" s="15">
        <v>13</v>
      </c>
      <c r="G2" s="15">
        <v>9</v>
      </c>
      <c r="H2" s="14">
        <v>1</v>
      </c>
      <c r="I2" s="14">
        <v>13</v>
      </c>
      <c r="J2" s="15"/>
      <c r="K2" s="15"/>
      <c r="L2" s="14"/>
      <c r="M2" s="14"/>
      <c r="N2" s="15"/>
      <c r="O2" s="15"/>
      <c r="P2" s="16">
        <f t="shared" si="0"/>
        <v>-14</v>
      </c>
      <c r="Q2" s="161">
        <f t="shared" si="1"/>
        <v>1</v>
      </c>
      <c r="Y2" s="10"/>
      <c r="Z2" s="19"/>
      <c r="AA2" s="28" t="s">
        <v>9</v>
      </c>
      <c r="AB2" s="95" t="s">
        <v>10</v>
      </c>
      <c r="AC2" s="11" t="s">
        <v>11</v>
      </c>
      <c r="AD2" s="11" t="s">
        <v>12</v>
      </c>
      <c r="AE2" s="10"/>
      <c r="AH2" s="90" t="s">
        <v>40</v>
      </c>
      <c r="AI2" s="115">
        <v>48</v>
      </c>
      <c r="AJ2" s="101">
        <f>tirage!T1</f>
        <v>48</v>
      </c>
      <c r="AK2" s="107">
        <f>AI2/2</f>
        <v>24</v>
      </c>
      <c r="AL2" s="70">
        <v>2</v>
      </c>
      <c r="AM2" s="67" t="s">
        <v>46</v>
      </c>
      <c r="AN2" s="167">
        <v>39</v>
      </c>
      <c r="AO2" s="168" t="s">
        <v>82</v>
      </c>
      <c r="AP2" s="169">
        <v>14</v>
      </c>
      <c r="AQ2" s="168" t="s">
        <v>58</v>
      </c>
      <c r="AR2" s="173">
        <v>39</v>
      </c>
      <c r="AS2" s="173" t="s">
        <v>82</v>
      </c>
      <c r="AT2" s="173">
        <v>41</v>
      </c>
      <c r="AU2" s="173" t="s">
        <v>84</v>
      </c>
      <c r="AV2" s="173">
        <v>14</v>
      </c>
      <c r="AW2" s="173" t="s">
        <v>58</v>
      </c>
      <c r="AX2" s="67">
        <v>39</v>
      </c>
      <c r="AY2" s="67" t="s">
        <v>82</v>
      </c>
      <c r="AZ2" s="67">
        <v>30</v>
      </c>
      <c r="BA2" s="67" t="s">
        <v>73</v>
      </c>
      <c r="BB2" s="67">
        <v>21</v>
      </c>
      <c r="BC2" s="67" t="s">
        <v>64</v>
      </c>
      <c r="BD2" s="67">
        <v>38</v>
      </c>
      <c r="BE2" s="67" t="s">
        <v>81</v>
      </c>
      <c r="BF2" s="168"/>
      <c r="BG2" s="168"/>
      <c r="BH2" s="46"/>
      <c r="BI2" s="47"/>
      <c r="BJ2" s="41"/>
      <c r="BM2">
        <v>2</v>
      </c>
      <c r="BU2">
        <v>2</v>
      </c>
    </row>
    <row r="3" spans="1:73" ht="20.25" customHeight="1">
      <c r="A3" s="109" t="s">
        <v>47</v>
      </c>
      <c r="B3" s="159">
        <v>3</v>
      </c>
      <c r="C3" s="160" t="s">
        <v>47</v>
      </c>
      <c r="D3" s="14">
        <v>9</v>
      </c>
      <c r="E3" s="14">
        <v>13</v>
      </c>
      <c r="F3" s="15">
        <v>13</v>
      </c>
      <c r="G3" s="15">
        <v>10</v>
      </c>
      <c r="H3" s="14">
        <v>9</v>
      </c>
      <c r="I3" s="14">
        <v>13</v>
      </c>
      <c r="J3" s="15"/>
      <c r="K3" s="15"/>
      <c r="L3" s="14"/>
      <c r="M3" s="14"/>
      <c r="N3" s="15"/>
      <c r="O3" s="15"/>
      <c r="P3" s="16">
        <f t="shared" si="0"/>
        <v>-5</v>
      </c>
      <c r="Q3" s="161">
        <f t="shared" si="1"/>
        <v>1</v>
      </c>
      <c r="W3" s="37"/>
      <c r="Y3" s="10"/>
      <c r="Z3" s="20">
        <v>1</v>
      </c>
      <c r="AA3" s="185">
        <v>47</v>
      </c>
      <c r="AB3" s="183" t="str">
        <f ca="1">INDIRECT("c47")</f>
        <v>PATRICK - ERIC</v>
      </c>
      <c r="AC3" s="186">
        <f ca="1">INDIRECT("q47")</f>
        <v>3</v>
      </c>
      <c r="AD3" s="186">
        <f ca="1">INDIRECT("p47")</f>
        <v>29</v>
      </c>
      <c r="AE3" s="10"/>
      <c r="AH3" s="85" t="s">
        <v>25</v>
      </c>
      <c r="AI3" s="116">
        <v>24</v>
      </c>
      <c r="AJ3" s="101">
        <f>tirage!T2</f>
        <v>24</v>
      </c>
      <c r="AK3" s="107">
        <f>AI3/2</f>
        <v>12</v>
      </c>
      <c r="AL3" s="70">
        <v>3</v>
      </c>
      <c r="AM3" s="67" t="s">
        <v>47</v>
      </c>
      <c r="AN3" s="167">
        <v>30</v>
      </c>
      <c r="AO3" s="168" t="s">
        <v>73</v>
      </c>
      <c r="AP3" s="169">
        <v>31</v>
      </c>
      <c r="AQ3" s="168" t="s">
        <v>74</v>
      </c>
      <c r="AR3" s="173">
        <v>20</v>
      </c>
      <c r="AS3" s="173" t="s">
        <v>63</v>
      </c>
      <c r="AT3" s="173">
        <v>44</v>
      </c>
      <c r="AU3" s="173" t="s">
        <v>87</v>
      </c>
      <c r="AV3" s="173">
        <v>37</v>
      </c>
      <c r="AW3" s="173" t="s">
        <v>80</v>
      </c>
      <c r="AX3" s="67">
        <v>20</v>
      </c>
      <c r="AY3" s="67" t="s">
        <v>63</v>
      </c>
      <c r="AZ3" s="67">
        <v>29</v>
      </c>
      <c r="BA3" s="67" t="s">
        <v>15</v>
      </c>
      <c r="BB3" s="67">
        <v>31</v>
      </c>
      <c r="BC3" s="67" t="s">
        <v>74</v>
      </c>
      <c r="BD3" s="67">
        <v>14</v>
      </c>
      <c r="BE3" s="67" t="s">
        <v>58</v>
      </c>
      <c r="BF3" s="168"/>
      <c r="BG3" s="168"/>
      <c r="BH3" s="31"/>
      <c r="BI3" s="31"/>
      <c r="BJ3" s="44"/>
      <c r="BM3">
        <v>3</v>
      </c>
      <c r="BU3">
        <v>3</v>
      </c>
    </row>
    <row r="4" spans="1:73" ht="20.25" customHeight="1" thickBot="1">
      <c r="A4" s="109" t="s">
        <v>48</v>
      </c>
      <c r="B4" s="175">
        <v>4</v>
      </c>
      <c r="C4" s="176" t="s">
        <v>48</v>
      </c>
      <c r="D4" s="14">
        <v>13</v>
      </c>
      <c r="E4" s="14">
        <v>7</v>
      </c>
      <c r="F4" s="15">
        <v>8</v>
      </c>
      <c r="G4" s="15">
        <v>13</v>
      </c>
      <c r="H4" s="14">
        <v>13</v>
      </c>
      <c r="I4" s="14">
        <v>4</v>
      </c>
      <c r="J4" s="15"/>
      <c r="K4" s="15"/>
      <c r="L4" s="14"/>
      <c r="M4" s="14"/>
      <c r="N4" s="15"/>
      <c r="O4" s="15"/>
      <c r="P4" s="16">
        <f t="shared" si="0"/>
        <v>10</v>
      </c>
      <c r="Q4" s="177">
        <f t="shared" si="1"/>
        <v>2</v>
      </c>
      <c r="W4" s="36"/>
      <c r="Y4" s="10"/>
      <c r="Z4" s="20">
        <v>2</v>
      </c>
      <c r="AA4" s="185">
        <v>39</v>
      </c>
      <c r="AB4" s="183" t="str">
        <f ca="1">INDIRECT("c39")</f>
        <v>MURMURE - JACKY</v>
      </c>
      <c r="AC4" s="186">
        <f ca="1">INDIRECT("q39")</f>
        <v>3</v>
      </c>
      <c r="AD4" s="186">
        <f ca="1">INDIRECT("p39")</f>
        <v>25</v>
      </c>
      <c r="AE4" s="10"/>
      <c r="AH4" s="86" t="s">
        <v>27</v>
      </c>
      <c r="AI4" s="117">
        <v>24</v>
      </c>
      <c r="AJ4" s="101">
        <f>tirage!T3</f>
        <v>24</v>
      </c>
      <c r="AK4" s="107">
        <f>AI4/2</f>
        <v>12</v>
      </c>
      <c r="AL4" s="70">
        <v>4</v>
      </c>
      <c r="AM4" s="67" t="s">
        <v>48</v>
      </c>
      <c r="AN4" s="167">
        <v>44</v>
      </c>
      <c r="AO4" s="168" t="s">
        <v>87</v>
      </c>
      <c r="AP4" s="169">
        <v>37</v>
      </c>
      <c r="AQ4" s="168" t="s">
        <v>80</v>
      </c>
      <c r="AR4" s="173">
        <v>22</v>
      </c>
      <c r="AS4" s="173" t="s">
        <v>65</v>
      </c>
      <c r="AT4" s="173">
        <v>17</v>
      </c>
      <c r="AU4" s="173" t="s">
        <v>60</v>
      </c>
      <c r="AV4" s="173">
        <v>38</v>
      </c>
      <c r="AW4" s="173" t="s">
        <v>81</v>
      </c>
      <c r="AX4" s="67">
        <v>6</v>
      </c>
      <c r="AY4" s="67" t="s">
        <v>50</v>
      </c>
      <c r="AZ4" s="67">
        <v>36</v>
      </c>
      <c r="BA4" s="67" t="s">
        <v>79</v>
      </c>
      <c r="BB4" s="67">
        <v>34</v>
      </c>
      <c r="BC4" s="67" t="s">
        <v>77</v>
      </c>
      <c r="BD4" s="67">
        <v>40</v>
      </c>
      <c r="BE4" s="67" t="s">
        <v>83</v>
      </c>
      <c r="BF4" s="168"/>
      <c r="BG4" s="168"/>
      <c r="BH4" s="31"/>
      <c r="BI4" s="31"/>
      <c r="BJ4" s="44"/>
      <c r="BM4">
        <v>4</v>
      </c>
      <c r="BU4">
        <v>4</v>
      </c>
    </row>
    <row r="5" spans="1:73" ht="20.25" customHeight="1">
      <c r="A5" s="109" t="s">
        <v>49</v>
      </c>
      <c r="B5" s="159">
        <v>5</v>
      </c>
      <c r="C5" s="160" t="s">
        <v>49</v>
      </c>
      <c r="D5" s="14">
        <v>8</v>
      </c>
      <c r="E5" s="14">
        <v>13</v>
      </c>
      <c r="F5" s="15">
        <v>13</v>
      </c>
      <c r="G5" s="15">
        <v>11</v>
      </c>
      <c r="H5" s="14">
        <v>4</v>
      </c>
      <c r="I5" s="14">
        <v>13</v>
      </c>
      <c r="J5" s="15"/>
      <c r="K5" s="15"/>
      <c r="L5" s="14"/>
      <c r="M5" s="14"/>
      <c r="N5" s="15"/>
      <c r="O5" s="15"/>
      <c r="P5" s="16">
        <f t="shared" si="0"/>
        <v>-12</v>
      </c>
      <c r="Q5" s="161">
        <f t="shared" si="1"/>
        <v>1</v>
      </c>
      <c r="W5" s="36"/>
      <c r="Y5" s="10"/>
      <c r="Z5" s="20">
        <v>3</v>
      </c>
      <c r="AA5" s="185">
        <v>20</v>
      </c>
      <c r="AB5" s="183" t="str">
        <f ca="1">INDIRECT("C20")</f>
        <v>PATRICK - DIDIER</v>
      </c>
      <c r="AC5" s="186">
        <f ca="1">INDIRECT("q20")</f>
        <v>3</v>
      </c>
      <c r="AD5" s="186">
        <f ca="1">INDIRECT("p20")</f>
        <v>18</v>
      </c>
      <c r="AE5" s="10"/>
      <c r="AH5" s="87" t="s">
        <v>28</v>
      </c>
      <c r="AI5" s="103">
        <v>12</v>
      </c>
      <c r="AJ5" s="101">
        <f>tirage!T4</f>
        <v>12</v>
      </c>
      <c r="AK5" s="107">
        <f>AI5/2</f>
        <v>6</v>
      </c>
      <c r="AL5" s="70">
        <v>5</v>
      </c>
      <c r="AM5" s="67" t="s">
        <v>49</v>
      </c>
      <c r="AN5" s="167">
        <v>20</v>
      </c>
      <c r="AO5" s="168" t="s">
        <v>63</v>
      </c>
      <c r="AP5" s="169">
        <v>3</v>
      </c>
      <c r="AQ5" s="168" t="s">
        <v>47</v>
      </c>
      <c r="AR5" s="173">
        <v>19</v>
      </c>
      <c r="AS5" s="173" t="s">
        <v>62</v>
      </c>
      <c r="AT5" s="173">
        <v>32</v>
      </c>
      <c r="AU5" s="173" t="s">
        <v>75</v>
      </c>
      <c r="AV5" s="173">
        <v>8</v>
      </c>
      <c r="AW5" s="173" t="s">
        <v>52</v>
      </c>
      <c r="AX5" s="67">
        <v>7</v>
      </c>
      <c r="AY5" s="67" t="s">
        <v>51</v>
      </c>
      <c r="AZ5" s="67">
        <v>43</v>
      </c>
      <c r="BA5" s="67" t="s">
        <v>86</v>
      </c>
      <c r="BB5" s="67">
        <v>8</v>
      </c>
      <c r="BC5" s="67" t="s">
        <v>52</v>
      </c>
      <c r="BD5" s="67">
        <v>1</v>
      </c>
      <c r="BE5" s="67" t="s">
        <v>45</v>
      </c>
      <c r="BF5" s="168"/>
      <c r="BG5" s="168"/>
      <c r="BH5" s="31"/>
      <c r="BI5" s="31"/>
      <c r="BJ5" s="44"/>
      <c r="BM5">
        <v>5</v>
      </c>
      <c r="BU5">
        <v>5</v>
      </c>
    </row>
    <row r="6" spans="1:73" ht="20.25" customHeight="1">
      <c r="A6" s="109" t="s">
        <v>50</v>
      </c>
      <c r="B6" s="182">
        <v>6</v>
      </c>
      <c r="C6" s="183" t="s">
        <v>50</v>
      </c>
      <c r="D6" s="14">
        <v>13</v>
      </c>
      <c r="E6" s="14">
        <v>9</v>
      </c>
      <c r="F6" s="15">
        <v>13</v>
      </c>
      <c r="G6" s="15">
        <v>4</v>
      </c>
      <c r="H6" s="14">
        <v>13</v>
      </c>
      <c r="I6" s="14">
        <v>8</v>
      </c>
      <c r="J6" s="15"/>
      <c r="K6" s="15"/>
      <c r="L6" s="14"/>
      <c r="M6" s="14"/>
      <c r="N6" s="15"/>
      <c r="O6" s="15"/>
      <c r="P6" s="16">
        <f t="shared" si="0"/>
        <v>18</v>
      </c>
      <c r="Q6" s="184">
        <f t="shared" si="1"/>
        <v>3</v>
      </c>
      <c r="R6" s="35"/>
      <c r="S6" s="83"/>
      <c r="W6" s="36"/>
      <c r="Y6" s="10"/>
      <c r="Z6" s="20">
        <v>4</v>
      </c>
      <c r="AA6" s="187">
        <v>6</v>
      </c>
      <c r="AB6" s="183" t="str">
        <f ca="1">INDIRECT("c6")</f>
        <v>MARGOT - DOMINIQUE</v>
      </c>
      <c r="AC6" s="186">
        <f ca="1">INDIRECT("q6")</f>
        <v>3</v>
      </c>
      <c r="AD6" s="186">
        <f ca="1">INDIRECT("p6")</f>
        <v>18</v>
      </c>
      <c r="AE6" s="10"/>
      <c r="AG6" s="93" t="s">
        <v>33</v>
      </c>
      <c r="AH6" s="88" t="s">
        <v>29</v>
      </c>
      <c r="AI6" s="118">
        <v>24</v>
      </c>
      <c r="AJ6" s="101">
        <f>tirage!T5</f>
        <v>24</v>
      </c>
      <c r="AK6" s="107">
        <f>AI5+AI6</f>
        <v>36</v>
      </c>
      <c r="AL6" s="70">
        <v>6</v>
      </c>
      <c r="AM6" s="67" t="s">
        <v>50</v>
      </c>
      <c r="AN6" s="167">
        <v>26</v>
      </c>
      <c r="AO6" s="168" t="s">
        <v>70</v>
      </c>
      <c r="AP6" s="169">
        <v>11</v>
      </c>
      <c r="AQ6" s="168" t="s">
        <v>55</v>
      </c>
      <c r="AR6" s="173">
        <v>43</v>
      </c>
      <c r="AS6" s="173" t="s">
        <v>86</v>
      </c>
      <c r="AT6" s="173">
        <v>30</v>
      </c>
      <c r="AU6" s="173" t="s">
        <v>73</v>
      </c>
      <c r="AV6" s="173">
        <v>34</v>
      </c>
      <c r="AW6" s="173" t="s">
        <v>77</v>
      </c>
      <c r="AX6" s="67">
        <v>23</v>
      </c>
      <c r="AY6" s="67" t="s">
        <v>66</v>
      </c>
      <c r="AZ6" s="67">
        <v>4</v>
      </c>
      <c r="BA6" s="67" t="s">
        <v>48</v>
      </c>
      <c r="BB6" s="67">
        <v>33</v>
      </c>
      <c r="BC6" s="67" t="s">
        <v>76</v>
      </c>
      <c r="BD6" s="67">
        <v>12</v>
      </c>
      <c r="BE6" s="67" t="s">
        <v>56</v>
      </c>
      <c r="BF6" s="168"/>
      <c r="BG6" s="168"/>
      <c r="BH6" s="31"/>
      <c r="BI6" s="31"/>
      <c r="BJ6" s="44"/>
      <c r="BM6">
        <v>6</v>
      </c>
      <c r="BU6">
        <v>6</v>
      </c>
    </row>
    <row r="7" spans="1:73" ht="20.25" customHeight="1" thickBot="1">
      <c r="A7" s="109" t="s">
        <v>51</v>
      </c>
      <c r="B7" s="182">
        <v>7</v>
      </c>
      <c r="C7" s="183" t="s">
        <v>51</v>
      </c>
      <c r="D7" s="14">
        <v>13</v>
      </c>
      <c r="E7" s="14">
        <v>11</v>
      </c>
      <c r="F7" s="15">
        <v>13</v>
      </c>
      <c r="G7" s="15">
        <v>8</v>
      </c>
      <c r="H7" s="14">
        <v>13</v>
      </c>
      <c r="I7" s="14">
        <v>11</v>
      </c>
      <c r="J7" s="15"/>
      <c r="K7" s="15"/>
      <c r="L7" s="14"/>
      <c r="M7" s="14"/>
      <c r="N7" s="15"/>
      <c r="O7" s="15"/>
      <c r="P7" s="16">
        <f t="shared" si="0"/>
        <v>9</v>
      </c>
      <c r="Q7" s="184">
        <f t="shared" si="1"/>
        <v>3</v>
      </c>
      <c r="R7" s="35"/>
      <c r="S7" s="83"/>
      <c r="W7" s="36"/>
      <c r="Y7" s="10"/>
      <c r="Z7" s="20">
        <v>5</v>
      </c>
      <c r="AA7" s="187">
        <v>7</v>
      </c>
      <c r="AB7" s="183" t="str">
        <f ca="1">INDIRECT("c7")</f>
        <v>JOCELYNE - JACQUES</v>
      </c>
      <c r="AC7" s="186">
        <f ca="1">INDIRECT("q7")</f>
        <v>3</v>
      </c>
      <c r="AD7" s="186">
        <f ca="1">INDIRECT("p7")</f>
        <v>9</v>
      </c>
      <c r="AE7" s="10"/>
      <c r="AH7" s="89" t="s">
        <v>30</v>
      </c>
      <c r="AI7" s="104">
        <v>12</v>
      </c>
      <c r="AJ7" s="101">
        <f>tirage!T6</f>
        <v>12</v>
      </c>
      <c r="AK7" s="107">
        <f>AI5+AI6+AI7</f>
        <v>48</v>
      </c>
      <c r="AL7" s="70">
        <v>7</v>
      </c>
      <c r="AM7" s="67" t="s">
        <v>51</v>
      </c>
      <c r="AN7" s="167">
        <v>42</v>
      </c>
      <c r="AO7" s="168" t="s">
        <v>85</v>
      </c>
      <c r="AP7" s="169">
        <v>34</v>
      </c>
      <c r="AQ7" s="168" t="s">
        <v>77</v>
      </c>
      <c r="AR7" s="173">
        <v>6</v>
      </c>
      <c r="AS7" s="173" t="s">
        <v>50</v>
      </c>
      <c r="AT7" s="173">
        <v>33</v>
      </c>
      <c r="AU7" s="173" t="s">
        <v>76</v>
      </c>
      <c r="AV7" s="173">
        <v>1</v>
      </c>
      <c r="AW7" s="173" t="s">
        <v>45</v>
      </c>
      <c r="AX7" s="67"/>
      <c r="AY7" s="67"/>
      <c r="AZ7" s="67">
        <v>11</v>
      </c>
      <c r="BA7" s="67" t="s">
        <v>55</v>
      </c>
      <c r="BB7" s="67">
        <v>44</v>
      </c>
      <c r="BC7" s="67" t="s">
        <v>87</v>
      </c>
      <c r="BD7" s="67"/>
      <c r="BE7" s="67"/>
      <c r="BF7" s="168"/>
      <c r="BG7" s="168"/>
      <c r="BH7" s="31"/>
      <c r="BI7" s="31"/>
      <c r="BJ7" s="44"/>
      <c r="BM7">
        <v>7</v>
      </c>
      <c r="BU7">
        <v>7</v>
      </c>
    </row>
    <row r="8" spans="1:73" ht="20.25" customHeight="1">
      <c r="A8" s="109" t="s">
        <v>52</v>
      </c>
      <c r="B8" s="159">
        <v>8</v>
      </c>
      <c r="C8" s="160" t="s">
        <v>52</v>
      </c>
      <c r="D8" s="14">
        <v>7</v>
      </c>
      <c r="E8" s="14">
        <v>13</v>
      </c>
      <c r="F8" s="15">
        <v>10</v>
      </c>
      <c r="G8" s="15">
        <v>13</v>
      </c>
      <c r="H8" s="14">
        <v>13</v>
      </c>
      <c r="I8" s="14">
        <v>5</v>
      </c>
      <c r="J8" s="15"/>
      <c r="K8" s="15"/>
      <c r="L8" s="14"/>
      <c r="M8" s="14"/>
      <c r="N8" s="15"/>
      <c r="O8" s="15"/>
      <c r="P8" s="16">
        <f t="shared" si="0"/>
        <v>-1</v>
      </c>
      <c r="Q8" s="161">
        <f t="shared" si="1"/>
        <v>1</v>
      </c>
      <c r="R8" s="35"/>
      <c r="S8" s="83"/>
      <c r="W8" s="36"/>
      <c r="Y8" s="10"/>
      <c r="Z8" s="20">
        <v>6</v>
      </c>
      <c r="AA8" s="185">
        <v>23</v>
      </c>
      <c r="AB8" s="183" t="str">
        <f ca="1">INDIRECT("C23")</f>
        <v>JEAN PIERRE - MONIQUE</v>
      </c>
      <c r="AC8" s="186">
        <f ca="1">INDIRECT("q23")</f>
        <v>3</v>
      </c>
      <c r="AD8" s="186">
        <f ca="1">INDIRECT("p23")</f>
        <v>9</v>
      </c>
      <c r="AE8" s="10"/>
      <c r="AH8" s="91" t="s">
        <v>31</v>
      </c>
      <c r="AI8" s="113">
        <v>6</v>
      </c>
      <c r="AJ8" s="101">
        <f>tirage!T7</f>
        <v>6</v>
      </c>
      <c r="AK8" s="107"/>
      <c r="AL8" s="70">
        <v>8</v>
      </c>
      <c r="AM8" s="67" t="s">
        <v>52</v>
      </c>
      <c r="AN8" s="167">
        <v>4</v>
      </c>
      <c r="AO8" s="168" t="s">
        <v>48</v>
      </c>
      <c r="AP8" s="169">
        <v>36</v>
      </c>
      <c r="AQ8" s="168" t="s">
        <v>79</v>
      </c>
      <c r="AR8" s="173">
        <v>42</v>
      </c>
      <c r="AS8" s="173" t="s">
        <v>85</v>
      </c>
      <c r="AT8" s="173">
        <v>25</v>
      </c>
      <c r="AU8" s="173" t="s">
        <v>68</v>
      </c>
      <c r="AV8" s="173">
        <v>18</v>
      </c>
      <c r="AW8" s="173" t="s">
        <v>61</v>
      </c>
      <c r="AX8" s="67"/>
      <c r="AY8" s="67"/>
      <c r="AZ8" s="67">
        <v>10</v>
      </c>
      <c r="BA8" s="67" t="s">
        <v>54</v>
      </c>
      <c r="BB8" s="67">
        <v>32</v>
      </c>
      <c r="BC8" s="67" t="s">
        <v>75</v>
      </c>
      <c r="BD8" s="67"/>
      <c r="BE8" s="67"/>
      <c r="BF8" s="168"/>
      <c r="BG8" s="168"/>
      <c r="BH8" s="31"/>
      <c r="BI8" s="31"/>
      <c r="BJ8" s="44"/>
      <c r="BM8">
        <v>8</v>
      </c>
      <c r="BU8">
        <v>8</v>
      </c>
    </row>
    <row r="9" spans="1:73" ht="20.25" customHeight="1">
      <c r="A9" s="109" t="s">
        <v>53</v>
      </c>
      <c r="B9" s="175">
        <v>9</v>
      </c>
      <c r="C9" s="176" t="s">
        <v>53</v>
      </c>
      <c r="D9" s="14">
        <v>6</v>
      </c>
      <c r="E9" s="14">
        <v>13</v>
      </c>
      <c r="F9" s="15">
        <v>13</v>
      </c>
      <c r="G9" s="15">
        <v>9</v>
      </c>
      <c r="H9" s="14">
        <v>13</v>
      </c>
      <c r="I9" s="14">
        <v>8</v>
      </c>
      <c r="J9" s="15"/>
      <c r="K9" s="15"/>
      <c r="L9" s="14"/>
      <c r="M9" s="14"/>
      <c r="N9" s="15"/>
      <c r="O9" s="15"/>
      <c r="P9" s="16">
        <f t="shared" si="0"/>
        <v>2</v>
      </c>
      <c r="Q9" s="177">
        <f t="shared" si="1"/>
        <v>2</v>
      </c>
      <c r="R9" s="35"/>
      <c r="S9" s="35"/>
      <c r="Y9" s="10"/>
      <c r="Z9" s="20">
        <v>7</v>
      </c>
      <c r="AA9" s="178">
        <v>41</v>
      </c>
      <c r="AB9" s="176" t="str">
        <f ca="1">INDIRECT("c41")</f>
        <v>OSCAR - THIERRY</v>
      </c>
      <c r="AC9" s="179">
        <f ca="1">INDIRECT("q41")</f>
        <v>2</v>
      </c>
      <c r="AD9" s="179">
        <f ca="1">INDIRECT("p41")</f>
        <v>21</v>
      </c>
      <c r="AE9" s="10"/>
      <c r="AH9" s="124" t="s">
        <v>32</v>
      </c>
      <c r="AI9" s="123">
        <v>18</v>
      </c>
      <c r="AJ9" s="101">
        <f>tirage!T8</f>
        <v>18</v>
      </c>
      <c r="AK9" s="107">
        <f>AI8+AI9</f>
        <v>24</v>
      </c>
      <c r="AL9" s="70">
        <v>9</v>
      </c>
      <c r="AM9" s="67" t="s">
        <v>53</v>
      </c>
      <c r="AN9" s="167">
        <v>13</v>
      </c>
      <c r="AO9" s="168" t="s">
        <v>57</v>
      </c>
      <c r="AP9" s="169">
        <v>40</v>
      </c>
      <c r="AQ9" s="168" t="s">
        <v>83</v>
      </c>
      <c r="AR9" s="173">
        <v>16</v>
      </c>
      <c r="AS9" s="173" t="s">
        <v>59</v>
      </c>
      <c r="AT9" s="173">
        <v>36</v>
      </c>
      <c r="AU9" s="173" t="s">
        <v>79</v>
      </c>
      <c r="AV9" s="173">
        <v>40</v>
      </c>
      <c r="AW9" s="173" t="s">
        <v>83</v>
      </c>
      <c r="AX9" s="67"/>
      <c r="AY9" s="67"/>
      <c r="AZ9" s="67">
        <v>22</v>
      </c>
      <c r="BA9" s="67" t="s">
        <v>65</v>
      </c>
      <c r="BB9" s="67">
        <v>3</v>
      </c>
      <c r="BC9" s="67" t="s">
        <v>47</v>
      </c>
      <c r="BD9" s="67"/>
      <c r="BE9" s="67"/>
      <c r="BF9" s="168"/>
      <c r="BG9" s="168"/>
      <c r="BH9" s="31"/>
      <c r="BI9" s="31"/>
      <c r="BJ9" s="44"/>
      <c r="BM9">
        <v>9</v>
      </c>
      <c r="BU9">
        <v>9</v>
      </c>
    </row>
    <row r="10" spans="1:73" ht="20.25">
      <c r="A10" s="109" t="s">
        <v>54</v>
      </c>
      <c r="B10" s="175">
        <v>10</v>
      </c>
      <c r="C10" s="176" t="s">
        <v>54</v>
      </c>
      <c r="D10" s="14">
        <v>13</v>
      </c>
      <c r="E10" s="14">
        <v>12</v>
      </c>
      <c r="F10" s="15">
        <v>7</v>
      </c>
      <c r="G10" s="15">
        <v>13</v>
      </c>
      <c r="H10" s="14">
        <v>13</v>
      </c>
      <c r="I10" s="14">
        <v>0</v>
      </c>
      <c r="J10" s="15"/>
      <c r="K10" s="15"/>
      <c r="L10" s="14"/>
      <c r="M10" s="14"/>
      <c r="N10" s="15"/>
      <c r="O10" s="15"/>
      <c r="P10" s="16">
        <f t="shared" si="0"/>
        <v>8</v>
      </c>
      <c r="Q10" s="177">
        <f t="shared" si="1"/>
        <v>2</v>
      </c>
      <c r="R10" s="35"/>
      <c r="S10" s="35"/>
      <c r="Y10" s="10"/>
      <c r="Z10" s="20">
        <v>8</v>
      </c>
      <c r="AA10" s="178">
        <v>30</v>
      </c>
      <c r="AB10" s="176" t="str">
        <f ca="1">INDIRECT("c30")</f>
        <v>GEGE - MATTEO</v>
      </c>
      <c r="AC10" s="179">
        <f ca="1">INDIRECT("q30")</f>
        <v>2</v>
      </c>
      <c r="AD10" s="179">
        <f ca="1">INDIRECT("p30")</f>
        <v>16</v>
      </c>
      <c r="AE10" s="10"/>
      <c r="AG10" s="7"/>
      <c r="AH10" s="124" t="s">
        <v>38</v>
      </c>
      <c r="AI10" s="123">
        <v>18</v>
      </c>
      <c r="AJ10" s="122">
        <f>tirage!T9</f>
        <v>18</v>
      </c>
      <c r="AK10" s="107">
        <f>AI8+AI9+AI10</f>
        <v>42</v>
      </c>
      <c r="AL10" s="70">
        <v>10</v>
      </c>
      <c r="AM10" s="67" t="s">
        <v>54</v>
      </c>
      <c r="AN10" s="167">
        <v>17</v>
      </c>
      <c r="AO10" s="168" t="s">
        <v>60</v>
      </c>
      <c r="AP10" s="169">
        <v>41</v>
      </c>
      <c r="AQ10" s="168" t="s">
        <v>84</v>
      </c>
      <c r="AR10" s="173">
        <v>7</v>
      </c>
      <c r="AS10" s="173" t="s">
        <v>51</v>
      </c>
      <c r="AT10" s="173">
        <v>29</v>
      </c>
      <c r="AU10" s="173" t="s">
        <v>15</v>
      </c>
      <c r="AV10" s="173">
        <v>45</v>
      </c>
      <c r="AW10" s="173" t="s">
        <v>88</v>
      </c>
      <c r="AX10" s="67"/>
      <c r="AY10" s="67"/>
      <c r="AZ10" s="67">
        <v>42</v>
      </c>
      <c r="BA10" s="67" t="s">
        <v>85</v>
      </c>
      <c r="BB10" s="67">
        <v>18</v>
      </c>
      <c r="BC10" s="67" t="s">
        <v>61</v>
      </c>
      <c r="BD10" s="67"/>
      <c r="BE10" s="67"/>
      <c r="BF10" s="168"/>
      <c r="BG10" s="168"/>
      <c r="BH10" s="31"/>
      <c r="BI10" s="31"/>
      <c r="BJ10" s="44"/>
      <c r="BM10">
        <v>10</v>
      </c>
      <c r="BU10">
        <v>10</v>
      </c>
    </row>
    <row r="11" spans="1:73" ht="21" thickBot="1">
      <c r="A11" s="109" t="s">
        <v>55</v>
      </c>
      <c r="B11" s="175">
        <v>11</v>
      </c>
      <c r="C11" s="176" t="s">
        <v>55</v>
      </c>
      <c r="D11" s="14">
        <v>9</v>
      </c>
      <c r="E11" s="14">
        <v>13</v>
      </c>
      <c r="F11" s="15">
        <v>13</v>
      </c>
      <c r="G11" s="15">
        <v>9</v>
      </c>
      <c r="H11" s="14">
        <v>13</v>
      </c>
      <c r="I11" s="14">
        <v>5</v>
      </c>
      <c r="J11" s="15"/>
      <c r="K11" s="15"/>
      <c r="L11" s="14"/>
      <c r="M11" s="14"/>
      <c r="N11" s="15"/>
      <c r="O11" s="15"/>
      <c r="P11" s="16">
        <f t="shared" si="0"/>
        <v>8</v>
      </c>
      <c r="Q11" s="177">
        <f t="shared" si="1"/>
        <v>2</v>
      </c>
      <c r="R11" s="35"/>
      <c r="S11" s="35"/>
      <c r="Y11" s="10"/>
      <c r="Z11" s="20">
        <v>9</v>
      </c>
      <c r="AA11" s="178">
        <v>29</v>
      </c>
      <c r="AB11" s="176" t="str">
        <f ca="1">INDIRECT("c29")</f>
        <v>MICHEL DEDE</v>
      </c>
      <c r="AC11" s="179">
        <f ca="1">INDIRECT("q29")</f>
        <v>2</v>
      </c>
      <c r="AD11" s="179">
        <f ca="1">INDIRECT("p29")</f>
        <v>15</v>
      </c>
      <c r="AE11" s="10"/>
      <c r="AH11" s="92" t="s">
        <v>41</v>
      </c>
      <c r="AI11" s="119">
        <v>6</v>
      </c>
      <c r="AJ11" s="122">
        <f>tirage!T10</f>
        <v>6</v>
      </c>
      <c r="AK11" s="107"/>
      <c r="AL11" s="70">
        <v>11</v>
      </c>
      <c r="AM11" s="67" t="s">
        <v>55</v>
      </c>
      <c r="AN11" s="167">
        <v>22</v>
      </c>
      <c r="AO11" s="168" t="s">
        <v>65</v>
      </c>
      <c r="AP11" s="169">
        <v>5</v>
      </c>
      <c r="AQ11" s="168" t="s">
        <v>49</v>
      </c>
      <c r="AR11" s="173">
        <v>23</v>
      </c>
      <c r="AS11" s="173" t="s">
        <v>66</v>
      </c>
      <c r="AT11" s="173">
        <v>4</v>
      </c>
      <c r="AU11" s="173" t="s">
        <v>48</v>
      </c>
      <c r="AV11" s="173">
        <v>24</v>
      </c>
      <c r="AW11" s="173" t="s">
        <v>67</v>
      </c>
      <c r="AX11" s="67"/>
      <c r="AY11" s="67"/>
      <c r="AZ11" s="67">
        <v>25</v>
      </c>
      <c r="BA11" s="67" t="s">
        <v>68</v>
      </c>
      <c r="BB11" s="67">
        <v>24</v>
      </c>
      <c r="BC11" s="67" t="s">
        <v>67</v>
      </c>
      <c r="BD11" s="67"/>
      <c r="BE11" s="67"/>
      <c r="BF11" s="168"/>
      <c r="BG11" s="168"/>
      <c r="BH11" s="31"/>
      <c r="BI11" s="31"/>
      <c r="BJ11" s="44"/>
      <c r="BM11">
        <v>11</v>
      </c>
      <c r="BU11">
        <v>11</v>
      </c>
    </row>
    <row r="12" spans="1:73" ht="21" thickBot="1">
      <c r="A12" s="109" t="s">
        <v>56</v>
      </c>
      <c r="B12" s="106">
        <v>12</v>
      </c>
      <c r="C12" s="65" t="s">
        <v>56</v>
      </c>
      <c r="D12" s="14">
        <v>1</v>
      </c>
      <c r="E12" s="14">
        <v>13</v>
      </c>
      <c r="F12" s="15">
        <v>6</v>
      </c>
      <c r="G12" s="15">
        <v>13</v>
      </c>
      <c r="H12" s="14">
        <v>10</v>
      </c>
      <c r="I12" s="14">
        <v>13</v>
      </c>
      <c r="J12" s="15"/>
      <c r="K12" s="15"/>
      <c r="L12" s="14"/>
      <c r="M12" s="14"/>
      <c r="N12" s="15"/>
      <c r="O12" s="15"/>
      <c r="P12" s="16">
        <f t="shared" si="0"/>
        <v>-22</v>
      </c>
      <c r="Q12" s="26">
        <f t="shared" si="1"/>
        <v>0</v>
      </c>
      <c r="R12" s="35"/>
      <c r="S12" s="35"/>
      <c r="Y12" s="10"/>
      <c r="Z12" s="20">
        <v>10</v>
      </c>
      <c r="AA12" s="178">
        <v>36</v>
      </c>
      <c r="AB12" s="176" t="str">
        <f ca="1">INDIRECT("c36")</f>
        <v>PIERRE - ALAIN</v>
      </c>
      <c r="AC12" s="179">
        <f ca="1">INDIRECT("q36")</f>
        <v>2</v>
      </c>
      <c r="AD12" s="179">
        <f ca="1">INDIRECT("p36")</f>
        <v>13</v>
      </c>
      <c r="AE12" s="10"/>
      <c r="AF12" s="190" t="s">
        <v>44</v>
      </c>
      <c r="AG12" s="190"/>
      <c r="AH12" s="191"/>
      <c r="AI12" s="120">
        <v>4</v>
      </c>
      <c r="AJ12" s="7"/>
      <c r="AK12" s="121">
        <f>AI8+AI9+AI10+AI11</f>
        <v>48</v>
      </c>
      <c r="AL12" s="70">
        <v>12</v>
      </c>
      <c r="AM12" s="67" t="s">
        <v>56</v>
      </c>
      <c r="AN12" s="167">
        <v>33</v>
      </c>
      <c r="AO12" s="168" t="s">
        <v>76</v>
      </c>
      <c r="AP12" s="169">
        <v>2</v>
      </c>
      <c r="AQ12" s="168" t="s">
        <v>46</v>
      </c>
      <c r="AR12" s="173">
        <v>48</v>
      </c>
      <c r="AS12" s="173" t="s">
        <v>91</v>
      </c>
      <c r="AT12" s="173">
        <v>11</v>
      </c>
      <c r="AU12" s="173" t="s">
        <v>55</v>
      </c>
      <c r="AV12" s="173">
        <v>12</v>
      </c>
      <c r="AW12" s="173" t="s">
        <v>56</v>
      </c>
      <c r="AX12" s="67"/>
      <c r="AY12" s="67"/>
      <c r="AZ12" s="67">
        <v>26</v>
      </c>
      <c r="BA12" s="67" t="s">
        <v>70</v>
      </c>
      <c r="BB12" s="67">
        <v>5</v>
      </c>
      <c r="BC12" s="67" t="s">
        <v>49</v>
      </c>
      <c r="BD12" s="67"/>
      <c r="BE12" s="67"/>
      <c r="BF12" s="168"/>
      <c r="BG12" s="168"/>
      <c r="BH12" s="31"/>
      <c r="BI12" s="31"/>
      <c r="BJ12" s="44"/>
      <c r="BM12">
        <v>12</v>
      </c>
      <c r="BU12">
        <v>12</v>
      </c>
    </row>
    <row r="13" spans="1:73">
      <c r="A13" s="109" t="s">
        <v>57</v>
      </c>
      <c r="B13" s="159">
        <v>13</v>
      </c>
      <c r="C13" s="160" t="s">
        <v>57</v>
      </c>
      <c r="D13" s="14">
        <v>13</v>
      </c>
      <c r="E13" s="14">
        <v>7</v>
      </c>
      <c r="F13" s="15">
        <v>4</v>
      </c>
      <c r="G13" s="15">
        <v>13</v>
      </c>
      <c r="H13" s="14">
        <v>0</v>
      </c>
      <c r="I13" s="14">
        <v>13</v>
      </c>
      <c r="J13" s="15"/>
      <c r="K13" s="15"/>
      <c r="L13" s="14"/>
      <c r="M13" s="14"/>
      <c r="N13" s="15"/>
      <c r="O13" s="15"/>
      <c r="P13" s="16">
        <f t="shared" si="0"/>
        <v>-16</v>
      </c>
      <c r="Q13" s="161">
        <f t="shared" si="1"/>
        <v>1</v>
      </c>
      <c r="R13" s="35"/>
      <c r="S13" s="35"/>
      <c r="Y13" s="10"/>
      <c r="Z13" s="13">
        <v>11</v>
      </c>
      <c r="AA13" s="178">
        <v>43</v>
      </c>
      <c r="AB13" s="176" t="str">
        <f ca="1">INDIRECT("c43")</f>
        <v>CHRISTIAN - ROLANDE</v>
      </c>
      <c r="AC13" s="179">
        <f ca="1">INDIRECT("q43")</f>
        <v>2</v>
      </c>
      <c r="AD13" s="179">
        <f ca="1">INDIRECT("p43")</f>
        <v>12</v>
      </c>
      <c r="AE13" s="10"/>
      <c r="AG13" s="7"/>
      <c r="AH13" s="12"/>
      <c r="AI13" s="12"/>
      <c r="AJ13" s="7"/>
      <c r="AK13" s="7"/>
      <c r="AL13" s="69">
        <v>13</v>
      </c>
      <c r="AM13" s="68" t="s">
        <v>57</v>
      </c>
      <c r="AN13" s="170">
        <v>47</v>
      </c>
      <c r="AO13" s="171" t="s">
        <v>90</v>
      </c>
      <c r="AP13" s="172">
        <v>8</v>
      </c>
      <c r="AQ13" s="171" t="s">
        <v>52</v>
      </c>
      <c r="AR13" s="174"/>
      <c r="AS13" s="174"/>
      <c r="AT13" s="174">
        <v>3</v>
      </c>
      <c r="AU13" s="174" t="s">
        <v>47</v>
      </c>
      <c r="AV13" s="174"/>
      <c r="AW13" s="174"/>
      <c r="AX13" s="68"/>
      <c r="AY13" s="68"/>
      <c r="AZ13" s="68">
        <v>16</v>
      </c>
      <c r="BA13" s="68" t="s">
        <v>59</v>
      </c>
      <c r="BB13" s="68">
        <v>45</v>
      </c>
      <c r="BC13" s="68" t="s">
        <v>88</v>
      </c>
      <c r="BD13" s="68"/>
      <c r="BE13" s="68"/>
      <c r="BF13" s="171"/>
      <c r="BG13" s="171"/>
      <c r="BH13" s="31"/>
      <c r="BI13" s="31"/>
      <c r="BJ13" s="44"/>
      <c r="BM13">
        <v>13</v>
      </c>
      <c r="BU13">
        <v>13</v>
      </c>
    </row>
    <row r="14" spans="1:73">
      <c r="A14" s="109" t="s">
        <v>58</v>
      </c>
      <c r="B14" s="106">
        <v>14</v>
      </c>
      <c r="C14" s="65" t="s">
        <v>58</v>
      </c>
      <c r="D14" s="14">
        <v>11</v>
      </c>
      <c r="E14" s="14">
        <v>13</v>
      </c>
      <c r="F14" s="15">
        <v>9</v>
      </c>
      <c r="G14" s="15">
        <v>13</v>
      </c>
      <c r="H14" s="14">
        <v>0</v>
      </c>
      <c r="I14" s="14">
        <v>13</v>
      </c>
      <c r="J14" s="15"/>
      <c r="K14" s="15"/>
      <c r="L14" s="14"/>
      <c r="M14" s="14"/>
      <c r="N14" s="15"/>
      <c r="O14" s="15"/>
      <c r="P14" s="16">
        <f t="shared" si="0"/>
        <v>-19</v>
      </c>
      <c r="Q14" s="26">
        <f t="shared" si="1"/>
        <v>0</v>
      </c>
      <c r="R14" s="35"/>
      <c r="S14" s="35"/>
      <c r="Y14" s="10"/>
      <c r="Z14" s="13">
        <v>12</v>
      </c>
      <c r="AA14" s="180">
        <v>4</v>
      </c>
      <c r="AB14" s="176" t="str">
        <f ca="1">INDIRECT("c4")</f>
        <v>CHRISTIAN - J PIERRE</v>
      </c>
      <c r="AC14" s="179">
        <f ca="1">INDIRECT("q4")</f>
        <v>2</v>
      </c>
      <c r="AD14" s="179">
        <f ca="1">INDIRECT("p4")</f>
        <v>10</v>
      </c>
      <c r="AE14" s="10"/>
      <c r="AG14" s="7"/>
      <c r="AH14" s="102" t="s">
        <v>35</v>
      </c>
      <c r="AI14" s="12"/>
      <c r="AJ14" s="58"/>
      <c r="AK14" s="58"/>
      <c r="AL14" s="70">
        <v>14</v>
      </c>
      <c r="AM14" s="67" t="s">
        <v>58</v>
      </c>
      <c r="AN14" s="167">
        <v>23</v>
      </c>
      <c r="AO14" s="168" t="s">
        <v>66</v>
      </c>
      <c r="AP14" s="169">
        <v>27</v>
      </c>
      <c r="AQ14" s="168" t="s">
        <v>71</v>
      </c>
      <c r="AR14" s="173"/>
      <c r="AS14" s="173"/>
      <c r="AT14" s="173">
        <v>2</v>
      </c>
      <c r="AU14" s="173" t="s">
        <v>46</v>
      </c>
      <c r="AV14" s="173"/>
      <c r="AW14" s="173"/>
      <c r="AX14" s="67"/>
      <c r="AY14" s="67"/>
      <c r="AZ14" s="67">
        <v>19</v>
      </c>
      <c r="BA14" s="67" t="s">
        <v>62</v>
      </c>
      <c r="BB14" s="67">
        <v>2</v>
      </c>
      <c r="BC14" s="67" t="s">
        <v>46</v>
      </c>
      <c r="BD14" s="67"/>
      <c r="BE14" s="67"/>
      <c r="BF14" s="168"/>
      <c r="BG14" s="168"/>
      <c r="BH14" s="31"/>
      <c r="BI14" s="31"/>
      <c r="BJ14" s="44"/>
      <c r="BM14">
        <v>14</v>
      </c>
      <c r="BU14">
        <v>14</v>
      </c>
    </row>
    <row r="15" spans="1:73">
      <c r="A15" s="109" t="s">
        <v>69</v>
      </c>
      <c r="B15" s="159">
        <v>15</v>
      </c>
      <c r="C15" s="160" t="s">
        <v>69</v>
      </c>
      <c r="D15" s="14">
        <v>13</v>
      </c>
      <c r="E15" s="14">
        <v>11</v>
      </c>
      <c r="F15" s="15">
        <v>3</v>
      </c>
      <c r="G15" s="15">
        <v>13</v>
      </c>
      <c r="H15" s="14">
        <v>3</v>
      </c>
      <c r="I15" s="14">
        <v>13</v>
      </c>
      <c r="J15" s="15"/>
      <c r="K15" s="15"/>
      <c r="L15" s="14"/>
      <c r="M15" s="14"/>
      <c r="N15" s="15"/>
      <c r="O15" s="15"/>
      <c r="P15" s="16">
        <f t="shared" si="0"/>
        <v>-18</v>
      </c>
      <c r="Q15" s="161">
        <f t="shared" si="1"/>
        <v>1</v>
      </c>
      <c r="R15" s="12"/>
      <c r="W15" s="105"/>
      <c r="Y15" s="10"/>
      <c r="Z15" s="13">
        <v>13</v>
      </c>
      <c r="AA15" s="178">
        <v>11</v>
      </c>
      <c r="AB15" s="176" t="str">
        <f ca="1">INDIRECT("c11")</f>
        <v>GIROT - GIROT</v>
      </c>
      <c r="AC15" s="179">
        <f ca="1">INDIRECT("q11")</f>
        <v>2</v>
      </c>
      <c r="AD15" s="179">
        <f ca="1">INDIRECT("p11")</f>
        <v>8</v>
      </c>
      <c r="AE15" s="10"/>
      <c r="AG15" s="94"/>
      <c r="AH15" s="12"/>
      <c r="AI15" s="12"/>
      <c r="AJ15" s="7"/>
      <c r="AK15" s="7"/>
      <c r="AL15" s="70">
        <v>15</v>
      </c>
      <c r="AM15" s="67" t="s">
        <v>69</v>
      </c>
      <c r="AN15" s="167">
        <v>6</v>
      </c>
      <c r="AO15" s="168" t="s">
        <v>50</v>
      </c>
      <c r="AP15" s="169">
        <v>28</v>
      </c>
      <c r="AQ15" s="168" t="s">
        <v>72</v>
      </c>
      <c r="AR15" s="173"/>
      <c r="AS15" s="173"/>
      <c r="AT15" s="173">
        <v>13</v>
      </c>
      <c r="AU15" s="173" t="s">
        <v>57</v>
      </c>
      <c r="AV15" s="173"/>
      <c r="AW15" s="173"/>
      <c r="AX15" s="67"/>
      <c r="AY15" s="67"/>
      <c r="AZ15" s="67">
        <v>9</v>
      </c>
      <c r="BA15" s="67" t="s">
        <v>53</v>
      </c>
      <c r="BB15" s="67">
        <v>13</v>
      </c>
      <c r="BC15" s="67" t="s">
        <v>57</v>
      </c>
      <c r="BD15" s="67"/>
      <c r="BE15" s="67"/>
      <c r="BF15" s="168"/>
      <c r="BG15" s="168"/>
      <c r="BH15" s="31"/>
      <c r="BI15" s="31"/>
      <c r="BJ15" s="44"/>
      <c r="BM15">
        <v>15</v>
      </c>
      <c r="BU15">
        <v>15</v>
      </c>
    </row>
    <row r="16" spans="1:73">
      <c r="A16" s="109" t="s">
        <v>59</v>
      </c>
      <c r="B16" s="175">
        <v>16</v>
      </c>
      <c r="C16" s="176" t="s">
        <v>59</v>
      </c>
      <c r="D16" s="14">
        <v>13</v>
      </c>
      <c r="E16" s="14">
        <v>9</v>
      </c>
      <c r="F16" s="15">
        <v>13</v>
      </c>
      <c r="G16" s="15">
        <v>10</v>
      </c>
      <c r="H16" s="14">
        <v>11</v>
      </c>
      <c r="I16" s="14">
        <v>13</v>
      </c>
      <c r="J16" s="15"/>
      <c r="K16" s="15"/>
      <c r="L16" s="14"/>
      <c r="M16" s="14"/>
      <c r="N16" s="15"/>
      <c r="O16" s="15"/>
      <c r="P16" s="16">
        <f t="shared" si="0"/>
        <v>5</v>
      </c>
      <c r="Q16" s="177">
        <f t="shared" si="1"/>
        <v>2</v>
      </c>
      <c r="R16" s="12"/>
      <c r="W16" s="105"/>
      <c r="Y16" s="10"/>
      <c r="Z16" s="13">
        <v>14</v>
      </c>
      <c r="AA16" s="180">
        <v>10</v>
      </c>
      <c r="AB16" s="176" t="str">
        <f ca="1">INDIRECT("c10")</f>
        <v>VINCENT - CHRISTOPHE</v>
      </c>
      <c r="AC16" s="179">
        <f ca="1">INDIRECT("q10")</f>
        <v>2</v>
      </c>
      <c r="AD16" s="179">
        <f ca="1">INDIRECT("p10")</f>
        <v>8</v>
      </c>
      <c r="AE16" s="10"/>
      <c r="AG16" s="94"/>
      <c r="AH16" s="58"/>
      <c r="AI16" s="84"/>
      <c r="AJ16" s="7"/>
      <c r="AK16" s="7"/>
      <c r="AL16" s="70">
        <v>16</v>
      </c>
      <c r="AM16" s="67" t="s">
        <v>59</v>
      </c>
      <c r="AN16" s="167">
        <v>16</v>
      </c>
      <c r="AO16" s="168" t="s">
        <v>59</v>
      </c>
      <c r="AP16" s="169">
        <v>29</v>
      </c>
      <c r="AQ16" s="168" t="s">
        <v>15</v>
      </c>
      <c r="AR16" s="173"/>
      <c r="AS16" s="173"/>
      <c r="AT16" s="173">
        <v>5</v>
      </c>
      <c r="AU16" s="173" t="s">
        <v>49</v>
      </c>
      <c r="AV16" s="173"/>
      <c r="AW16" s="173"/>
      <c r="AX16" s="67"/>
      <c r="AY16" s="67"/>
      <c r="AZ16" s="67">
        <v>35</v>
      </c>
      <c r="BA16" s="67" t="s">
        <v>78</v>
      </c>
      <c r="BB16" s="67">
        <v>27</v>
      </c>
      <c r="BC16" s="67" t="s">
        <v>71</v>
      </c>
      <c r="BD16" s="67"/>
      <c r="BE16" s="67"/>
      <c r="BF16" s="168"/>
      <c r="BG16" s="168"/>
      <c r="BH16" s="31"/>
      <c r="BI16" s="31"/>
      <c r="BJ16" s="44"/>
      <c r="BM16">
        <v>16</v>
      </c>
      <c r="BU16">
        <v>16</v>
      </c>
    </row>
    <row r="17" spans="1:73">
      <c r="A17" s="109" t="s">
        <v>60</v>
      </c>
      <c r="B17" s="159">
        <v>17</v>
      </c>
      <c r="C17" s="160" t="s">
        <v>60</v>
      </c>
      <c r="D17" s="14">
        <v>13</v>
      </c>
      <c r="E17" s="14">
        <v>7</v>
      </c>
      <c r="F17" s="15">
        <v>12</v>
      </c>
      <c r="G17" s="15">
        <v>13</v>
      </c>
      <c r="H17" s="14">
        <v>12</v>
      </c>
      <c r="I17" s="14">
        <v>13</v>
      </c>
      <c r="J17" s="15"/>
      <c r="K17" s="15"/>
      <c r="L17" s="14"/>
      <c r="M17" s="14"/>
      <c r="N17" s="15"/>
      <c r="O17" s="15"/>
      <c r="P17" s="16">
        <f t="shared" si="0"/>
        <v>4</v>
      </c>
      <c r="Q17" s="161">
        <f t="shared" si="1"/>
        <v>1</v>
      </c>
      <c r="R17" s="12"/>
      <c r="Y17" s="10"/>
      <c r="Z17" s="13">
        <v>15</v>
      </c>
      <c r="AA17" s="178">
        <v>22</v>
      </c>
      <c r="AB17" s="176" t="str">
        <f ca="1">INDIRECT("C22")</f>
        <v>ELIANE - YOAN</v>
      </c>
      <c r="AC17" s="179">
        <f ca="1">INDIRECT("q22")</f>
        <v>2</v>
      </c>
      <c r="AD17" s="179">
        <f ca="1">INDIRECT("p22")</f>
        <v>7</v>
      </c>
      <c r="AE17" s="10"/>
      <c r="AG17" s="12"/>
      <c r="AH17" s="12"/>
      <c r="AI17" s="58"/>
      <c r="AJ17" s="25"/>
      <c r="AK17" s="7"/>
      <c r="AL17" s="70">
        <v>17</v>
      </c>
      <c r="AM17" s="67" t="s">
        <v>60</v>
      </c>
      <c r="AN17" s="167">
        <v>19</v>
      </c>
      <c r="AO17" s="168" t="s">
        <v>62</v>
      </c>
      <c r="AP17" s="169">
        <v>38</v>
      </c>
      <c r="AQ17" s="168" t="s">
        <v>81</v>
      </c>
      <c r="AR17" s="173"/>
      <c r="AS17" s="173"/>
      <c r="AT17" s="173">
        <v>27</v>
      </c>
      <c r="AU17" s="173" t="s">
        <v>71</v>
      </c>
      <c r="AV17" s="173"/>
      <c r="AW17" s="173"/>
      <c r="AX17" s="67"/>
      <c r="AY17" s="67"/>
      <c r="AZ17" s="67">
        <v>48</v>
      </c>
      <c r="BA17" s="67" t="s">
        <v>91</v>
      </c>
      <c r="BB17" s="67">
        <v>28</v>
      </c>
      <c r="BC17" s="67" t="s">
        <v>72</v>
      </c>
      <c r="BD17" s="67"/>
      <c r="BE17" s="67"/>
      <c r="BF17" s="168"/>
      <c r="BG17" s="168"/>
      <c r="BH17" s="31"/>
      <c r="BI17" s="31"/>
      <c r="BJ17" s="44"/>
      <c r="BM17">
        <v>17</v>
      </c>
      <c r="BU17">
        <v>17</v>
      </c>
    </row>
    <row r="18" spans="1:73">
      <c r="A18" s="109" t="s">
        <v>61</v>
      </c>
      <c r="B18" s="159">
        <v>18</v>
      </c>
      <c r="C18" s="160" t="s">
        <v>61</v>
      </c>
      <c r="D18" s="14">
        <v>2</v>
      </c>
      <c r="E18" s="14">
        <v>13</v>
      </c>
      <c r="F18" s="15">
        <v>9</v>
      </c>
      <c r="G18" s="15">
        <v>13</v>
      </c>
      <c r="H18" s="14">
        <v>13</v>
      </c>
      <c r="I18" s="14">
        <v>4</v>
      </c>
      <c r="J18" s="15"/>
      <c r="K18" s="15"/>
      <c r="L18" s="14"/>
      <c r="M18" s="14"/>
      <c r="N18" s="15"/>
      <c r="O18" s="15"/>
      <c r="P18" s="16">
        <f t="shared" si="0"/>
        <v>-6</v>
      </c>
      <c r="Q18" s="161">
        <f t="shared" si="1"/>
        <v>1</v>
      </c>
      <c r="R18" s="12"/>
      <c r="Y18" s="10"/>
      <c r="Z18" s="13">
        <v>16</v>
      </c>
      <c r="AA18" s="178">
        <v>42</v>
      </c>
      <c r="AB18" s="176" t="str">
        <f ca="1">INDIRECT("c42")</f>
        <v>SERGE - MARC</v>
      </c>
      <c r="AC18" s="179">
        <f ca="1">INDIRECT("q42")</f>
        <v>2</v>
      </c>
      <c r="AD18" s="179">
        <f ca="1">INDIRECT("p42")</f>
        <v>7</v>
      </c>
      <c r="AE18" s="10"/>
      <c r="AG18" s="12"/>
      <c r="AH18" s="97"/>
      <c r="AI18" s="98"/>
      <c r="AJ18" s="25"/>
      <c r="AK18" s="7"/>
      <c r="AL18" s="70">
        <v>18</v>
      </c>
      <c r="AM18" s="67" t="s">
        <v>61</v>
      </c>
      <c r="AN18" s="167">
        <v>25</v>
      </c>
      <c r="AO18" s="168" t="s">
        <v>68</v>
      </c>
      <c r="AP18" s="169">
        <v>9</v>
      </c>
      <c r="AQ18" s="168" t="s">
        <v>53</v>
      </c>
      <c r="AR18" s="173"/>
      <c r="AS18" s="173"/>
      <c r="AT18" s="173">
        <v>9</v>
      </c>
      <c r="AU18" s="173" t="s">
        <v>53</v>
      </c>
      <c r="AV18" s="173"/>
      <c r="AW18" s="173"/>
      <c r="AX18" s="67"/>
      <c r="AY18" s="67"/>
      <c r="AZ18" s="67">
        <v>46</v>
      </c>
      <c r="BA18" s="67" t="s">
        <v>89</v>
      </c>
      <c r="BB18" s="67">
        <v>15</v>
      </c>
      <c r="BC18" s="67" t="s">
        <v>69</v>
      </c>
      <c r="BD18" s="67"/>
      <c r="BE18" s="67"/>
      <c r="BF18" s="168"/>
      <c r="BG18" s="168"/>
      <c r="BH18" s="31"/>
      <c r="BI18" s="31"/>
      <c r="BJ18" s="44"/>
      <c r="BM18">
        <v>18</v>
      </c>
      <c r="BU18">
        <v>18</v>
      </c>
    </row>
    <row r="19" spans="1:73">
      <c r="A19" s="109" t="s">
        <v>62</v>
      </c>
      <c r="B19" s="175">
        <v>19</v>
      </c>
      <c r="C19" s="176" t="s">
        <v>62</v>
      </c>
      <c r="D19" s="14">
        <v>13</v>
      </c>
      <c r="E19" s="14">
        <v>9</v>
      </c>
      <c r="F19" s="15">
        <v>13</v>
      </c>
      <c r="G19" s="15">
        <v>3</v>
      </c>
      <c r="H19" s="14">
        <v>3</v>
      </c>
      <c r="I19" s="14">
        <v>13</v>
      </c>
      <c r="J19" s="15"/>
      <c r="K19" s="15"/>
      <c r="L19" s="14"/>
      <c r="M19" s="14"/>
      <c r="N19" s="15"/>
      <c r="O19" s="15"/>
      <c r="P19" s="16">
        <f t="shared" si="0"/>
        <v>4</v>
      </c>
      <c r="Q19" s="177">
        <f t="shared" si="1"/>
        <v>2</v>
      </c>
      <c r="R19" s="12"/>
      <c r="Y19" s="10"/>
      <c r="Z19" s="13">
        <v>17</v>
      </c>
      <c r="AA19" s="178">
        <v>25</v>
      </c>
      <c r="AB19" s="176" t="str">
        <f ca="1">INDIRECT("C25")</f>
        <v>CHRISTIAN M - DOMINIQUE</v>
      </c>
      <c r="AC19" s="179">
        <f ca="1">INDIRECT("q25")</f>
        <v>2</v>
      </c>
      <c r="AD19" s="179">
        <f ca="1">INDIRECT("p25")</f>
        <v>7</v>
      </c>
      <c r="AE19" s="10"/>
      <c r="AG19" s="82"/>
      <c r="AH19" s="97"/>
      <c r="AI19" s="98"/>
      <c r="AJ19" s="121"/>
      <c r="AK19" s="7"/>
      <c r="AL19" s="70">
        <v>19</v>
      </c>
      <c r="AM19" s="67" t="s">
        <v>62</v>
      </c>
      <c r="AN19" s="167">
        <v>43</v>
      </c>
      <c r="AO19" s="168" t="s">
        <v>86</v>
      </c>
      <c r="AP19" s="169">
        <v>35</v>
      </c>
      <c r="AQ19" s="168" t="s">
        <v>78</v>
      </c>
      <c r="AR19" s="173"/>
      <c r="AS19" s="173"/>
      <c r="AT19" s="173">
        <v>26</v>
      </c>
      <c r="AU19" s="173" t="s">
        <v>70</v>
      </c>
      <c r="AV19" s="173"/>
      <c r="AW19" s="173"/>
      <c r="AX19" s="67"/>
      <c r="AY19" s="67"/>
      <c r="AZ19" s="67"/>
      <c r="BA19" s="67"/>
      <c r="BB19" s="67"/>
      <c r="BC19" s="67"/>
      <c r="BD19" s="67"/>
      <c r="BE19" s="67"/>
      <c r="BF19" s="168"/>
      <c r="BG19" s="168"/>
      <c r="BH19" s="31"/>
      <c r="BI19" s="31"/>
      <c r="BJ19" s="44"/>
      <c r="BM19">
        <v>19</v>
      </c>
      <c r="BU19">
        <v>19</v>
      </c>
    </row>
    <row r="20" spans="1:73">
      <c r="A20" s="109" t="s">
        <v>63</v>
      </c>
      <c r="B20" s="182">
        <v>20</v>
      </c>
      <c r="C20" s="183" t="s">
        <v>63</v>
      </c>
      <c r="D20" s="14">
        <v>13</v>
      </c>
      <c r="E20" s="14">
        <v>3</v>
      </c>
      <c r="F20" s="15">
        <v>13</v>
      </c>
      <c r="G20" s="15">
        <v>7</v>
      </c>
      <c r="H20" s="14">
        <v>13</v>
      </c>
      <c r="I20" s="14">
        <v>11</v>
      </c>
      <c r="J20" s="15"/>
      <c r="K20" s="15"/>
      <c r="L20" s="14"/>
      <c r="M20" s="14"/>
      <c r="N20" s="15"/>
      <c r="O20" s="15"/>
      <c r="P20" s="16">
        <f t="shared" si="0"/>
        <v>18</v>
      </c>
      <c r="Q20" s="184">
        <f t="shared" si="1"/>
        <v>3</v>
      </c>
      <c r="Y20" s="10"/>
      <c r="Z20" s="13">
        <v>18</v>
      </c>
      <c r="AA20" s="178">
        <v>26</v>
      </c>
      <c r="AB20" s="176" t="str">
        <f ca="1">INDIRECT("C26")</f>
        <v>COLETTE - BABETH</v>
      </c>
      <c r="AC20" s="179">
        <f ca="1">INDIRECT("q26")</f>
        <v>2</v>
      </c>
      <c r="AD20" s="179">
        <f ca="1">INDIRECT("p26")</f>
        <v>7</v>
      </c>
      <c r="AE20" s="10"/>
      <c r="AG20" s="114"/>
      <c r="AH20" s="97"/>
      <c r="AI20" s="98"/>
      <c r="AJ20" s="7"/>
      <c r="AK20" s="7"/>
      <c r="AL20" s="70">
        <v>20</v>
      </c>
      <c r="AM20" s="67" t="s">
        <v>63</v>
      </c>
      <c r="AN20" s="167">
        <v>46</v>
      </c>
      <c r="AO20" s="168" t="s">
        <v>89</v>
      </c>
      <c r="AP20" s="169">
        <v>1</v>
      </c>
      <c r="AQ20" s="168" t="s">
        <v>45</v>
      </c>
      <c r="AR20" s="173"/>
      <c r="AS20" s="173"/>
      <c r="AT20" s="173">
        <v>10</v>
      </c>
      <c r="AU20" s="173" t="s">
        <v>54</v>
      </c>
      <c r="AV20" s="173"/>
      <c r="AW20" s="173"/>
      <c r="AX20" s="67"/>
      <c r="AY20" s="67"/>
      <c r="AZ20" s="67"/>
      <c r="BA20" s="67"/>
      <c r="BB20" s="67"/>
      <c r="BC20" s="67"/>
      <c r="BD20" s="67"/>
      <c r="BE20" s="67"/>
      <c r="BF20" s="168"/>
      <c r="BG20" s="168"/>
      <c r="BH20" s="31"/>
      <c r="BI20" s="31"/>
      <c r="BJ20" s="44"/>
      <c r="BM20">
        <v>20</v>
      </c>
      <c r="BU20">
        <v>20</v>
      </c>
    </row>
    <row r="21" spans="1:73">
      <c r="A21" s="109" t="s">
        <v>64</v>
      </c>
      <c r="B21" s="159">
        <v>21</v>
      </c>
      <c r="C21" s="160" t="s">
        <v>64</v>
      </c>
      <c r="D21" s="14">
        <v>13</v>
      </c>
      <c r="E21" s="14">
        <v>0</v>
      </c>
      <c r="F21" s="15">
        <v>10</v>
      </c>
      <c r="G21" s="15">
        <v>13</v>
      </c>
      <c r="H21" s="14">
        <v>5</v>
      </c>
      <c r="I21" s="14">
        <v>13</v>
      </c>
      <c r="J21" s="15"/>
      <c r="K21" s="15"/>
      <c r="L21" s="14"/>
      <c r="M21" s="14"/>
      <c r="N21" s="15"/>
      <c r="O21" s="15"/>
      <c r="P21" s="16">
        <f t="shared" si="0"/>
        <v>2</v>
      </c>
      <c r="Q21" s="161">
        <f t="shared" si="1"/>
        <v>1</v>
      </c>
      <c r="Y21" s="10"/>
      <c r="Z21" s="13">
        <v>19</v>
      </c>
      <c r="AA21" s="178">
        <v>16</v>
      </c>
      <c r="AB21" s="176" t="str">
        <f ca="1">INDIRECT("c16")</f>
        <v>JUSTINE - CHLOEY</v>
      </c>
      <c r="AC21" s="179">
        <f ca="1">INDIRECT("q16")</f>
        <v>2</v>
      </c>
      <c r="AD21" s="179">
        <f ca="1">INDIRECT("p16")</f>
        <v>5</v>
      </c>
      <c r="AE21" s="10"/>
      <c r="AH21" s="97"/>
      <c r="AI21" s="98"/>
      <c r="AJ21" s="7"/>
      <c r="AK21" s="7"/>
      <c r="AL21" s="70">
        <v>21</v>
      </c>
      <c r="AM21" s="67" t="s">
        <v>64</v>
      </c>
      <c r="AN21" s="167">
        <v>7</v>
      </c>
      <c r="AO21" s="168" t="s">
        <v>51</v>
      </c>
      <c r="AP21" s="169">
        <v>18</v>
      </c>
      <c r="AQ21" s="168" t="s">
        <v>61</v>
      </c>
      <c r="AR21" s="173"/>
      <c r="AS21" s="173"/>
      <c r="AT21" s="173">
        <v>28</v>
      </c>
      <c r="AU21" s="173" t="s">
        <v>72</v>
      </c>
      <c r="AV21" s="173"/>
      <c r="AW21" s="173"/>
      <c r="AX21" s="67"/>
      <c r="AY21" s="67"/>
      <c r="AZ21" s="67"/>
      <c r="BA21" s="67"/>
      <c r="BB21" s="67"/>
      <c r="BC21" s="67"/>
      <c r="BD21" s="67"/>
      <c r="BE21" s="67"/>
      <c r="BF21" s="168"/>
      <c r="BG21" s="168"/>
      <c r="BH21" s="31"/>
      <c r="BI21" s="31"/>
      <c r="BJ21" s="44"/>
      <c r="BM21">
        <v>21</v>
      </c>
      <c r="BU21">
        <v>21</v>
      </c>
    </row>
    <row r="22" spans="1:73">
      <c r="A22" s="109" t="s">
        <v>65</v>
      </c>
      <c r="B22" s="175">
        <v>22</v>
      </c>
      <c r="C22" s="176" t="s">
        <v>65</v>
      </c>
      <c r="D22" s="14">
        <v>13</v>
      </c>
      <c r="E22" s="14">
        <v>7</v>
      </c>
      <c r="F22" s="15">
        <v>13</v>
      </c>
      <c r="G22" s="15">
        <v>4</v>
      </c>
      <c r="H22" s="14">
        <v>5</v>
      </c>
      <c r="I22" s="14">
        <v>13</v>
      </c>
      <c r="J22" s="15"/>
      <c r="K22" s="15"/>
      <c r="L22" s="14"/>
      <c r="M22" s="14"/>
      <c r="N22" s="15"/>
      <c r="O22" s="15"/>
      <c r="P22" s="16">
        <f t="shared" si="0"/>
        <v>7</v>
      </c>
      <c r="Q22" s="177">
        <f t="shared" si="1"/>
        <v>2</v>
      </c>
      <c r="R22" s="34"/>
      <c r="S22" s="34"/>
      <c r="T22" s="34"/>
      <c r="U22" s="34"/>
      <c r="Y22" s="10"/>
      <c r="Z22" s="13">
        <v>20</v>
      </c>
      <c r="AA22" s="178">
        <v>19</v>
      </c>
      <c r="AB22" s="176" t="str">
        <f ca="1">INDIRECT("c19")</f>
        <v>JEAN PIERRE - YVON</v>
      </c>
      <c r="AC22" s="179">
        <f ca="1">INDIRECT("q19")</f>
        <v>2</v>
      </c>
      <c r="AD22" s="179">
        <f ca="1">INDIRECT("p19")</f>
        <v>4</v>
      </c>
      <c r="AE22" s="10"/>
      <c r="AJ22" s="7"/>
      <c r="AK22" s="7"/>
      <c r="AL22" s="70">
        <v>22</v>
      </c>
      <c r="AM22" s="67" t="s">
        <v>65</v>
      </c>
      <c r="AN22" s="167">
        <v>15</v>
      </c>
      <c r="AO22" s="168" t="s">
        <v>69</v>
      </c>
      <c r="AP22" s="169">
        <v>12</v>
      </c>
      <c r="AQ22" s="168" t="s">
        <v>56</v>
      </c>
      <c r="AR22" s="173"/>
      <c r="AS22" s="173"/>
      <c r="AT22" s="173">
        <v>46</v>
      </c>
      <c r="AU22" s="173" t="s">
        <v>89</v>
      </c>
      <c r="AV22" s="173"/>
      <c r="AW22" s="173"/>
      <c r="AX22" s="67"/>
      <c r="AY22" s="67"/>
      <c r="AZ22" s="67"/>
      <c r="BA22" s="67"/>
      <c r="BB22" s="67"/>
      <c r="BC22" s="67"/>
      <c r="BD22" s="67"/>
      <c r="BE22" s="67"/>
      <c r="BF22" s="168"/>
      <c r="BG22" s="168"/>
      <c r="BH22" s="31"/>
      <c r="BI22" s="31"/>
      <c r="BJ22" s="44"/>
      <c r="BM22">
        <v>22</v>
      </c>
      <c r="BU22">
        <v>22</v>
      </c>
    </row>
    <row r="23" spans="1:73">
      <c r="A23" s="109" t="s">
        <v>66</v>
      </c>
      <c r="B23" s="182">
        <v>23</v>
      </c>
      <c r="C23" s="183" t="s">
        <v>66</v>
      </c>
      <c r="D23" s="14">
        <v>13</v>
      </c>
      <c r="E23" s="14">
        <v>8</v>
      </c>
      <c r="F23" s="15">
        <v>13</v>
      </c>
      <c r="G23" s="15">
        <v>12</v>
      </c>
      <c r="H23" s="14">
        <v>13</v>
      </c>
      <c r="I23" s="14">
        <v>10</v>
      </c>
      <c r="J23" s="15"/>
      <c r="K23" s="15"/>
      <c r="L23" s="14"/>
      <c r="M23" s="14"/>
      <c r="N23" s="15"/>
      <c r="O23" s="15"/>
      <c r="P23" s="16">
        <f t="shared" si="0"/>
        <v>9</v>
      </c>
      <c r="Q23" s="184">
        <f t="shared" si="1"/>
        <v>3</v>
      </c>
      <c r="R23" s="34"/>
      <c r="S23" s="34"/>
      <c r="T23" s="34"/>
      <c r="U23" s="34"/>
      <c r="Y23" s="10"/>
      <c r="Z23" s="13">
        <v>21</v>
      </c>
      <c r="AA23" s="180">
        <v>9</v>
      </c>
      <c r="AB23" s="176" t="str">
        <f ca="1">INDIRECT("c9")</f>
        <v>NATHAN - JEAN BERNARD</v>
      </c>
      <c r="AC23" s="179">
        <f ca="1">INDIRECT("q9")</f>
        <v>2</v>
      </c>
      <c r="AD23" s="179">
        <f ca="1">INDIRECT("p9")</f>
        <v>2</v>
      </c>
      <c r="AE23" s="10"/>
      <c r="AJ23" s="7"/>
      <c r="AK23" s="7"/>
      <c r="AL23" s="70">
        <v>23</v>
      </c>
      <c r="AM23" s="67" t="s">
        <v>66</v>
      </c>
      <c r="AN23" s="167">
        <v>48</v>
      </c>
      <c r="AO23" s="168" t="s">
        <v>91</v>
      </c>
      <c r="AP23" s="169">
        <v>24</v>
      </c>
      <c r="AQ23" s="168" t="s">
        <v>67</v>
      </c>
      <c r="AR23" s="173"/>
      <c r="AS23" s="173"/>
      <c r="AT23" s="173">
        <v>35</v>
      </c>
      <c r="AU23" s="173" t="s">
        <v>78</v>
      </c>
      <c r="AV23" s="173"/>
      <c r="AW23" s="173"/>
      <c r="AX23" s="67"/>
      <c r="AY23" s="67"/>
      <c r="AZ23" s="67"/>
      <c r="BA23" s="67"/>
      <c r="BB23" s="67"/>
      <c r="BC23" s="67"/>
      <c r="BD23" s="67"/>
      <c r="BE23" s="67"/>
      <c r="BF23" s="168"/>
      <c r="BG23" s="168"/>
      <c r="BH23" s="31"/>
      <c r="BI23" s="31"/>
      <c r="BJ23" s="44"/>
      <c r="BM23">
        <v>23</v>
      </c>
      <c r="BU23">
        <v>23</v>
      </c>
    </row>
    <row r="24" spans="1:73" ht="17.25" customHeight="1">
      <c r="A24" s="109" t="s">
        <v>67</v>
      </c>
      <c r="B24" s="159">
        <v>24</v>
      </c>
      <c r="C24" s="160" t="s">
        <v>67</v>
      </c>
      <c r="D24" s="14">
        <v>0</v>
      </c>
      <c r="E24" s="14">
        <v>13</v>
      </c>
      <c r="F24" s="15">
        <v>8</v>
      </c>
      <c r="G24" s="15">
        <v>13</v>
      </c>
      <c r="H24" s="14">
        <v>13</v>
      </c>
      <c r="I24" s="14">
        <v>5</v>
      </c>
      <c r="J24" s="15"/>
      <c r="K24" s="15"/>
      <c r="L24" s="14"/>
      <c r="M24" s="14"/>
      <c r="N24" s="15"/>
      <c r="O24" s="15"/>
      <c r="P24" s="16">
        <f t="shared" si="0"/>
        <v>-10</v>
      </c>
      <c r="Q24" s="161">
        <f t="shared" si="1"/>
        <v>1</v>
      </c>
      <c r="R24" s="34"/>
      <c r="S24" s="34"/>
      <c r="T24" s="34"/>
      <c r="U24" s="34"/>
      <c r="Y24" s="10"/>
      <c r="Z24" s="13">
        <v>22</v>
      </c>
      <c r="AA24" s="178">
        <v>35</v>
      </c>
      <c r="AB24" s="176" t="str">
        <f ca="1">INDIRECT("c35")</f>
        <v>CHRISTIANE - BERTRAND</v>
      </c>
      <c r="AC24" s="179">
        <f ca="1">INDIRECT("q35")</f>
        <v>2</v>
      </c>
      <c r="AD24" s="179">
        <f ca="1">INDIRECT("p35")</f>
        <v>2</v>
      </c>
      <c r="AE24" s="10"/>
      <c r="AG24" s="23"/>
      <c r="AJ24" s="7"/>
      <c r="AK24" s="7"/>
      <c r="AL24" s="70">
        <v>24</v>
      </c>
      <c r="AM24" s="67" t="s">
        <v>67</v>
      </c>
      <c r="AN24" s="167">
        <v>10</v>
      </c>
      <c r="AO24" s="168" t="s">
        <v>54</v>
      </c>
      <c r="AP24" s="169">
        <v>45</v>
      </c>
      <c r="AQ24" s="168" t="s">
        <v>88</v>
      </c>
      <c r="AR24" s="173"/>
      <c r="AS24" s="173"/>
      <c r="AT24" s="173">
        <v>15</v>
      </c>
      <c r="AU24" s="173" t="s">
        <v>69</v>
      </c>
      <c r="AV24" s="173"/>
      <c r="AW24" s="173"/>
      <c r="AX24" s="67"/>
      <c r="AY24" s="67"/>
      <c r="AZ24" s="67"/>
      <c r="BA24" s="67"/>
      <c r="BB24" s="67"/>
      <c r="BC24" s="67"/>
      <c r="BD24" s="67"/>
      <c r="BE24" s="67"/>
      <c r="BF24" s="168"/>
      <c r="BG24" s="168"/>
      <c r="BH24" s="31"/>
      <c r="BI24" s="31"/>
      <c r="BJ24" s="44"/>
      <c r="BM24">
        <v>24</v>
      </c>
      <c r="BU24">
        <v>24</v>
      </c>
    </row>
    <row r="25" spans="1:73">
      <c r="A25" s="109" t="s">
        <v>68</v>
      </c>
      <c r="B25" s="175">
        <v>25</v>
      </c>
      <c r="C25" s="176" t="s">
        <v>68</v>
      </c>
      <c r="D25" s="14">
        <v>13</v>
      </c>
      <c r="E25" s="14">
        <v>9</v>
      </c>
      <c r="F25" s="15">
        <v>12</v>
      </c>
      <c r="G25" s="15">
        <v>13</v>
      </c>
      <c r="H25" s="14">
        <v>13</v>
      </c>
      <c r="I25" s="14">
        <v>9</v>
      </c>
      <c r="J25" s="15"/>
      <c r="K25" s="15"/>
      <c r="L25" s="14"/>
      <c r="M25" s="14"/>
      <c r="N25" s="15"/>
      <c r="O25" s="15"/>
      <c r="P25" s="16">
        <f t="shared" si="0"/>
        <v>7</v>
      </c>
      <c r="Q25" s="177">
        <f t="shared" si="1"/>
        <v>2</v>
      </c>
      <c r="R25" s="34"/>
      <c r="S25" s="34"/>
      <c r="T25" s="34"/>
      <c r="U25" s="34"/>
      <c r="W25" s="12"/>
      <c r="Y25" s="10"/>
      <c r="Z25" s="13">
        <v>23</v>
      </c>
      <c r="AA25" s="178">
        <v>48</v>
      </c>
      <c r="AB25" s="176" t="str">
        <f ca="1">INDIRECT("c48")</f>
        <v>ROBERT - LAURENT</v>
      </c>
      <c r="AC25" s="179">
        <f ca="1">INDIRECT("q48")</f>
        <v>2</v>
      </c>
      <c r="AD25" s="179">
        <f ca="1">INDIRECT("p48")</f>
        <v>-2</v>
      </c>
      <c r="AE25" s="10"/>
      <c r="AG25" s="24"/>
      <c r="AJ25" s="7"/>
      <c r="AK25" s="7"/>
      <c r="AL25" s="70">
        <v>25</v>
      </c>
      <c r="AM25" s="67" t="s">
        <v>68</v>
      </c>
      <c r="AN25" s="167"/>
      <c r="AO25" s="168"/>
      <c r="AP25" s="169"/>
      <c r="AQ25" s="168"/>
      <c r="AR25" s="173"/>
      <c r="AS25" s="173"/>
      <c r="AT25" s="173"/>
      <c r="AU25" s="173"/>
      <c r="AV25" s="173"/>
      <c r="AW25" s="173"/>
      <c r="AX25" s="67"/>
      <c r="AY25" s="67"/>
      <c r="AZ25" s="67"/>
      <c r="BA25" s="67"/>
      <c r="BB25" s="67"/>
      <c r="BC25" s="67"/>
      <c r="BD25" s="67"/>
      <c r="BE25" s="67"/>
      <c r="BF25" s="168"/>
      <c r="BG25" s="168"/>
      <c r="BH25" s="31"/>
      <c r="BI25" s="31"/>
      <c r="BJ25" s="44"/>
      <c r="BM25">
        <v>25</v>
      </c>
      <c r="BU25">
        <v>25</v>
      </c>
    </row>
    <row r="26" spans="1:73">
      <c r="A26" s="109" t="s">
        <v>70</v>
      </c>
      <c r="B26" s="175">
        <v>26</v>
      </c>
      <c r="C26" s="176" t="s">
        <v>70</v>
      </c>
      <c r="D26" s="14">
        <v>13</v>
      </c>
      <c r="E26" s="14">
        <v>4</v>
      </c>
      <c r="F26" s="15">
        <v>0</v>
      </c>
      <c r="G26" s="15">
        <v>13</v>
      </c>
      <c r="H26" s="14">
        <v>13</v>
      </c>
      <c r="I26" s="14">
        <v>2</v>
      </c>
      <c r="J26" s="15"/>
      <c r="K26" s="15"/>
      <c r="L26" s="14"/>
      <c r="M26" s="14"/>
      <c r="N26" s="15"/>
      <c r="O26" s="15"/>
      <c r="P26" s="16">
        <f t="shared" si="0"/>
        <v>7</v>
      </c>
      <c r="Q26" s="177">
        <f t="shared" si="1"/>
        <v>2</v>
      </c>
      <c r="R26" s="34"/>
      <c r="S26" s="34"/>
      <c r="T26" s="34"/>
      <c r="U26" s="34"/>
      <c r="Y26" s="10"/>
      <c r="Z26" s="13">
        <v>24</v>
      </c>
      <c r="AA26" s="178">
        <v>46</v>
      </c>
      <c r="AB26" s="176" t="str">
        <f ca="1">INDIRECT("c46")</f>
        <v>SUZANNE - AURELIEN</v>
      </c>
      <c r="AC26" s="179">
        <f ca="1">INDIRECT("q46")</f>
        <v>2</v>
      </c>
      <c r="AD26" s="179">
        <f ca="1">INDIRECT("p46")</f>
        <v>-5</v>
      </c>
      <c r="AE26" s="10"/>
      <c r="AG26" s="24"/>
      <c r="AJ26" s="7"/>
      <c r="AK26" s="7"/>
      <c r="AL26" s="70">
        <v>26</v>
      </c>
      <c r="AM26" s="67" t="s">
        <v>70</v>
      </c>
      <c r="AN26" s="167"/>
      <c r="AO26" s="168"/>
      <c r="AP26" s="169"/>
      <c r="AQ26" s="168"/>
      <c r="AR26" s="173"/>
      <c r="AS26" s="173"/>
      <c r="AT26" s="173"/>
      <c r="AU26" s="173"/>
      <c r="AV26" s="173"/>
      <c r="AW26" s="173"/>
      <c r="AX26" s="67"/>
      <c r="AY26" s="67"/>
      <c r="AZ26" s="67"/>
      <c r="BA26" s="67"/>
      <c r="BB26" s="67"/>
      <c r="BC26" s="67"/>
      <c r="BD26" s="67"/>
      <c r="BE26" s="67"/>
      <c r="BF26" s="168"/>
      <c r="BG26" s="168"/>
      <c r="BH26" s="31"/>
      <c r="BI26" s="31"/>
      <c r="BJ26" s="44"/>
      <c r="BM26">
        <v>26</v>
      </c>
      <c r="BU26">
        <v>26</v>
      </c>
    </row>
    <row r="27" spans="1:73">
      <c r="A27" s="109" t="s">
        <v>71</v>
      </c>
      <c r="B27" s="159">
        <v>27</v>
      </c>
      <c r="C27" s="160" t="s">
        <v>71</v>
      </c>
      <c r="D27" s="14">
        <v>7</v>
      </c>
      <c r="E27" s="14">
        <v>13</v>
      </c>
      <c r="F27" s="15">
        <v>13</v>
      </c>
      <c r="G27" s="15">
        <v>10</v>
      </c>
      <c r="H27" s="14">
        <v>0</v>
      </c>
      <c r="I27" s="14">
        <v>13</v>
      </c>
      <c r="J27" s="15"/>
      <c r="K27" s="15"/>
      <c r="L27" s="14"/>
      <c r="M27" s="14"/>
      <c r="N27" s="15"/>
      <c r="O27" s="15"/>
      <c r="P27" s="16">
        <f t="shared" si="0"/>
        <v>-16</v>
      </c>
      <c r="Q27" s="161">
        <f t="shared" si="1"/>
        <v>1</v>
      </c>
      <c r="R27" s="34"/>
      <c r="S27" s="34"/>
      <c r="T27" s="34"/>
      <c r="U27" s="34"/>
      <c r="Y27" s="10"/>
      <c r="Z27" s="13">
        <v>25</v>
      </c>
      <c r="AA27" s="164">
        <v>17</v>
      </c>
      <c r="AB27" s="160" t="str">
        <f ca="1">INDIRECT("c17")</f>
        <v>CHRISTIAN - ODILE</v>
      </c>
      <c r="AC27" s="163">
        <f ca="1">INDIRECT("q17")</f>
        <v>1</v>
      </c>
      <c r="AD27" s="163">
        <f ca="1">INDIRECT("p17")</f>
        <v>4</v>
      </c>
      <c r="AE27" s="10"/>
      <c r="AJ27" s="7"/>
      <c r="AK27" s="7"/>
      <c r="AL27" s="70">
        <v>27</v>
      </c>
      <c r="AM27" s="67" t="s">
        <v>71</v>
      </c>
      <c r="AN27" s="167"/>
      <c r="AO27" s="168"/>
      <c r="AP27" s="169"/>
      <c r="AQ27" s="168"/>
      <c r="AR27" s="173"/>
      <c r="AS27" s="173"/>
      <c r="AT27" s="173"/>
      <c r="AU27" s="173"/>
      <c r="AV27" s="173"/>
      <c r="AW27" s="173"/>
      <c r="AX27" s="67"/>
      <c r="AY27" s="67"/>
      <c r="AZ27" s="67"/>
      <c r="BA27" s="67"/>
      <c r="BB27" s="67"/>
      <c r="BC27" s="67"/>
      <c r="BD27" s="67"/>
      <c r="BE27" s="67"/>
      <c r="BF27" s="168"/>
      <c r="BG27" s="168"/>
      <c r="BH27" s="31"/>
      <c r="BI27" s="31"/>
      <c r="BJ27" s="44"/>
      <c r="BM27">
        <v>27</v>
      </c>
      <c r="BU27">
        <v>27</v>
      </c>
    </row>
    <row r="28" spans="1:73">
      <c r="A28" s="109" t="s">
        <v>72</v>
      </c>
      <c r="B28" s="165">
        <v>28</v>
      </c>
      <c r="C28" s="160" t="s">
        <v>72</v>
      </c>
      <c r="D28" s="14">
        <v>7</v>
      </c>
      <c r="E28" s="14">
        <v>13</v>
      </c>
      <c r="F28" s="15">
        <v>13</v>
      </c>
      <c r="G28" s="15">
        <v>12</v>
      </c>
      <c r="H28" s="14">
        <v>0</v>
      </c>
      <c r="I28" s="14">
        <v>13</v>
      </c>
      <c r="J28" s="15"/>
      <c r="K28" s="15"/>
      <c r="L28" s="14"/>
      <c r="M28" s="14"/>
      <c r="N28" s="15"/>
      <c r="O28" s="15"/>
      <c r="P28" s="16">
        <f t="shared" si="0"/>
        <v>-18</v>
      </c>
      <c r="Q28" s="161">
        <f t="shared" si="1"/>
        <v>1</v>
      </c>
      <c r="R28" s="34"/>
      <c r="S28" s="34"/>
      <c r="T28" s="34"/>
      <c r="U28" s="34"/>
      <c r="Y28" s="10"/>
      <c r="Z28" s="13">
        <v>26</v>
      </c>
      <c r="AA28" s="164">
        <v>21</v>
      </c>
      <c r="AB28" s="160" t="str">
        <f ca="1">INDIRECT("C21")</f>
        <v>BERNARD - FABRICE</v>
      </c>
      <c r="AC28" s="163">
        <f ca="1">INDIRECT("q21")</f>
        <v>1</v>
      </c>
      <c r="AD28" s="163">
        <f ca="1">INDIRECT("p21")</f>
        <v>2</v>
      </c>
      <c r="AE28" s="10"/>
      <c r="AJ28" s="7"/>
      <c r="AK28" s="7"/>
      <c r="AL28" s="70">
        <v>28</v>
      </c>
      <c r="AM28" s="67" t="s">
        <v>72</v>
      </c>
      <c r="AN28" s="167"/>
      <c r="AO28" s="168"/>
      <c r="AP28" s="169"/>
      <c r="AQ28" s="168"/>
      <c r="AR28" s="173"/>
      <c r="AS28" s="173"/>
      <c r="AT28" s="173"/>
      <c r="AU28" s="173"/>
      <c r="AV28" s="173"/>
      <c r="AW28" s="173"/>
      <c r="AX28" s="67"/>
      <c r="AY28" s="67"/>
      <c r="AZ28" s="67"/>
      <c r="BA28" s="67"/>
      <c r="BB28" s="67"/>
      <c r="BC28" s="67"/>
      <c r="BD28" s="67"/>
      <c r="BE28" s="67"/>
      <c r="BF28" s="168"/>
      <c r="BG28" s="168"/>
      <c r="BH28" s="31"/>
      <c r="BI28" s="31"/>
      <c r="BJ28" s="44"/>
      <c r="BM28">
        <v>28</v>
      </c>
      <c r="BU28">
        <v>28</v>
      </c>
    </row>
    <row r="29" spans="1:73">
      <c r="A29" s="109" t="s">
        <v>15</v>
      </c>
      <c r="B29" s="181">
        <v>29</v>
      </c>
      <c r="C29" s="176" t="s">
        <v>15</v>
      </c>
      <c r="D29" s="14">
        <v>7</v>
      </c>
      <c r="E29" s="14">
        <v>13</v>
      </c>
      <c r="F29" s="15">
        <v>13</v>
      </c>
      <c r="G29" s="15">
        <v>4</v>
      </c>
      <c r="H29" s="14">
        <v>13</v>
      </c>
      <c r="I29" s="14">
        <v>1</v>
      </c>
      <c r="J29" s="15"/>
      <c r="K29" s="15"/>
      <c r="L29" s="14"/>
      <c r="M29" s="14"/>
      <c r="N29" s="15"/>
      <c r="O29" s="15"/>
      <c r="P29" s="16">
        <f t="shared" si="0"/>
        <v>15</v>
      </c>
      <c r="Q29" s="177">
        <f t="shared" si="1"/>
        <v>2</v>
      </c>
      <c r="R29" s="34"/>
      <c r="S29" s="34"/>
      <c r="T29" s="34"/>
      <c r="U29" s="34"/>
      <c r="Y29" s="10"/>
      <c r="Z29" s="13">
        <v>27</v>
      </c>
      <c r="AA29" s="164">
        <v>31</v>
      </c>
      <c r="AB29" s="160" t="str">
        <f ca="1">INDIRECT("c31")</f>
        <v>COSNET - DOMINIQUE</v>
      </c>
      <c r="AC29" s="163">
        <f ca="1">INDIRECT("q31")</f>
        <v>1</v>
      </c>
      <c r="AD29" s="163">
        <f ca="1">INDIRECT("p31")</f>
        <v>0</v>
      </c>
      <c r="AE29" s="10"/>
      <c r="AJ29" s="7"/>
      <c r="AK29" s="7"/>
      <c r="AL29" s="70">
        <v>29</v>
      </c>
      <c r="AM29" s="67" t="s">
        <v>15</v>
      </c>
      <c r="AN29" s="167"/>
      <c r="AO29" s="168"/>
      <c r="AP29" s="169"/>
      <c r="AQ29" s="168"/>
      <c r="AR29" s="173"/>
      <c r="AS29" s="173"/>
      <c r="AT29" s="173"/>
      <c r="AU29" s="173"/>
      <c r="AV29" s="173"/>
      <c r="AW29" s="173"/>
      <c r="AX29" s="67"/>
      <c r="AY29" s="67"/>
      <c r="AZ29" s="67"/>
      <c r="BA29" s="67"/>
      <c r="BB29" s="67"/>
      <c r="BC29" s="67"/>
      <c r="BD29" s="67"/>
      <c r="BE29" s="67"/>
      <c r="BF29" s="168"/>
      <c r="BG29" s="168"/>
      <c r="BH29" s="31"/>
      <c r="BI29" s="31"/>
      <c r="BJ29" s="44"/>
      <c r="BM29">
        <v>29</v>
      </c>
      <c r="BU29">
        <v>29</v>
      </c>
    </row>
    <row r="30" spans="1:73">
      <c r="A30" s="109" t="s">
        <v>73</v>
      </c>
      <c r="B30" s="181">
        <v>30</v>
      </c>
      <c r="C30" s="176" t="s">
        <v>73</v>
      </c>
      <c r="D30" s="14">
        <v>13</v>
      </c>
      <c r="E30" s="14">
        <v>1</v>
      </c>
      <c r="F30" s="15">
        <v>4</v>
      </c>
      <c r="G30" s="15">
        <v>13</v>
      </c>
      <c r="H30" s="14">
        <v>13</v>
      </c>
      <c r="I30" s="14">
        <v>0</v>
      </c>
      <c r="J30" s="15"/>
      <c r="K30" s="15"/>
      <c r="L30" s="14"/>
      <c r="M30" s="14"/>
      <c r="N30" s="15"/>
      <c r="O30" s="15"/>
      <c r="P30" s="16">
        <f t="shared" si="0"/>
        <v>16</v>
      </c>
      <c r="Q30" s="177">
        <f t="shared" si="1"/>
        <v>2</v>
      </c>
      <c r="R30" s="34"/>
      <c r="S30" s="34"/>
      <c r="T30" s="34"/>
      <c r="U30" s="34"/>
      <c r="Y30" s="10"/>
      <c r="Z30" s="13">
        <v>28</v>
      </c>
      <c r="AA30" s="164">
        <v>34</v>
      </c>
      <c r="AB30" s="160" t="str">
        <f ca="1">INDIRECT("c34")</f>
        <v>JEAN MARC - PHILIPPE</v>
      </c>
      <c r="AC30" s="163">
        <f ca="1">INDIRECT("q34")</f>
        <v>1</v>
      </c>
      <c r="AD30" s="163">
        <f ca="1">INDIRECT("p34")</f>
        <v>0</v>
      </c>
      <c r="AE30" s="10"/>
      <c r="AJ30" s="7"/>
      <c r="AK30" s="7"/>
      <c r="AL30" s="70">
        <v>30</v>
      </c>
      <c r="AM30" s="67" t="s">
        <v>73</v>
      </c>
      <c r="AN30" s="167"/>
      <c r="AO30" s="168"/>
      <c r="AP30" s="169"/>
      <c r="AQ30" s="168"/>
      <c r="AR30" s="173"/>
      <c r="AS30" s="173"/>
      <c r="AT30" s="173"/>
      <c r="AU30" s="173"/>
      <c r="AV30" s="173"/>
      <c r="AW30" s="173"/>
      <c r="AX30" s="67"/>
      <c r="AY30" s="67"/>
      <c r="AZ30" s="67"/>
      <c r="BA30" s="67"/>
      <c r="BB30" s="67"/>
      <c r="BC30" s="67"/>
      <c r="BD30" s="67"/>
      <c r="BE30" s="67"/>
      <c r="BF30" s="168"/>
      <c r="BG30" s="168"/>
      <c r="BH30" s="31"/>
      <c r="BI30" s="31"/>
      <c r="BJ30" s="44"/>
      <c r="BM30">
        <v>30</v>
      </c>
      <c r="BU30">
        <v>30</v>
      </c>
    </row>
    <row r="31" spans="1:73">
      <c r="A31" s="109" t="s">
        <v>74</v>
      </c>
      <c r="B31" s="165">
        <v>31</v>
      </c>
      <c r="C31" s="160" t="s">
        <v>74</v>
      </c>
      <c r="D31" s="14">
        <v>11</v>
      </c>
      <c r="E31" s="14">
        <v>13</v>
      </c>
      <c r="F31" s="15">
        <v>11</v>
      </c>
      <c r="G31" s="15">
        <v>13</v>
      </c>
      <c r="H31" s="14">
        <v>13</v>
      </c>
      <c r="I31" s="14">
        <v>9</v>
      </c>
      <c r="J31" s="15"/>
      <c r="K31" s="15"/>
      <c r="L31" s="14"/>
      <c r="M31" s="14"/>
      <c r="N31" s="15"/>
      <c r="O31" s="15"/>
      <c r="P31" s="16">
        <f t="shared" si="0"/>
        <v>0</v>
      </c>
      <c r="Q31" s="161">
        <f t="shared" si="1"/>
        <v>1</v>
      </c>
      <c r="R31" s="34"/>
      <c r="S31" s="34"/>
      <c r="T31" s="34"/>
      <c r="U31" s="34"/>
      <c r="Y31" s="10"/>
      <c r="Z31" s="13">
        <v>29</v>
      </c>
      <c r="AA31" s="162">
        <v>8</v>
      </c>
      <c r="AB31" s="160" t="str">
        <f ca="1">INDIRECT("c8")</f>
        <v>DEDE - CEDRIC</v>
      </c>
      <c r="AC31" s="163">
        <f ca="1">INDIRECT("q8")</f>
        <v>1</v>
      </c>
      <c r="AD31" s="163">
        <f ca="1">INDIRECT("p8")</f>
        <v>-1</v>
      </c>
      <c r="AE31" s="10"/>
      <c r="AJ31" s="7"/>
      <c r="AK31" s="7"/>
      <c r="AL31" s="70">
        <v>31</v>
      </c>
      <c r="AM31" s="67" t="s">
        <v>74</v>
      </c>
      <c r="AN31" s="167"/>
      <c r="AO31" s="168"/>
      <c r="AP31" s="169"/>
      <c r="AQ31" s="168"/>
      <c r="AR31" s="173"/>
      <c r="AS31" s="173"/>
      <c r="AT31" s="173"/>
      <c r="AU31" s="173"/>
      <c r="AV31" s="173"/>
      <c r="AW31" s="173"/>
      <c r="AX31" s="67"/>
      <c r="AY31" s="67"/>
      <c r="AZ31" s="67"/>
      <c r="BA31" s="67"/>
      <c r="BB31" s="67"/>
      <c r="BC31" s="67"/>
      <c r="BD31" s="67"/>
      <c r="BE31" s="67"/>
      <c r="BF31" s="168"/>
      <c r="BG31" s="168"/>
      <c r="BH31" s="31"/>
      <c r="BI31" s="31"/>
      <c r="BJ31" s="44"/>
      <c r="BM31">
        <v>31</v>
      </c>
      <c r="BU31">
        <v>31</v>
      </c>
    </row>
    <row r="32" spans="1:73">
      <c r="A32" s="109" t="s">
        <v>75</v>
      </c>
      <c r="B32" s="165">
        <v>32</v>
      </c>
      <c r="C32" s="160" t="s">
        <v>75</v>
      </c>
      <c r="D32" s="14">
        <v>12</v>
      </c>
      <c r="E32" s="14">
        <v>13</v>
      </c>
      <c r="F32" s="15">
        <v>13</v>
      </c>
      <c r="G32" s="15">
        <v>8</v>
      </c>
      <c r="H32" s="14">
        <v>5</v>
      </c>
      <c r="I32" s="14">
        <v>13</v>
      </c>
      <c r="J32" s="15"/>
      <c r="K32" s="15"/>
      <c r="L32" s="14"/>
      <c r="M32" s="14"/>
      <c r="N32" s="15"/>
      <c r="O32" s="15"/>
      <c r="P32" s="16">
        <f t="shared" si="0"/>
        <v>-4</v>
      </c>
      <c r="Q32" s="161">
        <f t="shared" si="1"/>
        <v>1</v>
      </c>
      <c r="R32" s="34"/>
      <c r="S32" s="34"/>
      <c r="T32" s="34"/>
      <c r="U32" s="34"/>
      <c r="Y32" s="10"/>
      <c r="Z32" s="13">
        <v>30</v>
      </c>
      <c r="AA32" s="164">
        <v>33</v>
      </c>
      <c r="AB32" s="160" t="str">
        <f ca="1">INDIRECT("c33")</f>
        <v>JEAN - SUZI</v>
      </c>
      <c r="AC32" s="163">
        <f ca="1">INDIRECT("q33")</f>
        <v>1</v>
      </c>
      <c r="AD32" s="163">
        <f ca="1">INDIRECT("p33")</f>
        <v>-2</v>
      </c>
      <c r="AE32" s="10"/>
      <c r="AJ32" s="7"/>
      <c r="AK32" s="7"/>
      <c r="AL32" s="69">
        <v>32</v>
      </c>
      <c r="AM32" s="68" t="s">
        <v>75</v>
      </c>
      <c r="AN32" s="170"/>
      <c r="AO32" s="171"/>
      <c r="AP32" s="172"/>
      <c r="AQ32" s="171"/>
      <c r="AR32" s="174"/>
      <c r="AS32" s="174"/>
      <c r="AT32" s="174"/>
      <c r="AU32" s="174"/>
      <c r="AV32" s="174"/>
      <c r="AW32" s="174"/>
      <c r="AX32" s="68"/>
      <c r="AY32" s="68"/>
      <c r="AZ32" s="68"/>
      <c r="BA32" s="68"/>
      <c r="BB32" s="68"/>
      <c r="BC32" s="68"/>
      <c r="BD32" s="68"/>
      <c r="BE32" s="68"/>
      <c r="BF32" s="171"/>
      <c r="BG32" s="171"/>
      <c r="BH32" s="31"/>
      <c r="BI32" s="31"/>
      <c r="BJ32" s="44"/>
      <c r="BM32">
        <v>32</v>
      </c>
      <c r="BU32">
        <v>32</v>
      </c>
    </row>
    <row r="33" spans="1:73">
      <c r="A33" s="109" t="s">
        <v>76</v>
      </c>
      <c r="B33" s="165">
        <v>33</v>
      </c>
      <c r="C33" s="160" t="s">
        <v>76</v>
      </c>
      <c r="D33" s="14">
        <v>13</v>
      </c>
      <c r="E33" s="14">
        <v>7</v>
      </c>
      <c r="F33" s="15">
        <v>10</v>
      </c>
      <c r="G33" s="15">
        <v>13</v>
      </c>
      <c r="H33" s="14">
        <v>8</v>
      </c>
      <c r="I33" s="14">
        <v>13</v>
      </c>
      <c r="J33" s="15"/>
      <c r="K33" s="15"/>
      <c r="L33" s="14"/>
      <c r="M33" s="14"/>
      <c r="N33" s="15"/>
      <c r="O33" s="15"/>
      <c r="P33" s="16">
        <f t="shared" si="0"/>
        <v>-2</v>
      </c>
      <c r="Q33" s="161">
        <f t="shared" si="1"/>
        <v>1</v>
      </c>
      <c r="R33" s="34"/>
      <c r="S33" s="34"/>
      <c r="T33" s="34"/>
      <c r="U33" s="34"/>
      <c r="Y33" s="10"/>
      <c r="Z33" s="13">
        <v>31</v>
      </c>
      <c r="AA33" s="164">
        <v>44</v>
      </c>
      <c r="AB33" s="160" t="str">
        <f ca="1">INDIRECT("c44")</f>
        <v>DANIELLE - BERNARD</v>
      </c>
      <c r="AC33" s="163">
        <f ca="1">INDIRECT("q44")</f>
        <v>1</v>
      </c>
      <c r="AD33" s="163">
        <f ca="1">INDIRECT("p44")</f>
        <v>-4</v>
      </c>
      <c r="AE33" s="10"/>
      <c r="AJ33" s="7"/>
      <c r="AK33" s="7"/>
      <c r="AL33" s="70">
        <v>33</v>
      </c>
      <c r="AM33" s="67" t="s">
        <v>76</v>
      </c>
      <c r="AN33" s="167"/>
      <c r="AO33" s="168"/>
      <c r="AP33" s="169"/>
      <c r="AQ33" s="168"/>
      <c r="AR33" s="173"/>
      <c r="AS33" s="173"/>
      <c r="AT33" s="173"/>
      <c r="AU33" s="173"/>
      <c r="AV33" s="173"/>
      <c r="AW33" s="173"/>
      <c r="AX33" s="67"/>
      <c r="AY33" s="67"/>
      <c r="AZ33" s="67"/>
      <c r="BA33" s="67"/>
      <c r="BB33" s="67"/>
      <c r="BC33" s="67"/>
      <c r="BD33" s="67"/>
      <c r="BE33" s="67"/>
      <c r="BF33" s="168"/>
      <c r="BG33" s="168"/>
      <c r="BH33" s="31"/>
      <c r="BI33" s="31"/>
      <c r="BJ33" s="44"/>
      <c r="BM33">
        <v>33</v>
      </c>
      <c r="BU33">
        <v>33</v>
      </c>
    </row>
    <row r="34" spans="1:73">
      <c r="A34" s="109" t="s">
        <v>77</v>
      </c>
      <c r="B34" s="165">
        <v>34</v>
      </c>
      <c r="C34" s="160" t="s">
        <v>77</v>
      </c>
      <c r="D34" s="14">
        <v>9</v>
      </c>
      <c r="E34" s="14">
        <v>13</v>
      </c>
      <c r="F34" s="15">
        <v>4</v>
      </c>
      <c r="G34" s="15">
        <v>13</v>
      </c>
      <c r="H34" s="14">
        <v>13</v>
      </c>
      <c r="I34" s="14">
        <v>0</v>
      </c>
      <c r="J34" s="15"/>
      <c r="K34" s="15"/>
      <c r="L34" s="14"/>
      <c r="M34" s="14"/>
      <c r="N34" s="15"/>
      <c r="O34" s="15"/>
      <c r="P34" s="16">
        <f t="shared" si="0"/>
        <v>0</v>
      </c>
      <c r="Q34" s="161">
        <f t="shared" si="1"/>
        <v>1</v>
      </c>
      <c r="R34" s="34"/>
      <c r="S34" s="34"/>
      <c r="T34" s="34"/>
      <c r="U34" s="34"/>
      <c r="Y34" s="10"/>
      <c r="Z34" s="13">
        <v>32</v>
      </c>
      <c r="AA34" s="164">
        <v>32</v>
      </c>
      <c r="AB34" s="160" t="str">
        <f ca="1">INDIRECT("c32")</f>
        <v>POLO - JEAN LUC</v>
      </c>
      <c r="AC34" s="163">
        <f ca="1">INDIRECT("q32")</f>
        <v>1</v>
      </c>
      <c r="AD34" s="163">
        <f ca="1">INDIRECT("p32")</f>
        <v>-4</v>
      </c>
      <c r="AE34" s="10"/>
      <c r="AJ34" s="7"/>
      <c r="AK34" s="7"/>
      <c r="AL34" s="70">
        <v>34</v>
      </c>
      <c r="AM34" s="67" t="s">
        <v>77</v>
      </c>
      <c r="AN34" s="167"/>
      <c r="AO34" s="168"/>
      <c r="AP34" s="169"/>
      <c r="AQ34" s="168"/>
      <c r="AR34" s="173"/>
      <c r="AS34" s="173"/>
      <c r="AT34" s="173"/>
      <c r="AU34" s="173"/>
      <c r="AV34" s="173"/>
      <c r="AW34" s="173"/>
      <c r="AX34" s="67"/>
      <c r="AY34" s="67"/>
      <c r="AZ34" s="67"/>
      <c r="BA34" s="67"/>
      <c r="BB34" s="67"/>
      <c r="BC34" s="67"/>
      <c r="BD34" s="67"/>
      <c r="BE34" s="67"/>
      <c r="BF34" s="168"/>
      <c r="BG34" s="168"/>
      <c r="BH34" s="31"/>
      <c r="BI34" s="31"/>
      <c r="BJ34" s="44"/>
      <c r="BM34">
        <v>34</v>
      </c>
      <c r="BU34">
        <v>34</v>
      </c>
    </row>
    <row r="35" spans="1:73">
      <c r="A35" s="109" t="s">
        <v>78</v>
      </c>
      <c r="B35" s="181">
        <v>35</v>
      </c>
      <c r="C35" s="176" t="s">
        <v>78</v>
      </c>
      <c r="D35" s="14">
        <v>4</v>
      </c>
      <c r="E35" s="14">
        <v>13</v>
      </c>
      <c r="F35" s="15">
        <v>13</v>
      </c>
      <c r="G35" s="15">
        <v>10</v>
      </c>
      <c r="H35" s="14">
        <v>13</v>
      </c>
      <c r="I35" s="14">
        <v>5</v>
      </c>
      <c r="J35" s="15"/>
      <c r="K35" s="15"/>
      <c r="L35" s="14"/>
      <c r="M35" s="14"/>
      <c r="N35" s="15"/>
      <c r="O35" s="15"/>
      <c r="P35" s="16">
        <f t="shared" si="0"/>
        <v>2</v>
      </c>
      <c r="Q35" s="177">
        <f t="shared" si="1"/>
        <v>2</v>
      </c>
      <c r="R35" s="34"/>
      <c r="S35" s="34"/>
      <c r="T35" s="34"/>
      <c r="U35" s="34"/>
      <c r="Y35" s="10"/>
      <c r="Z35" s="13">
        <v>33</v>
      </c>
      <c r="AA35" s="162">
        <v>3</v>
      </c>
      <c r="AB35" s="160" t="str">
        <f ca="1">INDIRECT("c3")</f>
        <v>PAPI</v>
      </c>
      <c r="AC35" s="163">
        <f ca="1">INDIRECT("q3")</f>
        <v>1</v>
      </c>
      <c r="AD35" s="163">
        <f ca="1">INDIRECT("p3")</f>
        <v>-5</v>
      </c>
      <c r="AE35" s="10"/>
      <c r="AJ35" s="7"/>
      <c r="AK35" s="7"/>
      <c r="AL35" s="70">
        <v>35</v>
      </c>
      <c r="AM35" s="67" t="s">
        <v>78</v>
      </c>
      <c r="AN35" s="167"/>
      <c r="AO35" s="168"/>
      <c r="AP35" s="169"/>
      <c r="AQ35" s="168"/>
      <c r="AR35" s="173"/>
      <c r="AS35" s="173"/>
      <c r="AT35" s="173"/>
      <c r="AU35" s="173"/>
      <c r="AV35" s="173"/>
      <c r="AW35" s="173"/>
      <c r="AX35" s="67"/>
      <c r="AY35" s="67"/>
      <c r="AZ35" s="67"/>
      <c r="BA35" s="67"/>
      <c r="BB35" s="67"/>
      <c r="BC35" s="67"/>
      <c r="BD35" s="67"/>
      <c r="BE35" s="67"/>
      <c r="BF35" s="168"/>
      <c r="BG35" s="168"/>
      <c r="BH35" s="31"/>
      <c r="BI35" s="40"/>
      <c r="BJ35" s="44"/>
      <c r="BM35">
        <v>35</v>
      </c>
      <c r="BU35">
        <v>35</v>
      </c>
    </row>
    <row r="36" spans="1:73">
      <c r="A36" s="109" t="s">
        <v>79</v>
      </c>
      <c r="B36" s="181">
        <v>36</v>
      </c>
      <c r="C36" s="176" t="s">
        <v>79</v>
      </c>
      <c r="D36" s="14">
        <v>9</v>
      </c>
      <c r="E36" s="14">
        <v>13</v>
      </c>
      <c r="F36" s="15">
        <v>13</v>
      </c>
      <c r="G36" s="15">
        <v>6</v>
      </c>
      <c r="H36" s="14">
        <v>13</v>
      </c>
      <c r="I36" s="14">
        <v>3</v>
      </c>
      <c r="J36" s="15"/>
      <c r="K36" s="15"/>
      <c r="L36" s="14"/>
      <c r="M36" s="14"/>
      <c r="N36" s="15"/>
      <c r="O36" s="15"/>
      <c r="P36" s="16">
        <f t="shared" si="0"/>
        <v>13</v>
      </c>
      <c r="Q36" s="177">
        <f t="shared" si="1"/>
        <v>2</v>
      </c>
      <c r="R36" s="34"/>
      <c r="S36" s="34"/>
      <c r="T36" s="34"/>
      <c r="U36" s="34"/>
      <c r="Y36" s="10"/>
      <c r="Z36" s="13">
        <v>34</v>
      </c>
      <c r="AA36" s="164">
        <v>18</v>
      </c>
      <c r="AB36" s="160" t="str">
        <f ca="1">INDIRECT("c18")</f>
        <v>CHARLES -DANIELLE</v>
      </c>
      <c r="AC36" s="163">
        <f ca="1">INDIRECT("q18")</f>
        <v>1</v>
      </c>
      <c r="AD36" s="163">
        <f ca="1">INDIRECT("p18")</f>
        <v>-6</v>
      </c>
      <c r="AE36" s="10"/>
      <c r="AJ36" s="7"/>
      <c r="AK36" s="7"/>
      <c r="AL36" s="70">
        <v>36</v>
      </c>
      <c r="AM36" s="67" t="s">
        <v>79</v>
      </c>
      <c r="AN36" s="167"/>
      <c r="AO36" s="168"/>
      <c r="AP36" s="169"/>
      <c r="AQ36" s="168"/>
      <c r="AR36" s="173"/>
      <c r="AS36" s="173"/>
      <c r="AT36" s="173"/>
      <c r="AU36" s="173"/>
      <c r="AV36" s="173"/>
      <c r="AW36" s="173"/>
      <c r="AX36" s="67"/>
      <c r="AY36" s="67"/>
      <c r="AZ36" s="67"/>
      <c r="BA36" s="67"/>
      <c r="BB36" s="67"/>
      <c r="BC36" s="67"/>
      <c r="BD36" s="67"/>
      <c r="BE36" s="67"/>
      <c r="BF36" s="168"/>
      <c r="BG36" s="168"/>
      <c r="BH36" s="31"/>
      <c r="BI36" s="40"/>
      <c r="BJ36" s="42"/>
      <c r="BM36">
        <v>36</v>
      </c>
      <c r="BU36">
        <v>36</v>
      </c>
    </row>
    <row r="37" spans="1:73">
      <c r="A37" s="109" t="s">
        <v>80</v>
      </c>
      <c r="B37" s="27">
        <v>37</v>
      </c>
      <c r="C37" s="65" t="s">
        <v>80</v>
      </c>
      <c r="D37" s="14">
        <v>11</v>
      </c>
      <c r="E37" s="14">
        <v>13</v>
      </c>
      <c r="F37" s="15">
        <v>9</v>
      </c>
      <c r="G37" s="15">
        <v>13</v>
      </c>
      <c r="H37" s="14">
        <v>5</v>
      </c>
      <c r="I37" s="14">
        <v>13</v>
      </c>
      <c r="J37" s="15"/>
      <c r="K37" s="15"/>
      <c r="L37" s="14"/>
      <c r="M37" s="14"/>
      <c r="N37" s="15"/>
      <c r="O37" s="15"/>
      <c r="P37" s="16">
        <f t="shared" si="0"/>
        <v>-14</v>
      </c>
      <c r="Q37" s="26">
        <f t="shared" si="1"/>
        <v>0</v>
      </c>
      <c r="R37" s="34"/>
      <c r="S37" s="34"/>
      <c r="T37" s="34"/>
      <c r="U37" s="34"/>
      <c r="Y37" s="10"/>
      <c r="Z37" s="13">
        <v>35</v>
      </c>
      <c r="AA37" s="164">
        <v>24</v>
      </c>
      <c r="AB37" s="160" t="str">
        <f ca="1">INDIRECT("C24")</f>
        <v>VERO - BABETTE</v>
      </c>
      <c r="AC37" s="163">
        <f ca="1">INDIRECT("q24")</f>
        <v>1</v>
      </c>
      <c r="AD37" s="163">
        <f ca="1">INDIRECT("p24")</f>
        <v>-10</v>
      </c>
      <c r="AE37" s="10"/>
      <c r="AJ37" s="7"/>
      <c r="AK37" s="7"/>
      <c r="AL37" s="70">
        <v>37</v>
      </c>
      <c r="AM37" s="67" t="s">
        <v>80</v>
      </c>
      <c r="AN37" s="167"/>
      <c r="AO37" s="168"/>
      <c r="AP37" s="169"/>
      <c r="AQ37" s="168"/>
      <c r="AR37" s="173"/>
      <c r="AS37" s="173"/>
      <c r="AT37" s="173"/>
      <c r="AU37" s="173"/>
      <c r="AV37" s="173"/>
      <c r="AW37" s="173"/>
      <c r="AX37" s="67"/>
      <c r="AY37" s="67"/>
      <c r="AZ37" s="67"/>
      <c r="BA37" s="67"/>
      <c r="BB37" s="67"/>
      <c r="BC37" s="67"/>
      <c r="BD37" s="67"/>
      <c r="BE37" s="67"/>
      <c r="BF37" s="168"/>
      <c r="BG37" s="168"/>
      <c r="BH37" s="48"/>
      <c r="BI37" s="48"/>
      <c r="BM37">
        <v>37</v>
      </c>
      <c r="BU37">
        <v>37</v>
      </c>
    </row>
    <row r="38" spans="1:73">
      <c r="A38" s="109" t="s">
        <v>81</v>
      </c>
      <c r="B38" s="27">
        <v>38</v>
      </c>
      <c r="C38" s="65" t="s">
        <v>81</v>
      </c>
      <c r="D38" s="14">
        <v>7</v>
      </c>
      <c r="E38" s="14">
        <v>13</v>
      </c>
      <c r="F38" s="15">
        <v>12</v>
      </c>
      <c r="G38" s="15">
        <v>13</v>
      </c>
      <c r="H38" s="14">
        <v>4</v>
      </c>
      <c r="I38" s="14">
        <v>13</v>
      </c>
      <c r="J38" s="15"/>
      <c r="K38" s="15"/>
      <c r="L38" s="14"/>
      <c r="M38" s="14"/>
      <c r="N38" s="15"/>
      <c r="O38" s="15"/>
      <c r="P38" s="16">
        <f t="shared" si="0"/>
        <v>-16</v>
      </c>
      <c r="Q38" s="26">
        <f t="shared" si="1"/>
        <v>0</v>
      </c>
      <c r="R38" s="34"/>
      <c r="S38" s="34"/>
      <c r="T38" s="34"/>
      <c r="U38" s="34"/>
      <c r="Y38" s="10"/>
      <c r="Z38" s="13">
        <v>36</v>
      </c>
      <c r="AA38" s="162">
        <v>5</v>
      </c>
      <c r="AB38" s="160" t="str">
        <f ca="1">INDIRECT("c5")</f>
        <v>MOULES FRITES</v>
      </c>
      <c r="AC38" s="163">
        <f ca="1">INDIRECT("q5")</f>
        <v>1</v>
      </c>
      <c r="AD38" s="163">
        <f ca="1">INDIRECT("p5")</f>
        <v>-12</v>
      </c>
      <c r="AE38" s="10"/>
      <c r="AJ38" s="7"/>
      <c r="AK38" s="7"/>
      <c r="AL38" s="70">
        <v>38</v>
      </c>
      <c r="AM38" s="67" t="s">
        <v>81</v>
      </c>
      <c r="AN38" s="167"/>
      <c r="AO38" s="168"/>
      <c r="AP38" s="169"/>
      <c r="AQ38" s="168"/>
      <c r="AR38" s="173"/>
      <c r="AS38" s="173"/>
      <c r="AT38" s="173"/>
      <c r="AU38" s="173"/>
      <c r="AV38" s="173"/>
      <c r="AW38" s="173"/>
      <c r="AX38" s="67"/>
      <c r="AY38" s="67"/>
      <c r="AZ38" s="67"/>
      <c r="BA38" s="67"/>
      <c r="BB38" s="67"/>
      <c r="BC38" s="67"/>
      <c r="BD38" s="67"/>
      <c r="BE38" s="67"/>
      <c r="BF38" s="168"/>
      <c r="BG38" s="168"/>
      <c r="BH38" s="48"/>
      <c r="BI38" s="48"/>
      <c r="BM38">
        <v>38</v>
      </c>
      <c r="BU38">
        <v>38</v>
      </c>
    </row>
    <row r="39" spans="1:73">
      <c r="A39" s="109" t="s">
        <v>82</v>
      </c>
      <c r="B39" s="188">
        <v>39</v>
      </c>
      <c r="C39" s="183" t="s">
        <v>82</v>
      </c>
      <c r="D39" s="14">
        <v>13</v>
      </c>
      <c r="E39" s="14">
        <v>0</v>
      </c>
      <c r="F39" s="15">
        <v>13</v>
      </c>
      <c r="G39" s="15">
        <v>9</v>
      </c>
      <c r="H39" s="14">
        <v>13</v>
      </c>
      <c r="I39" s="14">
        <v>5</v>
      </c>
      <c r="J39" s="15"/>
      <c r="K39" s="15"/>
      <c r="L39" s="14"/>
      <c r="M39" s="14"/>
      <c r="N39" s="15"/>
      <c r="O39" s="15"/>
      <c r="P39" s="16">
        <f t="shared" si="0"/>
        <v>25</v>
      </c>
      <c r="Q39" s="184">
        <f t="shared" si="1"/>
        <v>3</v>
      </c>
      <c r="R39" s="34"/>
      <c r="S39" s="34"/>
      <c r="T39" s="34"/>
      <c r="U39" s="34"/>
      <c r="Y39" s="10"/>
      <c r="Z39" s="13">
        <v>37</v>
      </c>
      <c r="AA39" s="164">
        <v>45</v>
      </c>
      <c r="AB39" s="160" t="str">
        <f ca="1">INDIRECT("c45")</f>
        <v>JESSICA - GREGORY</v>
      </c>
      <c r="AC39" s="163">
        <f ca="1">INDIRECT("q45")</f>
        <v>1</v>
      </c>
      <c r="AD39" s="163">
        <f ca="1">INDIRECT("p45")</f>
        <v>-13</v>
      </c>
      <c r="AE39" s="10"/>
      <c r="AJ39" s="7"/>
      <c r="AK39" s="7"/>
      <c r="AL39" s="70">
        <v>39</v>
      </c>
      <c r="AM39" s="67" t="s">
        <v>82</v>
      </c>
      <c r="AN39" s="167"/>
      <c r="AO39" s="168"/>
      <c r="AP39" s="169"/>
      <c r="AQ39" s="168"/>
      <c r="AR39" s="173"/>
      <c r="AS39" s="173"/>
      <c r="AT39" s="173"/>
      <c r="AU39" s="173"/>
      <c r="AV39" s="173"/>
      <c r="AW39" s="173"/>
      <c r="AX39" s="67"/>
      <c r="AY39" s="67"/>
      <c r="AZ39" s="67"/>
      <c r="BA39" s="67"/>
      <c r="BB39" s="67"/>
      <c r="BC39" s="67"/>
      <c r="BD39" s="67"/>
      <c r="BE39" s="67"/>
      <c r="BF39" s="168"/>
      <c r="BG39" s="168"/>
      <c r="BH39" s="48"/>
      <c r="BI39" s="48"/>
      <c r="BM39">
        <v>39</v>
      </c>
      <c r="BU39">
        <v>39</v>
      </c>
    </row>
    <row r="40" spans="1:73">
      <c r="A40" s="109" t="s">
        <v>83</v>
      </c>
      <c r="B40" s="27">
        <v>40</v>
      </c>
      <c r="C40" s="65" t="s">
        <v>83</v>
      </c>
      <c r="D40" s="14">
        <v>9</v>
      </c>
      <c r="E40" s="14">
        <v>13</v>
      </c>
      <c r="F40" s="15">
        <v>1</v>
      </c>
      <c r="G40" s="15">
        <v>13</v>
      </c>
      <c r="H40" s="14">
        <v>9</v>
      </c>
      <c r="I40" s="14">
        <v>13</v>
      </c>
      <c r="J40" s="15"/>
      <c r="K40" s="15"/>
      <c r="L40" s="14"/>
      <c r="M40" s="14"/>
      <c r="N40" s="15"/>
      <c r="O40" s="15"/>
      <c r="P40" s="16">
        <f t="shared" si="0"/>
        <v>-20</v>
      </c>
      <c r="Q40" s="26">
        <f t="shared" si="1"/>
        <v>0</v>
      </c>
      <c r="R40" s="34"/>
      <c r="S40" s="34"/>
      <c r="T40" s="34"/>
      <c r="U40" s="34"/>
      <c r="Y40" s="10"/>
      <c r="Z40" s="13">
        <v>38</v>
      </c>
      <c r="AA40" s="162">
        <v>2</v>
      </c>
      <c r="AB40" s="160" t="str">
        <f ca="1">INDIRECT("c2")</f>
        <v>WILLIAM - RENE</v>
      </c>
      <c r="AC40" s="163">
        <f ca="1">INDIRECT("q2")</f>
        <v>1</v>
      </c>
      <c r="AD40" s="163">
        <f ca="1">INDIRECT("p2")</f>
        <v>-14</v>
      </c>
      <c r="AE40" s="10"/>
      <c r="AJ40" s="7"/>
      <c r="AK40" s="7"/>
      <c r="AL40" s="70">
        <v>40</v>
      </c>
      <c r="AM40" s="67" t="s">
        <v>83</v>
      </c>
      <c r="AN40" s="167"/>
      <c r="AO40" s="168"/>
      <c r="AP40" s="169"/>
      <c r="AQ40" s="168"/>
      <c r="AR40" s="173"/>
      <c r="AS40" s="173"/>
      <c r="AT40" s="173"/>
      <c r="AU40" s="173"/>
      <c r="AV40" s="173"/>
      <c r="AW40" s="173"/>
      <c r="AX40" s="67"/>
      <c r="AY40" s="67"/>
      <c r="AZ40" s="67"/>
      <c r="BA40" s="67"/>
      <c r="BB40" s="67"/>
      <c r="BC40" s="67"/>
      <c r="BD40" s="67"/>
      <c r="BE40" s="67"/>
      <c r="BF40" s="168"/>
      <c r="BG40" s="168"/>
      <c r="BH40" s="48"/>
      <c r="BI40" s="48"/>
      <c r="BM40">
        <v>40</v>
      </c>
      <c r="BU40">
        <v>40</v>
      </c>
    </row>
    <row r="41" spans="1:73">
      <c r="A41" s="109" t="s">
        <v>84</v>
      </c>
      <c r="B41" s="181">
        <v>41</v>
      </c>
      <c r="C41" s="176" t="s">
        <v>84</v>
      </c>
      <c r="D41" s="14">
        <v>9</v>
      </c>
      <c r="E41" s="14">
        <v>13</v>
      </c>
      <c r="F41" s="15">
        <v>13</v>
      </c>
      <c r="G41" s="15">
        <v>1</v>
      </c>
      <c r="H41" s="14">
        <v>13</v>
      </c>
      <c r="I41" s="14">
        <v>0</v>
      </c>
      <c r="J41" s="15"/>
      <c r="K41" s="15"/>
      <c r="L41" s="14"/>
      <c r="M41" s="14"/>
      <c r="N41" s="15"/>
      <c r="O41" s="15"/>
      <c r="P41" s="16">
        <f t="shared" si="0"/>
        <v>21</v>
      </c>
      <c r="Q41" s="177">
        <f t="shared" si="1"/>
        <v>2</v>
      </c>
      <c r="R41" s="34"/>
      <c r="S41" s="34"/>
      <c r="T41" s="34"/>
      <c r="U41" s="34"/>
      <c r="Y41" s="10"/>
      <c r="Z41" s="13">
        <v>39</v>
      </c>
      <c r="AA41" s="164">
        <v>13</v>
      </c>
      <c r="AB41" s="160" t="str">
        <f ca="1">INDIRECT("c13")</f>
        <v>CHARLES - CHRISTINE</v>
      </c>
      <c r="AC41" s="163">
        <f ca="1">INDIRECT("q13")</f>
        <v>1</v>
      </c>
      <c r="AD41" s="163">
        <f ca="1">INDIRECT("p13")</f>
        <v>-16</v>
      </c>
      <c r="AE41" s="10"/>
      <c r="AJ41" s="7"/>
      <c r="AK41" s="7"/>
      <c r="AL41" s="70">
        <v>41</v>
      </c>
      <c r="AM41" s="67" t="s">
        <v>84</v>
      </c>
      <c r="AN41" s="167"/>
      <c r="AO41" s="168"/>
      <c r="AP41" s="169"/>
      <c r="AQ41" s="168"/>
      <c r="AR41" s="173"/>
      <c r="AS41" s="173"/>
      <c r="AT41" s="173"/>
      <c r="AU41" s="173"/>
      <c r="AV41" s="173"/>
      <c r="AW41" s="173"/>
      <c r="AX41" s="67"/>
      <c r="AY41" s="67"/>
      <c r="AZ41" s="67"/>
      <c r="BA41" s="67"/>
      <c r="BB41" s="67"/>
      <c r="BC41" s="67"/>
      <c r="BD41" s="67"/>
      <c r="BE41" s="67"/>
      <c r="BF41" s="168"/>
      <c r="BG41" s="168"/>
      <c r="BH41" s="48"/>
      <c r="BI41" s="48"/>
      <c r="BM41">
        <v>41</v>
      </c>
      <c r="BU41">
        <v>41</v>
      </c>
    </row>
    <row r="42" spans="1:73">
      <c r="A42" s="109" t="s">
        <v>85</v>
      </c>
      <c r="B42" s="181">
        <v>42</v>
      </c>
      <c r="C42" s="176" t="s">
        <v>85</v>
      </c>
      <c r="D42" s="14">
        <v>13</v>
      </c>
      <c r="E42" s="14">
        <v>6</v>
      </c>
      <c r="F42" s="15">
        <v>13</v>
      </c>
      <c r="G42" s="15">
        <v>10</v>
      </c>
      <c r="H42" s="14">
        <v>10</v>
      </c>
      <c r="I42" s="14">
        <v>13</v>
      </c>
      <c r="J42" s="15"/>
      <c r="K42" s="15"/>
      <c r="L42" s="14"/>
      <c r="M42" s="14"/>
      <c r="N42" s="15"/>
      <c r="O42" s="15"/>
      <c r="P42" s="16">
        <f t="shared" si="0"/>
        <v>7</v>
      </c>
      <c r="Q42" s="177">
        <f t="shared" si="1"/>
        <v>2</v>
      </c>
      <c r="R42" s="34"/>
      <c r="S42" s="34"/>
      <c r="T42" s="34"/>
      <c r="U42" s="34"/>
      <c r="Y42" s="10"/>
      <c r="Z42" s="13">
        <v>40</v>
      </c>
      <c r="AA42" s="164">
        <v>27</v>
      </c>
      <c r="AB42" s="160" t="str">
        <f ca="1">INDIRECT("c27")</f>
        <v>CAMILLE - CLAUDE</v>
      </c>
      <c r="AC42" s="163">
        <f ca="1">INDIRECT("q27")</f>
        <v>1</v>
      </c>
      <c r="AD42" s="163">
        <f ca="1">INDIRECT("p27")</f>
        <v>-16</v>
      </c>
      <c r="AE42" s="10"/>
      <c r="AJ42" s="7"/>
      <c r="AK42" s="7"/>
      <c r="AL42" s="70">
        <v>42</v>
      </c>
      <c r="AM42" s="67" t="s">
        <v>85</v>
      </c>
      <c r="AN42" s="167"/>
      <c r="AO42" s="168"/>
      <c r="AP42" s="169"/>
      <c r="AQ42" s="168"/>
      <c r="AR42" s="173"/>
      <c r="AS42" s="173"/>
      <c r="AT42" s="173"/>
      <c r="AU42" s="173"/>
      <c r="AV42" s="173"/>
      <c r="AW42" s="173"/>
      <c r="AX42" s="67"/>
      <c r="AY42" s="67"/>
      <c r="AZ42" s="67"/>
      <c r="BA42" s="67"/>
      <c r="BB42" s="67"/>
      <c r="BC42" s="67"/>
      <c r="BD42" s="67"/>
      <c r="BE42" s="67"/>
      <c r="BF42" s="168"/>
      <c r="BG42" s="168"/>
      <c r="BH42" s="48"/>
      <c r="BI42" s="48"/>
      <c r="BM42">
        <v>42</v>
      </c>
      <c r="BU42">
        <v>42</v>
      </c>
    </row>
    <row r="43" spans="1:73">
      <c r="A43" s="109" t="s">
        <v>86</v>
      </c>
      <c r="B43" s="181">
        <v>43</v>
      </c>
      <c r="C43" s="176" t="s">
        <v>86</v>
      </c>
      <c r="D43" s="14">
        <v>13</v>
      </c>
      <c r="E43" s="14">
        <v>9</v>
      </c>
      <c r="F43" s="15">
        <v>13</v>
      </c>
      <c r="G43" s="15">
        <v>3</v>
      </c>
      <c r="H43" s="14">
        <v>11</v>
      </c>
      <c r="I43" s="14">
        <v>13</v>
      </c>
      <c r="J43" s="15"/>
      <c r="K43" s="15"/>
      <c r="L43" s="14"/>
      <c r="M43" s="14"/>
      <c r="N43" s="15"/>
      <c r="O43" s="15"/>
      <c r="P43" s="16">
        <f t="shared" si="0"/>
        <v>12</v>
      </c>
      <c r="Q43" s="177">
        <f t="shared" si="1"/>
        <v>2</v>
      </c>
      <c r="R43" s="34"/>
      <c r="S43" s="34"/>
      <c r="T43" s="34"/>
      <c r="U43" s="34"/>
      <c r="Y43" s="10"/>
      <c r="Z43" s="13">
        <v>41</v>
      </c>
      <c r="AA43" s="164">
        <v>28</v>
      </c>
      <c r="AB43" s="160" t="str">
        <f ca="1">INDIRECT("c28")</f>
        <v>GIGI - CEDRIC</v>
      </c>
      <c r="AC43" s="163">
        <f ca="1">INDIRECT("q28")</f>
        <v>1</v>
      </c>
      <c r="AD43" s="163">
        <f ca="1">INDIRECT("p28")</f>
        <v>-18</v>
      </c>
      <c r="AE43" s="10"/>
      <c r="AJ43" s="7"/>
      <c r="AK43" s="7"/>
      <c r="AL43" s="70">
        <v>43</v>
      </c>
      <c r="AM43" s="67" t="s">
        <v>86</v>
      </c>
      <c r="AN43" s="167"/>
      <c r="AO43" s="168"/>
      <c r="AP43" s="169"/>
      <c r="AQ43" s="168"/>
      <c r="AR43" s="173"/>
      <c r="AS43" s="173"/>
      <c r="AT43" s="173"/>
      <c r="AU43" s="173"/>
      <c r="AV43" s="173"/>
      <c r="AW43" s="173"/>
      <c r="AX43" s="67"/>
      <c r="AY43" s="67"/>
      <c r="AZ43" s="67"/>
      <c r="BA43" s="67"/>
      <c r="BB43" s="67"/>
      <c r="BC43" s="67"/>
      <c r="BD43" s="67"/>
      <c r="BE43" s="67"/>
      <c r="BF43" s="168"/>
      <c r="BG43" s="168"/>
      <c r="BH43" s="48"/>
      <c r="BI43" s="48"/>
      <c r="BM43">
        <v>43</v>
      </c>
      <c r="BU43">
        <v>43</v>
      </c>
    </row>
    <row r="44" spans="1:73">
      <c r="A44" s="109" t="s">
        <v>87</v>
      </c>
      <c r="B44" s="165">
        <v>44</v>
      </c>
      <c r="C44" s="160" t="s">
        <v>87</v>
      </c>
      <c r="D44" s="14">
        <v>13</v>
      </c>
      <c r="E44" s="14">
        <v>2</v>
      </c>
      <c r="F44" s="15">
        <v>9</v>
      </c>
      <c r="G44" s="15">
        <v>13</v>
      </c>
      <c r="H44" s="14">
        <v>2</v>
      </c>
      <c r="I44" s="14">
        <v>13</v>
      </c>
      <c r="J44" s="15"/>
      <c r="K44" s="15"/>
      <c r="L44" s="14"/>
      <c r="M44" s="14"/>
      <c r="N44" s="15"/>
      <c r="O44" s="15"/>
      <c r="P44" s="16">
        <f t="shared" si="0"/>
        <v>-4</v>
      </c>
      <c r="Q44" s="161">
        <f t="shared" si="1"/>
        <v>1</v>
      </c>
      <c r="R44" s="34"/>
      <c r="S44" s="34"/>
      <c r="T44" s="34"/>
      <c r="U44" s="34"/>
      <c r="Y44" s="10"/>
      <c r="Z44" s="13">
        <v>42</v>
      </c>
      <c r="AA44" s="164">
        <v>15</v>
      </c>
      <c r="AB44" s="160" t="str">
        <f ca="1">INDIRECT("c15")</f>
        <v>CEDRIC - KILLIAN</v>
      </c>
      <c r="AC44" s="163">
        <f ca="1">INDIRECT("q15")</f>
        <v>1</v>
      </c>
      <c r="AD44" s="163">
        <f ca="1">INDIRECT("p15")</f>
        <v>-18</v>
      </c>
      <c r="AE44" s="10"/>
      <c r="AJ44" s="7"/>
      <c r="AK44" s="7"/>
      <c r="AL44" s="70">
        <v>44</v>
      </c>
      <c r="AM44" s="67" t="s">
        <v>87</v>
      </c>
      <c r="AN44" s="167"/>
      <c r="AO44" s="168"/>
      <c r="AP44" s="169"/>
      <c r="AQ44" s="168"/>
      <c r="AR44" s="173"/>
      <c r="AS44" s="173"/>
      <c r="AT44" s="173"/>
      <c r="AU44" s="173"/>
      <c r="AV44" s="173"/>
      <c r="AW44" s="173"/>
      <c r="AX44" s="67"/>
      <c r="AY44" s="67"/>
      <c r="AZ44" s="67"/>
      <c r="BA44" s="67"/>
      <c r="BB44" s="67"/>
      <c r="BC44" s="67"/>
      <c r="BD44" s="67"/>
      <c r="BE44" s="67"/>
      <c r="BF44" s="168"/>
      <c r="BG44" s="168"/>
      <c r="BH44" s="48"/>
      <c r="BI44" s="48"/>
      <c r="BM44">
        <v>44</v>
      </c>
      <c r="BU44">
        <v>44</v>
      </c>
    </row>
    <row r="45" spans="1:73">
      <c r="A45" s="110" t="s">
        <v>88</v>
      </c>
      <c r="B45" s="165">
        <v>45</v>
      </c>
      <c r="C45" s="166" t="s">
        <v>88</v>
      </c>
      <c r="D45" s="14">
        <v>0</v>
      </c>
      <c r="E45" s="14">
        <v>13</v>
      </c>
      <c r="F45" s="15">
        <v>10</v>
      </c>
      <c r="G45" s="15">
        <v>13</v>
      </c>
      <c r="H45" s="14">
        <v>13</v>
      </c>
      <c r="I45" s="14">
        <v>10</v>
      </c>
      <c r="J45" s="15"/>
      <c r="K45" s="15"/>
      <c r="L45" s="14"/>
      <c r="M45" s="14"/>
      <c r="N45" s="15"/>
      <c r="O45" s="15"/>
      <c r="P45" s="16">
        <f t="shared" si="0"/>
        <v>-13</v>
      </c>
      <c r="Q45" s="161">
        <f t="shared" si="1"/>
        <v>1</v>
      </c>
      <c r="R45" s="34"/>
      <c r="S45" s="34"/>
      <c r="T45" s="34"/>
      <c r="U45" s="34"/>
      <c r="Y45" s="10"/>
      <c r="Z45" s="13">
        <v>43</v>
      </c>
      <c r="AA45" s="33">
        <v>37</v>
      </c>
      <c r="AB45" s="65" t="str">
        <f ca="1">INDIRECT("c37")</f>
        <v>FRANCINE - YVES</v>
      </c>
      <c r="AC45" s="31">
        <f ca="1">INDIRECT("q37")</f>
        <v>0</v>
      </c>
      <c r="AD45" s="31">
        <f ca="1">INDIRECT("p37")</f>
        <v>-14</v>
      </c>
      <c r="AE45" s="10"/>
      <c r="AJ45" s="7"/>
      <c r="AK45" s="7"/>
      <c r="AL45" s="70">
        <v>45</v>
      </c>
      <c r="AM45" s="67" t="s">
        <v>88</v>
      </c>
      <c r="AN45" s="167"/>
      <c r="AO45" s="168"/>
      <c r="AP45" s="169"/>
      <c r="AQ45" s="168"/>
      <c r="AR45" s="173"/>
      <c r="AS45" s="173"/>
      <c r="AT45" s="173"/>
      <c r="AU45" s="173"/>
      <c r="AV45" s="173"/>
      <c r="AW45" s="173"/>
      <c r="AX45" s="67"/>
      <c r="AY45" s="67"/>
      <c r="AZ45" s="67"/>
      <c r="BA45" s="67"/>
      <c r="BB45" s="67"/>
      <c r="BC45" s="67"/>
      <c r="BD45" s="67"/>
      <c r="BE45" s="67"/>
      <c r="BF45" s="168"/>
      <c r="BG45" s="168"/>
      <c r="BH45" s="48"/>
      <c r="BI45" s="48"/>
      <c r="BM45">
        <v>45</v>
      </c>
      <c r="BU45">
        <v>45</v>
      </c>
    </row>
    <row r="46" spans="1:73">
      <c r="A46" s="110" t="s">
        <v>89</v>
      </c>
      <c r="B46" s="181">
        <v>46</v>
      </c>
      <c r="C46" s="220" t="s">
        <v>89</v>
      </c>
      <c r="D46" s="14">
        <v>13</v>
      </c>
      <c r="E46" s="14">
        <v>9</v>
      </c>
      <c r="F46" s="15">
        <v>3</v>
      </c>
      <c r="G46" s="15">
        <v>13</v>
      </c>
      <c r="H46" s="14">
        <v>13</v>
      </c>
      <c r="I46" s="14">
        <v>12</v>
      </c>
      <c r="J46" s="15"/>
      <c r="K46" s="15"/>
      <c r="L46" s="14"/>
      <c r="M46" s="14"/>
      <c r="N46" s="15"/>
      <c r="O46" s="15"/>
      <c r="P46" s="16">
        <f t="shared" si="0"/>
        <v>-5</v>
      </c>
      <c r="Q46" s="177">
        <f t="shared" si="1"/>
        <v>2</v>
      </c>
      <c r="R46" s="34"/>
      <c r="S46" s="34"/>
      <c r="T46" s="34"/>
      <c r="U46" s="34"/>
      <c r="Y46" s="10"/>
      <c r="Z46" s="13">
        <v>44</v>
      </c>
      <c r="AA46" s="33">
        <v>38</v>
      </c>
      <c r="AB46" s="65" t="str">
        <f ca="1">INDIRECT("c38")</f>
        <v>JESUS - SERGE</v>
      </c>
      <c r="AC46" s="31">
        <f ca="1">INDIRECT("q38")</f>
        <v>0</v>
      </c>
      <c r="AD46" s="31">
        <f ca="1">INDIRECT("p38")</f>
        <v>-16</v>
      </c>
      <c r="AE46" s="10"/>
      <c r="AJ46" s="7"/>
      <c r="AK46" s="7"/>
      <c r="AL46" s="70">
        <v>46</v>
      </c>
      <c r="AM46" s="67" t="s">
        <v>89</v>
      </c>
      <c r="AN46" s="167"/>
      <c r="AO46" s="168"/>
      <c r="AP46" s="169"/>
      <c r="AQ46" s="168"/>
      <c r="AR46" s="173"/>
      <c r="AS46" s="173"/>
      <c r="AT46" s="173"/>
      <c r="AU46" s="173"/>
      <c r="AV46" s="173"/>
      <c r="AW46" s="173"/>
      <c r="AX46" s="67"/>
      <c r="AY46" s="67"/>
      <c r="AZ46" s="67"/>
      <c r="BA46" s="67"/>
      <c r="BB46" s="67"/>
      <c r="BC46" s="67"/>
      <c r="BD46" s="67"/>
      <c r="BE46" s="67"/>
      <c r="BF46" s="168"/>
      <c r="BG46" s="168"/>
      <c r="BH46" s="48"/>
      <c r="BI46" s="48"/>
      <c r="BM46">
        <v>46</v>
      </c>
      <c r="BU46">
        <v>46</v>
      </c>
    </row>
    <row r="47" spans="1:73">
      <c r="A47" s="110" t="s">
        <v>90</v>
      </c>
      <c r="B47" s="188" t="s">
        <v>36</v>
      </c>
      <c r="C47" s="189" t="s">
        <v>90</v>
      </c>
      <c r="D47" s="14">
        <v>13</v>
      </c>
      <c r="E47" s="14">
        <v>7</v>
      </c>
      <c r="F47" s="15">
        <v>13</v>
      </c>
      <c r="G47" s="15">
        <v>0</v>
      </c>
      <c r="H47" s="14">
        <v>13</v>
      </c>
      <c r="I47" s="14">
        <v>3</v>
      </c>
      <c r="J47" s="15"/>
      <c r="K47" s="15"/>
      <c r="L47" s="14"/>
      <c r="M47" s="14"/>
      <c r="N47" s="15"/>
      <c r="O47" s="15"/>
      <c r="P47" s="16">
        <f t="shared" si="0"/>
        <v>29</v>
      </c>
      <c r="Q47" s="184">
        <f t="shared" si="1"/>
        <v>3</v>
      </c>
      <c r="R47" s="34"/>
      <c r="S47" s="34"/>
      <c r="T47" s="34"/>
      <c r="U47" s="34"/>
      <c r="Y47" s="10"/>
      <c r="Z47" s="13">
        <v>45</v>
      </c>
      <c r="AA47" s="33">
        <v>14</v>
      </c>
      <c r="AB47" s="65" t="str">
        <f ca="1">INDIRECT("c14")</f>
        <v>MARYVONNE - LOLO</v>
      </c>
      <c r="AC47" s="31">
        <f ca="1">INDIRECT("q14")</f>
        <v>0</v>
      </c>
      <c r="AD47" s="31">
        <f ca="1">INDIRECT("p14")</f>
        <v>-19</v>
      </c>
      <c r="AE47" s="10"/>
      <c r="AJ47" s="7"/>
      <c r="AK47" s="7"/>
      <c r="AL47" s="70">
        <v>47</v>
      </c>
      <c r="AM47" s="67" t="s">
        <v>90</v>
      </c>
      <c r="AN47" s="167"/>
      <c r="AO47" s="168"/>
      <c r="AP47" s="169"/>
      <c r="AQ47" s="168"/>
      <c r="AR47" s="173"/>
      <c r="AS47" s="173"/>
      <c r="AT47" s="173"/>
      <c r="AU47" s="173"/>
      <c r="AV47" s="173"/>
      <c r="AW47" s="173"/>
      <c r="AX47" s="67"/>
      <c r="AY47" s="67"/>
      <c r="AZ47" s="67"/>
      <c r="BA47" s="67"/>
      <c r="BB47" s="67"/>
      <c r="BC47" s="67"/>
      <c r="BD47" s="67"/>
      <c r="BE47" s="67"/>
      <c r="BF47" s="168"/>
      <c r="BG47" s="168"/>
      <c r="BH47" s="48"/>
      <c r="BI47" s="48"/>
      <c r="BM47">
        <v>47</v>
      </c>
      <c r="BU47">
        <v>47</v>
      </c>
    </row>
    <row r="48" spans="1:73">
      <c r="A48" s="110" t="s">
        <v>91</v>
      </c>
      <c r="B48" s="181" t="s">
        <v>37</v>
      </c>
      <c r="C48" s="220" t="s">
        <v>91</v>
      </c>
      <c r="D48" s="14">
        <v>13</v>
      </c>
      <c r="E48" s="14">
        <v>11</v>
      </c>
      <c r="F48" s="15">
        <v>13</v>
      </c>
      <c r="G48" s="15">
        <v>12</v>
      </c>
      <c r="H48" s="14">
        <v>8</v>
      </c>
      <c r="I48" s="14">
        <v>13</v>
      </c>
      <c r="J48" s="15"/>
      <c r="K48" s="15"/>
      <c r="L48" s="14"/>
      <c r="M48" s="14"/>
      <c r="N48" s="15"/>
      <c r="O48" s="15"/>
      <c r="P48" s="16">
        <f t="shared" si="0"/>
        <v>-2</v>
      </c>
      <c r="Q48" s="177">
        <f t="shared" si="1"/>
        <v>2</v>
      </c>
      <c r="R48" s="34"/>
      <c r="S48" s="34"/>
      <c r="T48" s="34"/>
      <c r="U48" s="34"/>
      <c r="Y48" s="10"/>
      <c r="Z48" s="13">
        <v>46</v>
      </c>
      <c r="AA48" s="33">
        <v>40</v>
      </c>
      <c r="AB48" s="65" t="str">
        <f ca="1">INDIRECT("c40")</f>
        <v>JEAN LUC - MARIE THE</v>
      </c>
      <c r="AC48" s="31">
        <f ca="1">INDIRECT("q40")</f>
        <v>0</v>
      </c>
      <c r="AD48" s="31">
        <f ca="1">INDIRECT("p40")</f>
        <v>-20</v>
      </c>
      <c r="AE48" s="10"/>
      <c r="AJ48" s="7"/>
      <c r="AK48" s="7"/>
      <c r="AL48" s="70">
        <v>48</v>
      </c>
      <c r="AM48" s="67" t="s">
        <v>91</v>
      </c>
      <c r="AN48" s="167"/>
      <c r="AO48" s="168"/>
      <c r="AP48" s="169"/>
      <c r="AQ48" s="168"/>
      <c r="AR48" s="173"/>
      <c r="AS48" s="173"/>
      <c r="AT48" s="173"/>
      <c r="AU48" s="173"/>
      <c r="AV48" s="173"/>
      <c r="AW48" s="173"/>
      <c r="AX48" s="67"/>
      <c r="AY48" s="67"/>
      <c r="AZ48" s="67"/>
      <c r="BA48" s="67"/>
      <c r="BB48" s="67"/>
      <c r="BC48" s="67"/>
      <c r="BD48" s="67"/>
      <c r="BE48" s="67"/>
      <c r="BF48" s="168"/>
      <c r="BG48" s="168"/>
      <c r="BH48" s="48"/>
      <c r="BI48" s="48"/>
      <c r="BM48">
        <v>48</v>
      </c>
      <c r="BU48">
        <v>48</v>
      </c>
    </row>
    <row r="49" spans="1:73">
      <c r="A49" s="110"/>
      <c r="B49" s="27"/>
      <c r="C49" s="53"/>
      <c r="D49" s="14"/>
      <c r="E49" s="14"/>
      <c r="F49" s="15"/>
      <c r="G49" s="15"/>
      <c r="H49" s="14"/>
      <c r="I49" s="14"/>
      <c r="J49" s="15"/>
      <c r="K49" s="15"/>
      <c r="L49" s="14"/>
      <c r="M49" s="14"/>
      <c r="N49" s="15"/>
      <c r="O49" s="15"/>
      <c r="P49" s="16">
        <f t="shared" si="0"/>
        <v>0</v>
      </c>
      <c r="Q49" s="26">
        <f t="shared" si="1"/>
        <v>0</v>
      </c>
      <c r="R49" s="34"/>
      <c r="S49" s="34"/>
      <c r="T49" s="34"/>
      <c r="U49" s="34"/>
      <c r="Y49" s="10"/>
      <c r="Z49" s="13">
        <v>47</v>
      </c>
      <c r="AA49" s="22">
        <v>1</v>
      </c>
      <c r="AB49" s="65" t="str">
        <f ca="1">INDIRECT("c1")</f>
        <v>BERNARD - REGIS</v>
      </c>
      <c r="AC49" s="31">
        <f ca="1">INDIRECT("q1")</f>
        <v>0</v>
      </c>
      <c r="AD49" s="31">
        <f ca="1">INDIRECT("p1")</f>
        <v>-21</v>
      </c>
      <c r="AE49" s="10"/>
      <c r="AJ49" s="7"/>
      <c r="AK49" s="7"/>
      <c r="AL49" s="70"/>
      <c r="AM49" s="67"/>
      <c r="AN49" s="167"/>
      <c r="AO49" s="168"/>
      <c r="AP49" s="169"/>
      <c r="AQ49" s="168"/>
      <c r="AR49" s="173"/>
      <c r="AS49" s="173"/>
      <c r="AT49" s="173"/>
      <c r="AU49" s="173"/>
      <c r="AV49" s="173"/>
      <c r="AW49" s="173"/>
      <c r="AX49" s="67"/>
      <c r="AY49" s="67"/>
      <c r="AZ49" s="67"/>
      <c r="BA49" s="67"/>
      <c r="BB49" s="67"/>
      <c r="BC49" s="67"/>
      <c r="BD49" s="67"/>
      <c r="BE49" s="67"/>
      <c r="BF49" s="168"/>
      <c r="BG49" s="168"/>
      <c r="BH49" s="48"/>
      <c r="BI49" s="48"/>
      <c r="BM49">
        <v>49</v>
      </c>
      <c r="BU49">
        <v>49</v>
      </c>
    </row>
    <row r="50" spans="1:73">
      <c r="A50" s="110"/>
      <c r="B50" s="27"/>
      <c r="C50" s="53"/>
      <c r="D50" s="14"/>
      <c r="E50" s="14"/>
      <c r="F50" s="15"/>
      <c r="G50" s="15"/>
      <c r="H50" s="14"/>
      <c r="I50" s="14"/>
      <c r="J50" s="15"/>
      <c r="K50" s="15"/>
      <c r="L50" s="14"/>
      <c r="M50" s="14"/>
      <c r="N50" s="15"/>
      <c r="O50" s="15"/>
      <c r="P50" s="16">
        <f t="shared" si="0"/>
        <v>0</v>
      </c>
      <c r="Q50" s="26">
        <f t="shared" si="1"/>
        <v>0</v>
      </c>
      <c r="R50" s="34"/>
      <c r="S50" s="34"/>
      <c r="T50" s="34"/>
      <c r="U50" s="34"/>
      <c r="Y50" s="10"/>
      <c r="Z50" s="13">
        <v>48</v>
      </c>
      <c r="AA50" s="33">
        <v>12</v>
      </c>
      <c r="AB50" s="65" t="str">
        <f ca="1">INDIRECT("c12")</f>
        <v>LOUISETTE - JOEL</v>
      </c>
      <c r="AC50" s="31">
        <f ca="1">INDIRECT("q12")</f>
        <v>0</v>
      </c>
      <c r="AD50" s="31">
        <f ca="1">INDIRECT("p12")</f>
        <v>-22</v>
      </c>
      <c r="AE50" s="10"/>
      <c r="AJ50" s="7"/>
      <c r="AK50" s="7"/>
      <c r="AL50" s="70"/>
      <c r="AM50" s="67"/>
      <c r="AN50" s="167"/>
      <c r="AO50" s="168"/>
      <c r="AP50" s="169"/>
      <c r="AQ50" s="168"/>
      <c r="AR50" s="173"/>
      <c r="AS50" s="173"/>
      <c r="AT50" s="173"/>
      <c r="AU50" s="173"/>
      <c r="AV50" s="173"/>
      <c r="AW50" s="173"/>
      <c r="AX50" s="67"/>
      <c r="AY50" s="67"/>
      <c r="AZ50" s="67"/>
      <c r="BA50" s="67"/>
      <c r="BB50" s="67"/>
      <c r="BC50" s="67"/>
      <c r="BD50" s="67"/>
      <c r="BE50" s="67"/>
      <c r="BF50" s="168"/>
      <c r="BG50" s="168"/>
      <c r="BH50" s="48"/>
      <c r="BI50" s="48"/>
      <c r="BM50">
        <v>50</v>
      </c>
      <c r="BU50">
        <v>50</v>
      </c>
    </row>
    <row r="51" spans="1:73">
      <c r="A51" s="110"/>
      <c r="B51" s="27">
        <v>51</v>
      </c>
      <c r="C51" s="53"/>
      <c r="D51" s="14"/>
      <c r="E51" s="14"/>
      <c r="F51" s="15"/>
      <c r="G51" s="15"/>
      <c r="H51" s="14"/>
      <c r="I51" s="14"/>
      <c r="J51" s="15"/>
      <c r="K51" s="15"/>
      <c r="L51" s="14"/>
      <c r="M51" s="14"/>
      <c r="N51" s="15"/>
      <c r="O51" s="15"/>
      <c r="P51" s="16">
        <f t="shared" si="0"/>
        <v>0</v>
      </c>
      <c r="Q51" s="26">
        <f t="shared" si="1"/>
        <v>0</v>
      </c>
      <c r="R51" s="34"/>
      <c r="S51" s="34"/>
      <c r="T51" s="34"/>
      <c r="U51" s="34"/>
      <c r="Y51" s="10"/>
      <c r="Z51" s="13">
        <v>49</v>
      </c>
      <c r="AA51" s="33">
        <v>49</v>
      </c>
      <c r="AB51" s="65">
        <f ca="1">INDIRECT("c49")</f>
        <v>0</v>
      </c>
      <c r="AC51" s="31">
        <f ca="1">INDIRECT("q49")</f>
        <v>0</v>
      </c>
      <c r="AD51" s="31">
        <f ca="1">INDIRECT("p49")</f>
        <v>0</v>
      </c>
      <c r="AE51" s="10"/>
      <c r="AJ51" s="7"/>
      <c r="AK51" s="7"/>
      <c r="AL51" s="70"/>
      <c r="AM51" s="67"/>
      <c r="AN51" s="167"/>
      <c r="AO51" s="168"/>
      <c r="AP51" s="169"/>
      <c r="AQ51" s="168"/>
      <c r="AR51" s="173"/>
      <c r="AS51" s="173"/>
      <c r="AT51" s="173"/>
      <c r="AU51" s="173"/>
      <c r="AV51" s="173"/>
      <c r="AW51" s="173"/>
      <c r="AX51" s="67"/>
      <c r="AY51" s="67"/>
      <c r="AZ51" s="67"/>
      <c r="BA51" s="67"/>
      <c r="BB51" s="67"/>
      <c r="BC51" s="67"/>
      <c r="BD51" s="67"/>
      <c r="BE51" s="67"/>
      <c r="BF51" s="168"/>
      <c r="BG51" s="168"/>
      <c r="BH51" s="48"/>
      <c r="BI51" s="48"/>
      <c r="BM51">
        <v>51</v>
      </c>
      <c r="BU51">
        <v>51</v>
      </c>
    </row>
    <row r="52" spans="1:73">
      <c r="A52" s="110"/>
      <c r="B52" s="27">
        <v>52</v>
      </c>
      <c r="C52" s="53"/>
      <c r="D52" s="14"/>
      <c r="E52" s="14"/>
      <c r="F52" s="15"/>
      <c r="G52" s="15"/>
      <c r="H52" s="14"/>
      <c r="I52" s="14"/>
      <c r="J52" s="15"/>
      <c r="K52" s="15"/>
      <c r="L52" s="14"/>
      <c r="M52" s="14"/>
      <c r="N52" s="15"/>
      <c r="O52" s="15"/>
      <c r="P52" s="16">
        <f t="shared" si="0"/>
        <v>0</v>
      </c>
      <c r="Q52" s="26">
        <f t="shared" si="1"/>
        <v>0</v>
      </c>
      <c r="R52" s="34"/>
      <c r="S52" s="34"/>
      <c r="T52" s="34"/>
      <c r="U52" s="34"/>
      <c r="Y52" s="10"/>
      <c r="Z52" s="13">
        <v>50</v>
      </c>
      <c r="AA52" s="33">
        <v>50</v>
      </c>
      <c r="AB52" s="65">
        <f ca="1">INDIRECT("c50")</f>
        <v>0</v>
      </c>
      <c r="AC52" s="31">
        <f ca="1">INDIRECT("q50")</f>
        <v>0</v>
      </c>
      <c r="AD52" s="31">
        <f ca="1">INDIRECT("p50")</f>
        <v>0</v>
      </c>
      <c r="AE52" s="10"/>
      <c r="AJ52" s="7"/>
      <c r="AK52" s="7"/>
      <c r="AL52" s="70"/>
      <c r="AM52" s="67"/>
      <c r="AN52" s="167"/>
      <c r="AO52" s="168"/>
      <c r="AP52" s="169"/>
      <c r="AQ52" s="168"/>
      <c r="AR52" s="173"/>
      <c r="AS52" s="173"/>
      <c r="AT52" s="173"/>
      <c r="AU52" s="173"/>
      <c r="AV52" s="173"/>
      <c r="AW52" s="173"/>
      <c r="AX52" s="67"/>
      <c r="AY52" s="67"/>
      <c r="AZ52" s="67"/>
      <c r="BA52" s="67"/>
      <c r="BB52" s="67"/>
      <c r="BC52" s="67"/>
      <c r="BD52" s="67"/>
      <c r="BE52" s="67"/>
      <c r="BF52" s="168"/>
      <c r="BG52" s="168"/>
      <c r="BH52" s="48"/>
      <c r="BI52" s="48"/>
      <c r="BM52">
        <v>52</v>
      </c>
      <c r="BU52">
        <v>52</v>
      </c>
    </row>
    <row r="53" spans="1:73">
      <c r="A53" s="110"/>
      <c r="B53" s="27">
        <v>53</v>
      </c>
      <c r="C53" s="53"/>
      <c r="D53" s="14"/>
      <c r="E53" s="14"/>
      <c r="F53" s="15"/>
      <c r="G53" s="15"/>
      <c r="H53" s="14"/>
      <c r="I53" s="14"/>
      <c r="J53" s="15"/>
      <c r="K53" s="15"/>
      <c r="L53" s="14"/>
      <c r="M53" s="14"/>
      <c r="N53" s="15"/>
      <c r="O53" s="15"/>
      <c r="P53" s="16">
        <f t="shared" si="0"/>
        <v>0</v>
      </c>
      <c r="Q53" s="26">
        <f t="shared" si="1"/>
        <v>0</v>
      </c>
      <c r="R53" s="34"/>
      <c r="S53" s="34"/>
      <c r="T53" s="34"/>
      <c r="U53" s="34"/>
      <c r="Y53" s="10"/>
      <c r="Z53" s="13">
        <v>51</v>
      </c>
      <c r="AA53" s="33">
        <v>51</v>
      </c>
      <c r="AB53" s="65">
        <f ca="1">INDIRECT("c51")</f>
        <v>0</v>
      </c>
      <c r="AC53" s="31">
        <f ca="1">INDIRECT("q51")</f>
        <v>0</v>
      </c>
      <c r="AD53" s="31">
        <f ca="1">INDIRECT("p51")</f>
        <v>0</v>
      </c>
      <c r="AE53" s="10"/>
      <c r="AJ53" s="7"/>
      <c r="AK53" s="7"/>
      <c r="AL53" s="70"/>
      <c r="AM53" s="67"/>
      <c r="AN53" s="167"/>
      <c r="AO53" s="168"/>
      <c r="AP53" s="169"/>
      <c r="AQ53" s="168"/>
      <c r="AR53" s="173"/>
      <c r="AS53" s="173"/>
      <c r="AT53" s="173"/>
      <c r="AU53" s="173"/>
      <c r="AV53" s="173"/>
      <c r="AW53" s="173"/>
      <c r="AX53" s="67"/>
      <c r="AY53" s="67"/>
      <c r="AZ53" s="67"/>
      <c r="BA53" s="67"/>
      <c r="BB53" s="67"/>
      <c r="BC53" s="67"/>
      <c r="BD53" s="67"/>
      <c r="BE53" s="67"/>
      <c r="BF53" s="168"/>
      <c r="BG53" s="168"/>
      <c r="BM53">
        <v>53</v>
      </c>
      <c r="BU53">
        <v>53</v>
      </c>
    </row>
    <row r="54" spans="1:73">
      <c r="A54" s="110"/>
      <c r="B54" s="27">
        <v>54</v>
      </c>
      <c r="C54" s="53"/>
      <c r="D54" s="14"/>
      <c r="E54" s="14"/>
      <c r="F54" s="15"/>
      <c r="G54" s="15"/>
      <c r="H54" s="14"/>
      <c r="I54" s="14"/>
      <c r="J54" s="15"/>
      <c r="K54" s="15"/>
      <c r="L54" s="14"/>
      <c r="M54" s="14"/>
      <c r="N54" s="15"/>
      <c r="O54" s="15"/>
      <c r="P54" s="16">
        <f t="shared" si="0"/>
        <v>0</v>
      </c>
      <c r="Q54" s="26">
        <f t="shared" si="1"/>
        <v>0</v>
      </c>
      <c r="R54" s="34"/>
      <c r="S54" s="34"/>
      <c r="T54" s="34"/>
      <c r="U54" s="34"/>
      <c r="Y54" s="10"/>
      <c r="Z54" s="13">
        <v>52</v>
      </c>
      <c r="AA54" s="33">
        <v>52</v>
      </c>
      <c r="AB54" s="65">
        <f ca="1">INDIRECT("c52")</f>
        <v>0</v>
      </c>
      <c r="AC54" s="31">
        <f ca="1">INDIRECT("q52")</f>
        <v>0</v>
      </c>
      <c r="AD54" s="31">
        <f ca="1">INDIRECT("p52")</f>
        <v>0</v>
      </c>
      <c r="AE54" s="10"/>
      <c r="AJ54" s="7"/>
      <c r="AK54" s="7"/>
      <c r="AL54" s="70"/>
      <c r="AM54" s="67"/>
      <c r="AN54" s="167"/>
      <c r="AO54" s="168"/>
      <c r="AP54" s="169"/>
      <c r="AQ54" s="168"/>
      <c r="AR54" s="173"/>
      <c r="AS54" s="173"/>
      <c r="AT54" s="173"/>
      <c r="AU54" s="173"/>
      <c r="AV54" s="173"/>
      <c r="AW54" s="173"/>
      <c r="AX54" s="67"/>
      <c r="AY54" s="67"/>
      <c r="AZ54" s="67"/>
      <c r="BA54" s="67"/>
      <c r="BB54" s="67"/>
      <c r="BC54" s="67"/>
      <c r="BD54" s="67"/>
      <c r="BE54" s="67"/>
      <c r="BF54" s="168"/>
      <c r="BG54" s="168"/>
      <c r="BM54">
        <v>54</v>
      </c>
      <c r="BU54">
        <v>54</v>
      </c>
    </row>
    <row r="55" spans="1:73">
      <c r="A55" s="110"/>
      <c r="B55" s="27">
        <v>55</v>
      </c>
      <c r="C55" s="53"/>
      <c r="D55" s="14"/>
      <c r="E55" s="14"/>
      <c r="F55" s="15"/>
      <c r="G55" s="15"/>
      <c r="H55" s="14"/>
      <c r="I55" s="14"/>
      <c r="J55" s="15"/>
      <c r="K55" s="15"/>
      <c r="L55" s="14"/>
      <c r="M55" s="14"/>
      <c r="N55" s="15"/>
      <c r="O55" s="15"/>
      <c r="P55" s="16">
        <f t="shared" si="0"/>
        <v>0</v>
      </c>
      <c r="Q55" s="26">
        <f t="shared" si="1"/>
        <v>0</v>
      </c>
      <c r="R55" s="34"/>
      <c r="S55" s="34"/>
      <c r="T55" s="34"/>
      <c r="U55" s="34"/>
      <c r="Y55" s="10"/>
      <c r="Z55" s="13">
        <v>53</v>
      </c>
      <c r="AA55" s="33">
        <v>53</v>
      </c>
      <c r="AB55" s="65">
        <f ca="1">INDIRECT("c53")</f>
        <v>0</v>
      </c>
      <c r="AC55" s="31">
        <f ca="1">INDIRECT("q53")</f>
        <v>0</v>
      </c>
      <c r="AD55" s="31">
        <f ca="1">INDIRECT("p53")</f>
        <v>0</v>
      </c>
      <c r="AE55" s="10"/>
      <c r="AJ55" s="7"/>
      <c r="AK55" s="7"/>
      <c r="AL55" s="70"/>
      <c r="AM55" s="67"/>
      <c r="AN55" s="167"/>
      <c r="AO55" s="168"/>
      <c r="AP55" s="169"/>
      <c r="AQ55" s="168"/>
      <c r="AR55" s="173"/>
      <c r="AS55" s="173"/>
      <c r="AT55" s="173"/>
      <c r="AU55" s="173"/>
      <c r="AV55" s="173"/>
      <c r="AW55" s="173"/>
      <c r="AX55" s="67"/>
      <c r="AY55" s="67"/>
      <c r="AZ55" s="67"/>
      <c r="BA55" s="67"/>
      <c r="BB55" s="67"/>
      <c r="BC55" s="67"/>
      <c r="BD55" s="67"/>
      <c r="BE55" s="67"/>
      <c r="BF55" s="168"/>
      <c r="BG55" s="168"/>
      <c r="BM55">
        <v>55</v>
      </c>
      <c r="BU55">
        <v>55</v>
      </c>
    </row>
    <row r="56" spans="1:73">
      <c r="A56" s="110"/>
      <c r="B56" s="27">
        <v>56</v>
      </c>
      <c r="C56" s="53"/>
      <c r="D56" s="14"/>
      <c r="E56" s="14"/>
      <c r="F56" s="15"/>
      <c r="G56" s="15"/>
      <c r="H56" s="14"/>
      <c r="I56" s="14"/>
      <c r="J56" s="15"/>
      <c r="K56" s="15"/>
      <c r="L56" s="14"/>
      <c r="M56" s="14"/>
      <c r="N56" s="15"/>
      <c r="O56" s="15"/>
      <c r="P56" s="16">
        <f t="shared" si="0"/>
        <v>0</v>
      </c>
      <c r="Q56" s="26">
        <f t="shared" si="1"/>
        <v>0</v>
      </c>
      <c r="R56" s="34"/>
      <c r="S56" s="34"/>
      <c r="T56" s="34"/>
      <c r="U56" s="34"/>
      <c r="Y56" s="10"/>
      <c r="Z56" s="13">
        <v>54</v>
      </c>
      <c r="AA56" s="33">
        <v>54</v>
      </c>
      <c r="AB56" s="65">
        <f ca="1">INDIRECT("c54")</f>
        <v>0</v>
      </c>
      <c r="AC56" s="31">
        <f ca="1">INDIRECT("q54")</f>
        <v>0</v>
      </c>
      <c r="AD56" s="31">
        <f ca="1">INDIRECT("p54")</f>
        <v>0</v>
      </c>
      <c r="AE56" s="10"/>
      <c r="AJ56" s="7"/>
      <c r="AK56" s="7"/>
      <c r="AL56" s="70"/>
      <c r="AM56" s="67"/>
      <c r="AN56" s="167"/>
      <c r="AO56" s="168"/>
      <c r="AP56" s="169"/>
      <c r="AQ56" s="168"/>
      <c r="AR56" s="173"/>
      <c r="AS56" s="173"/>
      <c r="AT56" s="173"/>
      <c r="AU56" s="173"/>
      <c r="AV56" s="173"/>
      <c r="AW56" s="173"/>
      <c r="AX56" s="67"/>
      <c r="AY56" s="67"/>
      <c r="AZ56" s="67"/>
      <c r="BA56" s="67"/>
      <c r="BB56" s="67"/>
      <c r="BC56" s="67"/>
      <c r="BD56" s="67"/>
      <c r="BE56" s="67"/>
      <c r="BF56" s="168"/>
      <c r="BG56" s="168"/>
      <c r="BM56">
        <v>56</v>
      </c>
      <c r="BU56">
        <v>56</v>
      </c>
    </row>
    <row r="57" spans="1:73">
      <c r="A57" s="110"/>
      <c r="B57" s="27">
        <v>57</v>
      </c>
      <c r="C57" s="53"/>
      <c r="D57" s="14"/>
      <c r="E57" s="14"/>
      <c r="F57" s="15"/>
      <c r="G57" s="15"/>
      <c r="H57" s="14"/>
      <c r="I57" s="14"/>
      <c r="J57" s="15"/>
      <c r="K57" s="15"/>
      <c r="L57" s="14"/>
      <c r="M57" s="14"/>
      <c r="N57" s="15"/>
      <c r="O57" s="15"/>
      <c r="P57" s="16">
        <f t="shared" si="0"/>
        <v>0</v>
      </c>
      <c r="Q57" s="26">
        <f t="shared" si="1"/>
        <v>0</v>
      </c>
      <c r="R57" s="34"/>
      <c r="S57" s="34"/>
      <c r="T57" s="34"/>
      <c r="U57" s="34"/>
      <c r="Y57" s="10"/>
      <c r="Z57" s="13">
        <v>55</v>
      </c>
      <c r="AA57" s="33">
        <v>55</v>
      </c>
      <c r="AB57" s="65">
        <f ca="1">INDIRECT("c55")</f>
        <v>0</v>
      </c>
      <c r="AC57" s="31">
        <f ca="1">INDIRECT("q55")</f>
        <v>0</v>
      </c>
      <c r="AD57" s="31">
        <f ca="1">INDIRECT("p55")</f>
        <v>0</v>
      </c>
      <c r="AE57" s="10"/>
      <c r="AJ57" s="7"/>
      <c r="AK57" s="7"/>
      <c r="AL57" s="70"/>
      <c r="AM57" s="67"/>
      <c r="AN57" s="167"/>
      <c r="AO57" s="168"/>
      <c r="AP57" s="169"/>
      <c r="AQ57" s="168"/>
      <c r="AR57" s="173"/>
      <c r="AS57" s="173"/>
      <c r="AT57" s="173"/>
      <c r="AU57" s="173"/>
      <c r="AV57" s="173"/>
      <c r="AW57" s="173"/>
      <c r="AX57" s="67"/>
      <c r="AY57" s="67"/>
      <c r="AZ57" s="67"/>
      <c r="BA57" s="67"/>
      <c r="BB57" s="67"/>
      <c r="BC57" s="67"/>
      <c r="BD57" s="67"/>
      <c r="BE57" s="67"/>
      <c r="BF57" s="168"/>
      <c r="BG57" s="168"/>
      <c r="BM57">
        <v>57</v>
      </c>
      <c r="BU57">
        <v>57</v>
      </c>
    </row>
    <row r="58" spans="1:73">
      <c r="A58" s="110"/>
      <c r="B58" s="27">
        <v>58</v>
      </c>
      <c r="C58" s="53"/>
      <c r="D58" s="14"/>
      <c r="E58" s="14"/>
      <c r="F58" s="15"/>
      <c r="G58" s="15"/>
      <c r="H58" s="14"/>
      <c r="I58" s="14"/>
      <c r="J58" s="15"/>
      <c r="K58" s="15"/>
      <c r="L58" s="14"/>
      <c r="M58" s="14"/>
      <c r="N58" s="15"/>
      <c r="O58" s="15"/>
      <c r="P58" s="16">
        <f t="shared" si="0"/>
        <v>0</v>
      </c>
      <c r="Q58" s="26">
        <f t="shared" si="1"/>
        <v>0</v>
      </c>
      <c r="R58" s="34"/>
      <c r="S58" s="34"/>
      <c r="T58" s="34"/>
      <c r="U58" s="34"/>
      <c r="Y58" s="10"/>
      <c r="Z58" s="13">
        <v>56</v>
      </c>
      <c r="AA58" s="33">
        <v>56</v>
      </c>
      <c r="AB58" s="65">
        <f ca="1">INDIRECT("c56")</f>
        <v>0</v>
      </c>
      <c r="AC58" s="31">
        <f ca="1">INDIRECT("q56")</f>
        <v>0</v>
      </c>
      <c r="AD58" s="31">
        <f ca="1">INDIRECT("p56")</f>
        <v>0</v>
      </c>
      <c r="AE58" s="10"/>
      <c r="AJ58" s="7"/>
      <c r="AK58" s="7"/>
      <c r="AL58" s="70"/>
      <c r="AM58" s="67"/>
      <c r="AN58" s="167"/>
      <c r="AO58" s="168"/>
      <c r="AP58" s="169"/>
      <c r="AQ58" s="168"/>
      <c r="AR58" s="173"/>
      <c r="AS58" s="173"/>
      <c r="AT58" s="173"/>
      <c r="AU58" s="173"/>
      <c r="AV58" s="173"/>
      <c r="AW58" s="173"/>
      <c r="AX58" s="67"/>
      <c r="AY58" s="67"/>
      <c r="AZ58" s="67"/>
      <c r="BA58" s="67"/>
      <c r="BB58" s="67"/>
      <c r="BC58" s="67"/>
      <c r="BD58" s="67"/>
      <c r="BE58" s="67"/>
      <c r="BF58" s="168"/>
      <c r="BG58" s="168"/>
      <c r="BM58">
        <v>58</v>
      </c>
      <c r="BU58">
        <v>58</v>
      </c>
    </row>
    <row r="59" spans="1:73">
      <c r="A59" s="110"/>
      <c r="B59" s="27">
        <v>59</v>
      </c>
      <c r="C59" s="53"/>
      <c r="D59" s="14"/>
      <c r="E59" s="14"/>
      <c r="F59" s="15"/>
      <c r="G59" s="15"/>
      <c r="H59" s="14"/>
      <c r="I59" s="14"/>
      <c r="J59" s="15"/>
      <c r="K59" s="15"/>
      <c r="L59" s="14"/>
      <c r="M59" s="14"/>
      <c r="N59" s="15"/>
      <c r="O59" s="15"/>
      <c r="P59" s="16">
        <f t="shared" si="0"/>
        <v>0</v>
      </c>
      <c r="Q59" s="26">
        <f t="shared" si="1"/>
        <v>0</v>
      </c>
      <c r="R59" s="34"/>
      <c r="S59" s="34"/>
      <c r="T59" s="34"/>
      <c r="U59" s="34"/>
      <c r="Y59" s="10"/>
      <c r="Z59" s="13">
        <v>57</v>
      </c>
      <c r="AA59" s="33">
        <v>57</v>
      </c>
      <c r="AB59" s="65">
        <f ca="1">INDIRECT("c57")</f>
        <v>0</v>
      </c>
      <c r="AC59" s="31">
        <f ca="1">INDIRECT("q57")</f>
        <v>0</v>
      </c>
      <c r="AD59" s="31">
        <f ca="1">INDIRECT("p57")</f>
        <v>0</v>
      </c>
      <c r="AE59" s="10"/>
      <c r="AJ59" s="7"/>
      <c r="AK59" s="7"/>
      <c r="AL59" s="70"/>
      <c r="AM59" s="67"/>
      <c r="AN59" s="167"/>
      <c r="AO59" s="168"/>
      <c r="AP59" s="169"/>
      <c r="AQ59" s="168"/>
      <c r="AR59" s="173"/>
      <c r="AS59" s="173"/>
      <c r="AT59" s="173"/>
      <c r="AU59" s="173"/>
      <c r="AV59" s="173"/>
      <c r="AW59" s="173"/>
      <c r="AX59" s="67"/>
      <c r="AY59" s="67"/>
      <c r="AZ59" s="67"/>
      <c r="BA59" s="67"/>
      <c r="BB59" s="67"/>
      <c r="BC59" s="67"/>
      <c r="BD59" s="67"/>
      <c r="BE59" s="67"/>
      <c r="BF59" s="168"/>
      <c r="BG59" s="168"/>
      <c r="BM59">
        <v>59</v>
      </c>
      <c r="BU59">
        <v>59</v>
      </c>
    </row>
    <row r="60" spans="1:73">
      <c r="A60" s="110"/>
      <c r="B60" s="27">
        <v>60</v>
      </c>
      <c r="C60" s="53"/>
      <c r="D60" s="14"/>
      <c r="E60" s="14"/>
      <c r="F60" s="15"/>
      <c r="G60" s="15"/>
      <c r="H60" s="14"/>
      <c r="I60" s="14"/>
      <c r="J60" s="15"/>
      <c r="K60" s="15"/>
      <c r="L60" s="14"/>
      <c r="M60" s="14"/>
      <c r="N60" s="15"/>
      <c r="O60" s="15"/>
      <c r="P60" s="16">
        <f t="shared" si="0"/>
        <v>0</v>
      </c>
      <c r="Q60" s="26">
        <f t="shared" si="1"/>
        <v>0</v>
      </c>
      <c r="R60" s="34"/>
      <c r="S60" s="34"/>
      <c r="T60" s="34"/>
      <c r="U60" s="34"/>
      <c r="Y60" s="10"/>
      <c r="Z60" s="13">
        <v>58</v>
      </c>
      <c r="AA60" s="33">
        <v>58</v>
      </c>
      <c r="AB60" s="65">
        <f ca="1">INDIRECT("c58")</f>
        <v>0</v>
      </c>
      <c r="AC60" s="31">
        <f ca="1">INDIRECT("q58")</f>
        <v>0</v>
      </c>
      <c r="AD60" s="31">
        <f ca="1">INDIRECT("p58")</f>
        <v>0</v>
      </c>
      <c r="AE60" s="10"/>
      <c r="AJ60" s="7"/>
      <c r="AK60" s="7"/>
      <c r="AL60" s="70"/>
      <c r="AM60" s="67"/>
      <c r="AN60" s="167"/>
      <c r="AO60" s="168"/>
      <c r="AP60" s="169"/>
      <c r="AQ60" s="168"/>
      <c r="AR60" s="173"/>
      <c r="AS60" s="173"/>
      <c r="AT60" s="173"/>
      <c r="AU60" s="173"/>
      <c r="AV60" s="173"/>
      <c r="AW60" s="173"/>
      <c r="AX60" s="67"/>
      <c r="AY60" s="67"/>
      <c r="AZ60" s="67"/>
      <c r="BA60" s="67"/>
      <c r="BB60" s="67"/>
      <c r="BC60" s="67"/>
      <c r="BD60" s="67"/>
      <c r="BE60" s="67"/>
      <c r="BF60" s="168"/>
      <c r="BG60" s="168"/>
      <c r="BM60">
        <v>60</v>
      </c>
      <c r="BU60">
        <v>60</v>
      </c>
    </row>
    <row r="61" spans="1:73">
      <c r="A61" s="110"/>
      <c r="B61" s="27">
        <v>61</v>
      </c>
      <c r="C61" s="53"/>
      <c r="D61" s="14"/>
      <c r="E61" s="14"/>
      <c r="F61" s="15"/>
      <c r="G61" s="15"/>
      <c r="H61" s="14"/>
      <c r="I61" s="14"/>
      <c r="J61" s="15"/>
      <c r="K61" s="15"/>
      <c r="L61" s="14"/>
      <c r="M61" s="14"/>
      <c r="N61" s="15"/>
      <c r="O61" s="15"/>
      <c r="P61" s="16">
        <f t="shared" si="0"/>
        <v>0</v>
      </c>
      <c r="Q61" s="26">
        <f t="shared" si="1"/>
        <v>0</v>
      </c>
      <c r="R61" s="34"/>
      <c r="S61" s="34"/>
      <c r="T61" s="34"/>
      <c r="U61" s="34"/>
      <c r="Y61" s="10"/>
      <c r="Z61" s="13">
        <v>59</v>
      </c>
      <c r="AA61" s="33">
        <v>59</v>
      </c>
      <c r="AB61" s="65">
        <f ca="1">INDIRECT("c59")</f>
        <v>0</v>
      </c>
      <c r="AC61" s="31">
        <f ca="1">INDIRECT("q59")</f>
        <v>0</v>
      </c>
      <c r="AD61" s="31">
        <f ca="1">INDIRECT("p59")</f>
        <v>0</v>
      </c>
      <c r="AE61" s="10"/>
      <c r="AJ61" s="7"/>
      <c r="AK61" s="7"/>
      <c r="AL61" s="70"/>
      <c r="AM61" s="67"/>
      <c r="AN61" s="167"/>
      <c r="AO61" s="168"/>
      <c r="AP61" s="169"/>
      <c r="AQ61" s="168"/>
      <c r="AR61" s="173"/>
      <c r="AS61" s="173"/>
      <c r="AT61" s="173"/>
      <c r="AU61" s="173"/>
      <c r="AV61" s="173"/>
      <c r="AW61" s="173"/>
      <c r="AX61" s="67"/>
      <c r="AY61" s="67"/>
      <c r="AZ61" s="67"/>
      <c r="BA61" s="67"/>
      <c r="BB61" s="67"/>
      <c r="BC61" s="67"/>
      <c r="BD61" s="67"/>
      <c r="BE61" s="67"/>
      <c r="BF61" s="168"/>
      <c r="BG61" s="168"/>
      <c r="BM61">
        <v>61</v>
      </c>
      <c r="BU61">
        <v>61</v>
      </c>
    </row>
    <row r="62" spans="1:73">
      <c r="A62" s="110"/>
      <c r="B62" s="27">
        <v>62</v>
      </c>
      <c r="C62" s="53"/>
      <c r="D62" s="14"/>
      <c r="E62" s="14"/>
      <c r="F62" s="15"/>
      <c r="G62" s="15"/>
      <c r="H62" s="14"/>
      <c r="I62" s="14"/>
      <c r="J62" s="15"/>
      <c r="K62" s="15"/>
      <c r="L62" s="14"/>
      <c r="M62" s="14"/>
      <c r="N62" s="15"/>
      <c r="O62" s="15"/>
      <c r="P62" s="16">
        <f t="shared" si="0"/>
        <v>0</v>
      </c>
      <c r="Q62" s="26">
        <f t="shared" si="1"/>
        <v>0</v>
      </c>
      <c r="R62" s="34"/>
      <c r="S62" s="34"/>
      <c r="T62" s="34"/>
      <c r="U62" s="34"/>
      <c r="Y62" s="10"/>
      <c r="Z62" s="13">
        <v>60</v>
      </c>
      <c r="AA62" s="33">
        <v>60</v>
      </c>
      <c r="AB62" s="65">
        <f ca="1">INDIRECT("c60")</f>
        <v>0</v>
      </c>
      <c r="AC62" s="31">
        <f ca="1">INDIRECT("q60")</f>
        <v>0</v>
      </c>
      <c r="AD62" s="31">
        <f ca="1">INDIRECT("p60")</f>
        <v>0</v>
      </c>
      <c r="AE62" s="10"/>
      <c r="AJ62" s="7"/>
      <c r="AK62" s="7"/>
      <c r="AL62" s="70"/>
      <c r="AM62" s="67"/>
      <c r="AN62" s="167"/>
      <c r="AO62" s="168"/>
      <c r="AP62" s="169"/>
      <c r="AQ62" s="168"/>
      <c r="AR62" s="173"/>
      <c r="AS62" s="173"/>
      <c r="AT62" s="173"/>
      <c r="AU62" s="173"/>
      <c r="AV62" s="173"/>
      <c r="AW62" s="173"/>
      <c r="AX62" s="67"/>
      <c r="AY62" s="67"/>
      <c r="AZ62" s="67"/>
      <c r="BA62" s="67"/>
      <c r="BB62" s="67"/>
      <c r="BC62" s="67"/>
      <c r="BD62" s="67"/>
      <c r="BE62" s="67"/>
      <c r="BF62" s="168"/>
      <c r="BG62" s="168"/>
      <c r="BM62">
        <v>62</v>
      </c>
      <c r="BU62">
        <v>62</v>
      </c>
    </row>
    <row r="63" spans="1:73">
      <c r="A63" s="110"/>
      <c r="B63" s="27">
        <v>63</v>
      </c>
      <c r="C63" s="53"/>
      <c r="D63" s="14"/>
      <c r="E63" s="14"/>
      <c r="F63" s="15"/>
      <c r="G63" s="15"/>
      <c r="H63" s="14"/>
      <c r="I63" s="14"/>
      <c r="J63" s="15"/>
      <c r="K63" s="15"/>
      <c r="L63" s="14"/>
      <c r="M63" s="14"/>
      <c r="N63" s="15"/>
      <c r="O63" s="15"/>
      <c r="P63" s="16">
        <f t="shared" si="0"/>
        <v>0</v>
      </c>
      <c r="Q63" s="26">
        <f t="shared" si="1"/>
        <v>0</v>
      </c>
      <c r="R63" s="34"/>
      <c r="S63" s="34"/>
      <c r="T63" s="34"/>
      <c r="U63" s="34"/>
      <c r="Y63" s="10"/>
      <c r="Z63" s="13">
        <v>61</v>
      </c>
      <c r="AA63" s="33">
        <v>61</v>
      </c>
      <c r="AB63" s="65">
        <f ca="1">INDIRECT("C61")</f>
        <v>0</v>
      </c>
      <c r="AC63" s="31">
        <f ca="1">INDIRECT("q61")</f>
        <v>0</v>
      </c>
      <c r="AD63" s="31">
        <f ca="1">INDIRECT("p61")</f>
        <v>0</v>
      </c>
      <c r="AE63" s="10"/>
      <c r="AJ63" s="7"/>
      <c r="AK63" s="7"/>
      <c r="AL63" s="70"/>
      <c r="AM63" s="67"/>
      <c r="AN63" s="167"/>
      <c r="AO63" s="168"/>
      <c r="AP63" s="169"/>
      <c r="AQ63" s="168"/>
      <c r="AR63" s="173"/>
      <c r="AS63" s="173"/>
      <c r="AT63" s="173"/>
      <c r="AU63" s="173"/>
      <c r="AV63" s="173"/>
      <c r="AW63" s="173"/>
      <c r="AX63" s="67"/>
      <c r="AY63" s="67"/>
      <c r="AZ63" s="67"/>
      <c r="BA63" s="67"/>
      <c r="BB63" s="67"/>
      <c r="BC63" s="67"/>
      <c r="BD63" s="67"/>
      <c r="BE63" s="67"/>
      <c r="BF63" s="168"/>
      <c r="BG63" s="168"/>
      <c r="BM63">
        <v>63</v>
      </c>
      <c r="BU63">
        <v>63</v>
      </c>
    </row>
    <row r="64" spans="1:73">
      <c r="A64" s="110"/>
      <c r="B64" s="27">
        <v>64</v>
      </c>
      <c r="C64" s="53"/>
      <c r="D64" s="14"/>
      <c r="E64" s="14"/>
      <c r="F64" s="15"/>
      <c r="G64" s="15"/>
      <c r="H64" s="14"/>
      <c r="I64" s="14"/>
      <c r="J64" s="15"/>
      <c r="K64" s="15"/>
      <c r="L64" s="14"/>
      <c r="M64" s="14"/>
      <c r="N64" s="15"/>
      <c r="O64" s="15"/>
      <c r="P64" s="16">
        <f t="shared" si="0"/>
        <v>0</v>
      </c>
      <c r="Q64" s="26">
        <f t="shared" si="1"/>
        <v>0</v>
      </c>
      <c r="R64" s="34"/>
      <c r="S64" s="34"/>
      <c r="T64" s="34"/>
      <c r="U64" s="34"/>
      <c r="Y64" s="10"/>
      <c r="Z64" s="13">
        <v>62</v>
      </c>
      <c r="AA64" s="33">
        <v>62</v>
      </c>
      <c r="AB64" s="65">
        <f ca="1">INDIRECT("C62")</f>
        <v>0</v>
      </c>
      <c r="AC64" s="31">
        <f ca="1">INDIRECT("q62")</f>
        <v>0</v>
      </c>
      <c r="AD64" s="31">
        <f ca="1">INDIRECT("p62")</f>
        <v>0</v>
      </c>
      <c r="AE64" s="10"/>
      <c r="AJ64" s="7"/>
      <c r="AK64" s="7"/>
      <c r="AL64" s="70"/>
      <c r="AM64" s="67"/>
      <c r="AN64" s="167"/>
      <c r="AO64" s="168"/>
      <c r="AP64" s="169"/>
      <c r="AQ64" s="168"/>
      <c r="AR64" s="173"/>
      <c r="AS64" s="173"/>
      <c r="AT64" s="173"/>
      <c r="AU64" s="173"/>
      <c r="AV64" s="173"/>
      <c r="AW64" s="173"/>
      <c r="AX64" s="67"/>
      <c r="AY64" s="67"/>
      <c r="AZ64" s="67"/>
      <c r="BA64" s="67"/>
      <c r="BB64" s="67"/>
      <c r="BC64" s="67"/>
      <c r="BD64" s="67"/>
      <c r="BE64" s="67"/>
      <c r="BF64" s="168"/>
      <c r="BG64" s="168"/>
      <c r="BM64">
        <v>64</v>
      </c>
      <c r="BU64">
        <v>64</v>
      </c>
    </row>
    <row r="65" spans="1:73">
      <c r="A65" s="111"/>
      <c r="B65" s="27">
        <v>65</v>
      </c>
      <c r="C65" s="54"/>
      <c r="D65" s="14"/>
      <c r="E65" s="14"/>
      <c r="F65" s="15"/>
      <c r="G65" s="15"/>
      <c r="H65" s="14"/>
      <c r="I65" s="14"/>
      <c r="J65" s="15"/>
      <c r="K65" s="15"/>
      <c r="L65" s="14"/>
      <c r="M65" s="14"/>
      <c r="N65" s="15"/>
      <c r="O65" s="15"/>
      <c r="P65" s="16">
        <f t="shared" ref="P65:P128" si="2">(D65+F65+H65+J65+L65+N65)-(E65+G65+I65+K65+M65+O65)</f>
        <v>0</v>
      </c>
      <c r="Q65" s="26">
        <f t="shared" ref="Q65:Q128" si="3">COUNTIF(D65,13)+COUNTIF(F65,13)+COUNTIF(H65,13)+COUNTIF(J65,13)+COUNTIF(L65,13)+COUNTIF(N65,13)</f>
        <v>0</v>
      </c>
      <c r="R65" s="34"/>
      <c r="S65" s="34"/>
      <c r="T65" s="34"/>
      <c r="U65" s="34"/>
      <c r="Y65" s="10"/>
      <c r="Z65" s="13">
        <v>63</v>
      </c>
      <c r="AA65" s="33">
        <v>63</v>
      </c>
      <c r="AB65" s="65">
        <f ca="1">INDIRECT("C63")</f>
        <v>0</v>
      </c>
      <c r="AC65" s="31">
        <f ca="1">INDIRECT("q63")</f>
        <v>0</v>
      </c>
      <c r="AD65" s="31">
        <f ca="1">INDIRECT("p63")</f>
        <v>0</v>
      </c>
      <c r="AE65" s="10"/>
      <c r="AJ65" s="7"/>
      <c r="AK65" s="7"/>
      <c r="AL65" s="70"/>
      <c r="AM65" s="67"/>
      <c r="AO65" s="56"/>
      <c r="AP65" s="63"/>
      <c r="AQ65" s="56"/>
      <c r="AR65" s="58"/>
      <c r="AS65" s="58"/>
      <c r="AT65" s="58"/>
      <c r="AU65" s="58"/>
      <c r="AV65" s="56"/>
      <c r="AW65" s="56"/>
      <c r="AX65" s="58"/>
      <c r="AY65" s="58"/>
      <c r="AZ65" s="58"/>
      <c r="BA65" s="58"/>
      <c r="BB65" s="58"/>
      <c r="BC65" s="58"/>
      <c r="BD65" s="58"/>
      <c r="BE65" s="58"/>
      <c r="BF65" s="56"/>
      <c r="BG65" s="56"/>
      <c r="BM65">
        <v>65</v>
      </c>
      <c r="BU65">
        <v>65</v>
      </c>
    </row>
    <row r="66" spans="1:73">
      <c r="A66" s="111"/>
      <c r="B66" s="27">
        <v>66</v>
      </c>
      <c r="C66" s="54"/>
      <c r="D66" s="14"/>
      <c r="E66" s="14"/>
      <c r="F66" s="15"/>
      <c r="G66" s="15"/>
      <c r="H66" s="14"/>
      <c r="I66" s="14"/>
      <c r="J66" s="15"/>
      <c r="K66" s="15"/>
      <c r="L66" s="14"/>
      <c r="M66" s="14"/>
      <c r="N66" s="15"/>
      <c r="O66" s="15"/>
      <c r="P66" s="16">
        <f t="shared" si="2"/>
        <v>0</v>
      </c>
      <c r="Q66" s="26">
        <f t="shared" si="3"/>
        <v>0</v>
      </c>
      <c r="R66" s="34"/>
      <c r="S66" s="34"/>
      <c r="T66" s="34"/>
      <c r="U66" s="34"/>
      <c r="Y66" s="10"/>
      <c r="Z66" s="13">
        <v>64</v>
      </c>
      <c r="AA66" s="33">
        <v>64</v>
      </c>
      <c r="AB66" s="65">
        <f ca="1">INDIRECT("C64")</f>
        <v>0</v>
      </c>
      <c r="AC66" s="31">
        <f ca="1">INDIRECT("q64")</f>
        <v>0</v>
      </c>
      <c r="AD66" s="31">
        <f ca="1">INDIRECT("p64")</f>
        <v>0</v>
      </c>
      <c r="AE66" s="10"/>
      <c r="AJ66" s="7"/>
      <c r="AK66" s="7"/>
      <c r="AL66" s="70"/>
      <c r="AM66" s="67"/>
      <c r="AO66" s="56"/>
      <c r="AP66" s="63"/>
      <c r="AQ66" s="56"/>
      <c r="AR66" s="58"/>
      <c r="AS66" s="58"/>
      <c r="AT66" s="58"/>
      <c r="AU66" s="58"/>
      <c r="AV66" s="56"/>
      <c r="AW66" s="56"/>
      <c r="AX66" s="58"/>
      <c r="AY66" s="58"/>
      <c r="AZ66" s="58"/>
      <c r="BA66" s="58"/>
      <c r="BB66" s="58"/>
      <c r="BC66" s="58"/>
      <c r="BD66" s="58"/>
      <c r="BE66" s="58"/>
      <c r="BF66" s="56"/>
      <c r="BG66" s="56"/>
      <c r="BM66">
        <v>66</v>
      </c>
      <c r="BU66">
        <v>66</v>
      </c>
    </row>
    <row r="67" spans="1:73">
      <c r="A67" s="111"/>
      <c r="B67" s="27">
        <v>67</v>
      </c>
      <c r="C67" s="54"/>
      <c r="D67" s="14"/>
      <c r="E67" s="14"/>
      <c r="F67" s="15"/>
      <c r="G67" s="15"/>
      <c r="H67" s="14"/>
      <c r="I67" s="14"/>
      <c r="J67" s="15"/>
      <c r="K67" s="15"/>
      <c r="L67" s="14"/>
      <c r="M67" s="14"/>
      <c r="N67" s="15"/>
      <c r="O67" s="15"/>
      <c r="P67" s="16">
        <f t="shared" si="2"/>
        <v>0</v>
      </c>
      <c r="Q67" s="26">
        <f t="shared" si="3"/>
        <v>0</v>
      </c>
      <c r="R67" s="34"/>
      <c r="S67" s="34"/>
      <c r="T67" s="34"/>
      <c r="U67" s="34"/>
      <c r="Y67" s="10"/>
      <c r="Z67" s="13">
        <v>65</v>
      </c>
      <c r="AA67" s="33">
        <v>65</v>
      </c>
      <c r="AB67" s="65">
        <f ca="1">INDIRECT("C65")</f>
        <v>0</v>
      </c>
      <c r="AC67" s="31">
        <f ca="1">INDIRECT("q65")</f>
        <v>0</v>
      </c>
      <c r="AD67" s="31">
        <f ca="1">INDIRECT("p65")</f>
        <v>0</v>
      </c>
      <c r="AE67" s="10"/>
      <c r="AJ67" s="7"/>
      <c r="AK67" s="7"/>
      <c r="AL67" s="70"/>
      <c r="AM67" s="67"/>
      <c r="AO67" s="56"/>
      <c r="AP67" s="63"/>
      <c r="AQ67" s="56"/>
      <c r="AR67" s="58"/>
      <c r="AS67" s="58"/>
      <c r="AT67" s="58"/>
      <c r="AU67" s="58"/>
      <c r="AV67" s="56"/>
      <c r="AW67" s="56"/>
      <c r="AX67" s="58"/>
      <c r="AY67" s="58"/>
      <c r="AZ67" s="58"/>
      <c r="BA67" s="58"/>
      <c r="BB67" s="58"/>
      <c r="BC67" s="58"/>
      <c r="BD67" s="58"/>
      <c r="BE67" s="58"/>
      <c r="BF67" s="56"/>
      <c r="BG67" s="56"/>
      <c r="BM67">
        <v>67</v>
      </c>
      <c r="BU67">
        <v>67</v>
      </c>
    </row>
    <row r="68" spans="1:73">
      <c r="A68" s="111"/>
      <c r="B68" s="27">
        <v>68</v>
      </c>
      <c r="C68" s="54"/>
      <c r="D68" s="14"/>
      <c r="E68" s="14"/>
      <c r="F68" s="15"/>
      <c r="G68" s="15"/>
      <c r="H68" s="14"/>
      <c r="I68" s="14"/>
      <c r="J68" s="15"/>
      <c r="K68" s="15"/>
      <c r="L68" s="14"/>
      <c r="M68" s="14"/>
      <c r="N68" s="15"/>
      <c r="O68" s="15"/>
      <c r="P68" s="16">
        <f t="shared" si="2"/>
        <v>0</v>
      </c>
      <c r="Q68" s="26">
        <f t="shared" si="3"/>
        <v>0</v>
      </c>
      <c r="R68" s="34"/>
      <c r="S68" s="34"/>
      <c r="T68" s="34"/>
      <c r="U68" s="34"/>
      <c r="Y68" s="10"/>
      <c r="Z68" s="13">
        <v>66</v>
      </c>
      <c r="AA68" s="33">
        <v>66</v>
      </c>
      <c r="AB68" s="65">
        <f ca="1">INDIRECT("C66")</f>
        <v>0</v>
      </c>
      <c r="AC68" s="31">
        <f ca="1">INDIRECT("q66")</f>
        <v>0</v>
      </c>
      <c r="AD68" s="31">
        <f ca="1">INDIRECT("p66")</f>
        <v>0</v>
      </c>
      <c r="AE68" s="10"/>
      <c r="AJ68" s="7"/>
      <c r="AK68" s="7"/>
      <c r="AL68" s="70"/>
      <c r="AM68" s="69"/>
      <c r="AO68" s="57"/>
      <c r="AP68" s="57"/>
      <c r="AQ68" s="57"/>
      <c r="AR68" s="57"/>
      <c r="AS68" s="57"/>
      <c r="AT68" s="57"/>
      <c r="AU68" s="57"/>
      <c r="AV68" s="57"/>
      <c r="AW68" s="57"/>
      <c r="AX68" s="57"/>
      <c r="AY68" s="57"/>
      <c r="AZ68" s="57"/>
      <c r="BA68" s="57"/>
      <c r="BB68" s="57"/>
      <c r="BC68" s="57"/>
      <c r="BD68" s="57"/>
      <c r="BE68" s="57"/>
      <c r="BF68" s="57"/>
      <c r="BG68" s="57"/>
      <c r="BM68">
        <v>68</v>
      </c>
      <c r="BU68">
        <v>68</v>
      </c>
    </row>
    <row r="69" spans="1:73">
      <c r="A69" s="111"/>
      <c r="B69" s="27">
        <v>69</v>
      </c>
      <c r="C69" s="54"/>
      <c r="D69" s="14"/>
      <c r="E69" s="14"/>
      <c r="F69" s="15"/>
      <c r="G69" s="15"/>
      <c r="H69" s="14"/>
      <c r="I69" s="14"/>
      <c r="J69" s="15"/>
      <c r="K69" s="15"/>
      <c r="L69" s="14"/>
      <c r="M69" s="14"/>
      <c r="N69" s="15"/>
      <c r="O69" s="15"/>
      <c r="P69" s="16">
        <f t="shared" si="2"/>
        <v>0</v>
      </c>
      <c r="Q69" s="26">
        <f t="shared" si="3"/>
        <v>0</v>
      </c>
      <c r="R69" s="34"/>
      <c r="S69" s="34"/>
      <c r="T69" s="34"/>
      <c r="U69" s="34"/>
      <c r="Y69" s="10"/>
      <c r="Z69" s="13">
        <v>67</v>
      </c>
      <c r="AA69" s="33">
        <v>67</v>
      </c>
      <c r="AB69" s="65">
        <f ca="1">INDIRECT("C67")</f>
        <v>0</v>
      </c>
      <c r="AC69" s="31">
        <f ca="1">INDIRECT("q67")</f>
        <v>0</v>
      </c>
      <c r="AD69" s="31">
        <f ca="1">INDIRECT("p67")</f>
        <v>0</v>
      </c>
      <c r="AE69" s="10"/>
      <c r="AJ69" s="7"/>
      <c r="AK69" s="7"/>
      <c r="AL69" s="70"/>
      <c r="AM69" s="67"/>
      <c r="AO69" s="56"/>
      <c r="AP69" s="63"/>
      <c r="AQ69" s="56"/>
      <c r="AR69" s="58"/>
      <c r="AS69" s="58"/>
      <c r="AT69" s="58"/>
      <c r="AU69" s="58"/>
      <c r="AV69" s="56"/>
      <c r="AW69" s="56"/>
      <c r="AX69" s="58"/>
      <c r="AY69" s="58"/>
      <c r="AZ69" s="58"/>
      <c r="BA69" s="58"/>
      <c r="BB69" s="58"/>
      <c r="BC69" s="58"/>
      <c r="BD69" s="58"/>
      <c r="BE69" s="58"/>
      <c r="BF69" s="56"/>
      <c r="BG69" s="56"/>
      <c r="BM69">
        <v>69</v>
      </c>
      <c r="BU69">
        <v>69</v>
      </c>
    </row>
    <row r="70" spans="1:73">
      <c r="A70" s="111"/>
      <c r="B70" s="125">
        <v>70</v>
      </c>
      <c r="C70" s="54"/>
      <c r="D70" s="14"/>
      <c r="E70" s="14"/>
      <c r="F70" s="15"/>
      <c r="G70" s="15"/>
      <c r="H70" s="14"/>
      <c r="I70" s="14"/>
      <c r="J70" s="15"/>
      <c r="K70" s="15"/>
      <c r="L70" s="14"/>
      <c r="M70" s="14"/>
      <c r="N70" s="15"/>
      <c r="O70" s="15"/>
      <c r="P70" s="16">
        <f t="shared" si="2"/>
        <v>0</v>
      </c>
      <c r="Q70" s="26">
        <f t="shared" si="3"/>
        <v>0</v>
      </c>
      <c r="R70" s="34"/>
      <c r="S70" s="34"/>
      <c r="T70" s="34"/>
      <c r="U70" s="34"/>
      <c r="Y70" s="10"/>
      <c r="Z70" s="13">
        <v>68</v>
      </c>
      <c r="AA70" s="33">
        <v>68</v>
      </c>
      <c r="AB70" s="65">
        <f ca="1">INDIRECT("C68")</f>
        <v>0</v>
      </c>
      <c r="AC70" s="31">
        <f ca="1">INDIRECT("q68")</f>
        <v>0</v>
      </c>
      <c r="AD70" s="31">
        <f ca="1">INDIRECT("p68")</f>
        <v>0</v>
      </c>
      <c r="AE70" s="10"/>
      <c r="AJ70" s="7"/>
      <c r="AK70" s="7"/>
      <c r="AL70" s="71"/>
      <c r="AM70" s="67"/>
      <c r="AN70" s="61"/>
      <c r="AO70" s="58"/>
      <c r="AP70" s="94"/>
      <c r="AQ70" s="58"/>
      <c r="AR70" s="58"/>
      <c r="AS70" s="58"/>
      <c r="AT70" s="58"/>
      <c r="AU70" s="58"/>
      <c r="AV70" s="58"/>
      <c r="AW70" s="58"/>
      <c r="AX70" s="58"/>
      <c r="AY70" s="58"/>
      <c r="AZ70" s="58"/>
      <c r="BA70" s="58"/>
      <c r="BB70" s="58"/>
      <c r="BC70" s="58"/>
      <c r="BD70" s="58"/>
      <c r="BE70" s="58"/>
      <c r="BF70" s="58"/>
      <c r="BG70" s="58"/>
      <c r="BM70">
        <v>70</v>
      </c>
      <c r="BU70">
        <v>70</v>
      </c>
    </row>
    <row r="71" spans="1:73">
      <c r="A71" s="111"/>
      <c r="B71" s="125">
        <v>71</v>
      </c>
      <c r="C71" s="54"/>
      <c r="D71" s="14"/>
      <c r="E71" s="14"/>
      <c r="F71" s="15"/>
      <c r="G71" s="15"/>
      <c r="H71" s="14"/>
      <c r="I71" s="14"/>
      <c r="J71" s="15"/>
      <c r="K71" s="15"/>
      <c r="L71" s="14"/>
      <c r="M71" s="14"/>
      <c r="N71" s="15"/>
      <c r="O71" s="15"/>
      <c r="P71" s="16">
        <f t="shared" si="2"/>
        <v>0</v>
      </c>
      <c r="Q71" s="26">
        <f t="shared" si="3"/>
        <v>0</v>
      </c>
      <c r="R71" s="34"/>
      <c r="S71" s="34"/>
      <c r="T71" s="34"/>
      <c r="U71" s="34"/>
      <c r="Y71" s="10"/>
      <c r="Z71" s="13">
        <v>69</v>
      </c>
      <c r="AA71" s="33">
        <v>69</v>
      </c>
      <c r="AB71" s="65">
        <f ca="1">INDIRECT("C69")</f>
        <v>0</v>
      </c>
      <c r="AC71" s="31">
        <f ca="1">INDIRECT("q69")</f>
        <v>0</v>
      </c>
      <c r="AD71" s="31">
        <f ca="1">INDIRECT("p69")</f>
        <v>0</v>
      </c>
      <c r="AE71" s="10"/>
      <c r="AJ71" s="7"/>
      <c r="AK71" s="7"/>
      <c r="AL71" s="71"/>
      <c r="AM71" s="67"/>
      <c r="AN71" s="61"/>
      <c r="AO71" s="58"/>
      <c r="AP71" s="64"/>
      <c r="AQ71" s="58"/>
      <c r="AR71" s="58"/>
      <c r="AS71" s="58"/>
      <c r="AT71" s="58"/>
      <c r="AU71" s="58"/>
      <c r="AV71" s="58"/>
      <c r="AW71" s="58"/>
      <c r="AX71" s="58"/>
      <c r="AY71" s="58"/>
      <c r="AZ71" s="58"/>
      <c r="BA71" s="58"/>
      <c r="BB71" s="58"/>
      <c r="BC71" s="58"/>
      <c r="BD71" s="58"/>
      <c r="BE71" s="58"/>
      <c r="BF71" s="58"/>
      <c r="BG71" s="58"/>
      <c r="BM71">
        <v>71</v>
      </c>
      <c r="BU71">
        <v>71</v>
      </c>
    </row>
    <row r="72" spans="1:73">
      <c r="A72" s="111"/>
      <c r="B72" s="125">
        <v>72</v>
      </c>
      <c r="C72" s="54"/>
      <c r="D72" s="14"/>
      <c r="E72" s="14"/>
      <c r="F72" s="15"/>
      <c r="G72" s="15"/>
      <c r="H72" s="14"/>
      <c r="I72" s="14"/>
      <c r="J72" s="15"/>
      <c r="K72" s="15"/>
      <c r="L72" s="14"/>
      <c r="M72" s="14"/>
      <c r="N72" s="15"/>
      <c r="O72" s="15"/>
      <c r="P72" s="16">
        <f t="shared" si="2"/>
        <v>0</v>
      </c>
      <c r="Q72" s="26">
        <f t="shared" si="3"/>
        <v>0</v>
      </c>
      <c r="R72" s="34"/>
      <c r="S72" s="34"/>
      <c r="T72" s="34"/>
      <c r="U72" s="34"/>
      <c r="Y72" s="10"/>
      <c r="Z72" s="13">
        <v>70</v>
      </c>
      <c r="AA72" s="33">
        <v>70</v>
      </c>
      <c r="AB72" s="65">
        <f ca="1">INDIRECT("C70")</f>
        <v>0</v>
      </c>
      <c r="AC72" s="31">
        <f ca="1">INDIRECT("q70")</f>
        <v>0</v>
      </c>
      <c r="AD72" s="31">
        <f ca="1">INDIRECT("p70")</f>
        <v>0</v>
      </c>
      <c r="AE72" s="10"/>
      <c r="AJ72" s="7"/>
      <c r="AK72" s="7"/>
      <c r="AL72" s="71"/>
      <c r="AM72" s="67"/>
      <c r="AN72" s="61"/>
      <c r="AO72" s="58"/>
      <c r="AP72" s="64"/>
      <c r="AQ72" s="58"/>
      <c r="AR72" s="58"/>
      <c r="AS72" s="58"/>
      <c r="AT72" s="58"/>
      <c r="AU72" s="58"/>
      <c r="AV72" s="58"/>
      <c r="AW72" s="58"/>
      <c r="AX72" s="58"/>
      <c r="AY72" s="58"/>
      <c r="AZ72" s="58"/>
      <c r="BA72" s="58"/>
      <c r="BB72" s="58"/>
      <c r="BC72" s="58"/>
      <c r="BD72" s="58"/>
      <c r="BE72" s="58"/>
      <c r="BF72" s="58"/>
      <c r="BG72" s="58"/>
      <c r="BM72">
        <v>72</v>
      </c>
      <c r="BU72">
        <v>72</v>
      </c>
    </row>
    <row r="73" spans="1:73">
      <c r="A73" s="111"/>
      <c r="B73" s="125">
        <v>73</v>
      </c>
      <c r="C73" s="54"/>
      <c r="D73" s="14"/>
      <c r="E73" s="14"/>
      <c r="F73" s="15"/>
      <c r="G73" s="15"/>
      <c r="H73" s="14"/>
      <c r="I73" s="14"/>
      <c r="J73" s="15"/>
      <c r="K73" s="15"/>
      <c r="L73" s="14"/>
      <c r="M73" s="14"/>
      <c r="N73" s="15"/>
      <c r="O73" s="15"/>
      <c r="P73" s="16">
        <f t="shared" si="2"/>
        <v>0</v>
      </c>
      <c r="Q73" s="26">
        <f t="shared" si="3"/>
        <v>0</v>
      </c>
      <c r="R73" s="34"/>
      <c r="S73" s="34"/>
      <c r="T73" s="34"/>
      <c r="U73" s="34"/>
      <c r="Y73" s="10"/>
      <c r="Z73" s="13">
        <v>71</v>
      </c>
      <c r="AA73" s="33">
        <v>71</v>
      </c>
      <c r="AB73" s="65">
        <f ca="1">INDIRECT("C71")</f>
        <v>0</v>
      </c>
      <c r="AC73" s="31">
        <f ca="1">INDIRECT("q71")</f>
        <v>0</v>
      </c>
      <c r="AD73" s="31">
        <f ca="1">INDIRECT("p71")</f>
        <v>0</v>
      </c>
      <c r="AE73" s="10"/>
      <c r="AJ73" s="7"/>
      <c r="AK73" s="7"/>
      <c r="AL73" s="71"/>
      <c r="AM73" s="67"/>
      <c r="AN73" s="61"/>
      <c r="AO73" s="58"/>
      <c r="AP73" s="64"/>
      <c r="AQ73" s="58"/>
      <c r="AR73" s="58"/>
      <c r="AS73" s="58"/>
      <c r="AT73" s="58"/>
      <c r="AU73" s="58"/>
      <c r="AV73" s="58"/>
      <c r="AW73" s="58"/>
      <c r="AX73" s="58"/>
      <c r="AY73" s="58"/>
      <c r="AZ73" s="58"/>
      <c r="BA73" s="58"/>
      <c r="BB73" s="58"/>
      <c r="BC73" s="58"/>
      <c r="BD73" s="58"/>
      <c r="BE73" s="58"/>
      <c r="BF73" s="58"/>
      <c r="BG73" s="58"/>
      <c r="BM73">
        <v>73</v>
      </c>
      <c r="BU73">
        <v>73</v>
      </c>
    </row>
    <row r="74" spans="1:73">
      <c r="A74" s="111"/>
      <c r="B74" s="27">
        <v>74</v>
      </c>
      <c r="C74" s="54"/>
      <c r="D74" s="14"/>
      <c r="E74" s="14"/>
      <c r="F74" s="15"/>
      <c r="G74" s="15"/>
      <c r="H74" s="14"/>
      <c r="I74" s="14"/>
      <c r="J74" s="15"/>
      <c r="K74" s="15"/>
      <c r="L74" s="14"/>
      <c r="M74" s="14"/>
      <c r="N74" s="15"/>
      <c r="O74" s="15"/>
      <c r="P74" s="16">
        <f t="shared" si="2"/>
        <v>0</v>
      </c>
      <c r="Q74" s="26">
        <f t="shared" si="3"/>
        <v>0</v>
      </c>
      <c r="R74" s="34"/>
      <c r="S74" s="34"/>
      <c r="T74" s="34"/>
      <c r="U74" s="34"/>
      <c r="Y74" s="10"/>
      <c r="Z74" s="13">
        <v>72</v>
      </c>
      <c r="AA74" s="33">
        <v>72</v>
      </c>
      <c r="AB74" s="65">
        <f ca="1">INDIRECT("C72")</f>
        <v>0</v>
      </c>
      <c r="AC74" s="31">
        <f ca="1">INDIRECT("q72")</f>
        <v>0</v>
      </c>
      <c r="AD74" s="31">
        <f ca="1">INDIRECT("p72")</f>
        <v>0</v>
      </c>
      <c r="AE74" s="10"/>
      <c r="AJ74" s="7"/>
      <c r="AK74" s="7"/>
      <c r="AL74" s="71"/>
      <c r="AM74" s="67"/>
      <c r="AN74" s="61"/>
      <c r="AO74" s="58"/>
      <c r="AP74" s="64"/>
      <c r="AQ74" s="58"/>
      <c r="AR74" s="58"/>
      <c r="AS74" s="58"/>
      <c r="AT74" s="58"/>
      <c r="AU74" s="58"/>
      <c r="AV74" s="58"/>
      <c r="AW74" s="58"/>
      <c r="AX74" s="58"/>
      <c r="AY74" s="58"/>
      <c r="AZ74" s="58"/>
      <c r="BA74" s="58"/>
      <c r="BB74" s="58"/>
      <c r="BC74" s="58"/>
      <c r="BD74" s="58"/>
      <c r="BE74" s="58"/>
      <c r="BF74" s="58"/>
      <c r="BG74" s="58"/>
      <c r="BM74">
        <v>74</v>
      </c>
      <c r="BU74">
        <v>74</v>
      </c>
    </row>
    <row r="75" spans="1:73">
      <c r="A75" s="111"/>
      <c r="B75" s="125">
        <v>75</v>
      </c>
      <c r="C75" s="54"/>
      <c r="D75" s="14"/>
      <c r="E75" s="14"/>
      <c r="F75" s="15"/>
      <c r="G75" s="15"/>
      <c r="H75" s="14"/>
      <c r="I75" s="14"/>
      <c r="J75" s="15"/>
      <c r="K75" s="15"/>
      <c r="L75" s="14"/>
      <c r="M75" s="14"/>
      <c r="N75" s="15"/>
      <c r="O75" s="15"/>
      <c r="P75" s="16">
        <f t="shared" si="2"/>
        <v>0</v>
      </c>
      <c r="Q75" s="26">
        <f t="shared" si="3"/>
        <v>0</v>
      </c>
      <c r="R75" s="34"/>
      <c r="S75" s="34"/>
      <c r="T75" s="34"/>
      <c r="U75" s="34"/>
      <c r="Y75" s="10"/>
      <c r="Z75" s="13">
        <v>73</v>
      </c>
      <c r="AA75" s="33">
        <v>73</v>
      </c>
      <c r="AB75" s="65">
        <f ca="1">INDIRECT("C73")</f>
        <v>0</v>
      </c>
      <c r="AC75" s="31">
        <f ca="1">INDIRECT("q73")</f>
        <v>0</v>
      </c>
      <c r="AD75" s="31">
        <f ca="1">INDIRECT("p73")</f>
        <v>0</v>
      </c>
      <c r="AE75" s="10"/>
      <c r="AJ75" s="7"/>
      <c r="AK75" s="7"/>
      <c r="AL75" s="71"/>
      <c r="AM75" s="67"/>
      <c r="AN75" s="61"/>
      <c r="AO75" s="58"/>
      <c r="AP75" s="64"/>
      <c r="AQ75" s="58"/>
      <c r="AR75" s="58"/>
      <c r="AS75" s="58"/>
      <c r="AT75" s="58"/>
      <c r="AU75" s="58"/>
      <c r="AV75" s="58"/>
      <c r="AW75" s="58"/>
      <c r="AX75" s="58"/>
      <c r="AY75" s="58"/>
      <c r="AZ75" s="58"/>
      <c r="BA75" s="58"/>
      <c r="BB75" s="58"/>
      <c r="BC75" s="58"/>
      <c r="BD75" s="58"/>
      <c r="BE75" s="58"/>
      <c r="BF75" s="58"/>
      <c r="BG75" s="58"/>
      <c r="BM75">
        <v>75</v>
      </c>
      <c r="BU75">
        <v>75</v>
      </c>
    </row>
    <row r="76" spans="1:73">
      <c r="A76" s="111"/>
      <c r="B76" s="125">
        <v>76</v>
      </c>
      <c r="C76" s="54"/>
      <c r="D76" s="14"/>
      <c r="E76" s="14"/>
      <c r="F76" s="15"/>
      <c r="G76" s="15"/>
      <c r="H76" s="14"/>
      <c r="I76" s="14"/>
      <c r="J76" s="15"/>
      <c r="K76" s="15"/>
      <c r="L76" s="14"/>
      <c r="M76" s="14"/>
      <c r="N76" s="15"/>
      <c r="O76" s="15"/>
      <c r="P76" s="16">
        <f t="shared" si="2"/>
        <v>0</v>
      </c>
      <c r="Q76" s="26">
        <f t="shared" si="3"/>
        <v>0</v>
      </c>
      <c r="R76" s="34"/>
      <c r="S76" s="34"/>
      <c r="T76" s="34"/>
      <c r="U76" s="34"/>
      <c r="Y76" s="10"/>
      <c r="Z76" s="13">
        <v>74</v>
      </c>
      <c r="AA76" s="33">
        <v>74</v>
      </c>
      <c r="AB76" s="65">
        <f ca="1">INDIRECT("C74")</f>
        <v>0</v>
      </c>
      <c r="AC76" s="31">
        <f ca="1">INDIRECT("q74")</f>
        <v>0</v>
      </c>
      <c r="AD76" s="31">
        <f ca="1">INDIRECT("p74")</f>
        <v>0</v>
      </c>
      <c r="AE76" s="10"/>
      <c r="AJ76" s="7"/>
      <c r="AK76" s="7"/>
      <c r="AL76" s="71"/>
      <c r="AM76" s="67"/>
      <c r="AN76" s="61"/>
      <c r="AO76" s="58"/>
      <c r="AP76" s="64"/>
      <c r="AQ76" s="58"/>
      <c r="AR76" s="58"/>
      <c r="AS76" s="58"/>
      <c r="AT76" s="58"/>
      <c r="AU76" s="58"/>
      <c r="AV76" s="58"/>
      <c r="AW76" s="58"/>
      <c r="AX76" s="58"/>
      <c r="AY76" s="58"/>
      <c r="AZ76" s="58"/>
      <c r="BA76" s="58"/>
      <c r="BB76" s="58"/>
      <c r="BC76" s="58"/>
      <c r="BD76" s="58"/>
      <c r="BE76" s="58"/>
      <c r="BF76" s="58"/>
      <c r="BG76" s="58"/>
      <c r="BM76">
        <v>76</v>
      </c>
      <c r="BU76">
        <v>76</v>
      </c>
    </row>
    <row r="77" spans="1:73">
      <c r="A77" s="111"/>
      <c r="B77" s="27">
        <v>77</v>
      </c>
      <c r="C77" s="54"/>
      <c r="D77" s="14"/>
      <c r="E77" s="14"/>
      <c r="F77" s="15"/>
      <c r="G77" s="15"/>
      <c r="H77" s="14"/>
      <c r="I77" s="14"/>
      <c r="J77" s="15"/>
      <c r="K77" s="15"/>
      <c r="L77" s="14"/>
      <c r="M77" s="14"/>
      <c r="N77" s="15"/>
      <c r="O77" s="15"/>
      <c r="P77" s="16">
        <f t="shared" si="2"/>
        <v>0</v>
      </c>
      <c r="Q77" s="26">
        <f t="shared" si="3"/>
        <v>0</v>
      </c>
      <c r="R77" s="34"/>
      <c r="S77" s="34"/>
      <c r="T77" s="34"/>
      <c r="U77" s="34"/>
      <c r="Y77" s="10"/>
      <c r="Z77" s="13">
        <v>75</v>
      </c>
      <c r="AA77" s="33">
        <v>75</v>
      </c>
      <c r="AB77" s="65">
        <f ca="1">INDIRECT("C75")</f>
        <v>0</v>
      </c>
      <c r="AC77" s="31">
        <f ca="1">INDIRECT("q75")</f>
        <v>0</v>
      </c>
      <c r="AD77" s="31">
        <f ca="1">INDIRECT("p75")</f>
        <v>0</v>
      </c>
      <c r="AE77" s="10"/>
      <c r="AJ77" s="7"/>
      <c r="AK77" s="7"/>
      <c r="AL77" s="71"/>
      <c r="AM77" s="67"/>
      <c r="AN77" s="61"/>
      <c r="AO77" s="58"/>
      <c r="AP77" s="64"/>
      <c r="AQ77" s="58"/>
      <c r="AR77" s="58"/>
      <c r="AS77" s="58"/>
      <c r="AT77" s="58"/>
      <c r="AU77" s="58"/>
      <c r="AV77" s="58"/>
      <c r="AW77" s="58"/>
      <c r="AX77" s="58"/>
      <c r="AY77" s="58"/>
      <c r="AZ77" s="58"/>
      <c r="BA77" s="58"/>
      <c r="BB77" s="58"/>
      <c r="BC77" s="58"/>
      <c r="BD77" s="58"/>
      <c r="BE77" s="58"/>
      <c r="BF77" s="58"/>
      <c r="BG77" s="58"/>
      <c r="BM77">
        <v>77</v>
      </c>
      <c r="BU77">
        <v>77</v>
      </c>
    </row>
    <row r="78" spans="1:73">
      <c r="A78" s="111"/>
      <c r="B78" s="26">
        <v>78</v>
      </c>
      <c r="C78" s="54"/>
      <c r="D78" s="14"/>
      <c r="E78" s="14"/>
      <c r="F78" s="15"/>
      <c r="G78" s="15"/>
      <c r="H78" s="14"/>
      <c r="I78" s="14"/>
      <c r="J78" s="15"/>
      <c r="K78" s="15"/>
      <c r="L78" s="14"/>
      <c r="M78" s="14"/>
      <c r="N78" s="15"/>
      <c r="O78" s="15"/>
      <c r="P78" s="16">
        <f t="shared" si="2"/>
        <v>0</v>
      </c>
      <c r="Q78" s="26">
        <f t="shared" si="3"/>
        <v>0</v>
      </c>
      <c r="R78" s="34"/>
      <c r="S78" s="34"/>
      <c r="T78" s="34"/>
      <c r="U78" s="34"/>
      <c r="Y78" s="10"/>
      <c r="Z78" s="13">
        <v>76</v>
      </c>
      <c r="AA78" s="33">
        <v>76</v>
      </c>
      <c r="AB78" s="65">
        <f ca="1">INDIRECT("C76")</f>
        <v>0</v>
      </c>
      <c r="AC78" s="31">
        <f ca="1">INDIRECT("q76")</f>
        <v>0</v>
      </c>
      <c r="AD78" s="31">
        <f ca="1">INDIRECT("p76")</f>
        <v>0</v>
      </c>
      <c r="AE78" s="10"/>
      <c r="AJ78" s="7"/>
      <c r="AK78" s="7"/>
      <c r="AL78" s="70"/>
      <c r="AM78" s="67"/>
      <c r="AO78" s="56"/>
      <c r="AP78" s="63"/>
      <c r="AQ78" s="56"/>
      <c r="AR78" s="58"/>
      <c r="AS78" s="58"/>
      <c r="AT78" s="58"/>
      <c r="AU78" s="58"/>
      <c r="AV78" s="56"/>
      <c r="AW78" s="56"/>
      <c r="AX78" s="58"/>
      <c r="AY78" s="58"/>
      <c r="AZ78" s="58"/>
      <c r="BA78" s="58"/>
      <c r="BB78" s="58"/>
      <c r="BC78" s="58"/>
      <c r="BD78" s="58"/>
      <c r="BE78" s="58"/>
      <c r="BF78" s="56"/>
      <c r="BG78" s="56"/>
      <c r="BM78">
        <v>78</v>
      </c>
      <c r="BU78">
        <v>78</v>
      </c>
    </row>
    <row r="79" spans="1:73">
      <c r="A79" s="111"/>
      <c r="B79" s="26">
        <v>79</v>
      </c>
      <c r="C79" s="54"/>
      <c r="D79" s="14"/>
      <c r="E79" s="14"/>
      <c r="F79" s="15"/>
      <c r="G79" s="15"/>
      <c r="H79" s="14"/>
      <c r="I79" s="14"/>
      <c r="J79" s="15"/>
      <c r="K79" s="15"/>
      <c r="L79" s="14"/>
      <c r="M79" s="14"/>
      <c r="N79" s="15"/>
      <c r="O79" s="15"/>
      <c r="P79" s="16">
        <f t="shared" si="2"/>
        <v>0</v>
      </c>
      <c r="Q79" s="26">
        <f t="shared" si="3"/>
        <v>0</v>
      </c>
      <c r="R79" s="34"/>
      <c r="S79" s="34"/>
      <c r="T79" s="34"/>
      <c r="U79" s="34"/>
      <c r="Y79" s="10"/>
      <c r="Z79" s="13">
        <v>77</v>
      </c>
      <c r="AA79" s="33">
        <v>77</v>
      </c>
      <c r="AB79" s="65">
        <f ca="1">INDIRECT("C77")</f>
        <v>0</v>
      </c>
      <c r="AC79" s="31">
        <f ca="1">INDIRECT("q77")</f>
        <v>0</v>
      </c>
      <c r="AD79" s="31">
        <f ca="1">INDIRECT("p77")</f>
        <v>0</v>
      </c>
      <c r="AE79" s="10"/>
      <c r="AJ79" s="7"/>
      <c r="AK79" s="7"/>
      <c r="AL79" s="70"/>
      <c r="AM79" s="67"/>
      <c r="AO79" s="56"/>
      <c r="AP79" s="63"/>
      <c r="AQ79" s="56"/>
      <c r="AR79" s="58"/>
      <c r="AS79" s="58"/>
      <c r="AT79" s="58"/>
      <c r="AU79" s="58"/>
      <c r="AV79" s="56"/>
      <c r="AW79" s="56"/>
      <c r="AX79" s="58"/>
      <c r="AY79" s="58"/>
      <c r="AZ79" s="58"/>
      <c r="BA79" s="58"/>
      <c r="BB79" s="58"/>
      <c r="BC79" s="58"/>
      <c r="BD79" s="58"/>
      <c r="BE79" s="58"/>
      <c r="BF79" s="56"/>
      <c r="BG79" s="56"/>
      <c r="BM79">
        <v>79</v>
      </c>
      <c r="BU79">
        <v>79</v>
      </c>
    </row>
    <row r="80" spans="1:73">
      <c r="A80" s="111"/>
      <c r="B80" s="26">
        <v>80</v>
      </c>
      <c r="C80" s="54"/>
      <c r="D80" s="14"/>
      <c r="E80" s="14"/>
      <c r="F80" s="15"/>
      <c r="G80" s="15"/>
      <c r="H80" s="14"/>
      <c r="I80" s="14"/>
      <c r="J80" s="15"/>
      <c r="K80" s="15"/>
      <c r="L80" s="14"/>
      <c r="M80" s="14"/>
      <c r="N80" s="15"/>
      <c r="O80" s="15"/>
      <c r="P80" s="16">
        <f t="shared" si="2"/>
        <v>0</v>
      </c>
      <c r="Q80" s="26">
        <f t="shared" si="3"/>
        <v>0</v>
      </c>
      <c r="R80" s="34"/>
      <c r="S80" s="34"/>
      <c r="T80" s="34"/>
      <c r="U80" s="34"/>
      <c r="W80" s="38" t="s">
        <v>13</v>
      </c>
      <c r="Y80" s="10"/>
      <c r="Z80" s="13">
        <v>78</v>
      </c>
      <c r="AA80" s="33">
        <v>78</v>
      </c>
      <c r="AB80" s="65">
        <f ca="1">INDIRECT("C78")</f>
        <v>0</v>
      </c>
      <c r="AC80" s="31">
        <f ca="1">INDIRECT("q78")</f>
        <v>0</v>
      </c>
      <c r="AD80" s="31">
        <f ca="1">INDIRECT("p78")</f>
        <v>0</v>
      </c>
      <c r="AE80" s="10"/>
      <c r="AJ80" s="7"/>
      <c r="AK80" s="7"/>
      <c r="AL80" s="70"/>
      <c r="AM80" s="67"/>
      <c r="AO80" s="56"/>
      <c r="AP80" s="63"/>
      <c r="AQ80" s="56"/>
      <c r="AR80" s="58"/>
      <c r="AS80" s="58"/>
      <c r="AT80" s="58"/>
      <c r="AU80" s="58"/>
      <c r="AV80" s="56"/>
      <c r="AW80" s="56"/>
      <c r="AX80" s="58"/>
      <c r="AY80" s="58"/>
      <c r="AZ80" s="58"/>
      <c r="BA80" s="58"/>
      <c r="BB80" s="58"/>
      <c r="BC80" s="58"/>
      <c r="BD80" s="58"/>
      <c r="BE80" s="58"/>
      <c r="BF80" s="56"/>
      <c r="BG80" s="56"/>
      <c r="BM80">
        <v>80</v>
      </c>
      <c r="BU80">
        <v>80</v>
      </c>
    </row>
    <row r="81" spans="1:73">
      <c r="A81" s="111"/>
      <c r="B81" s="26">
        <v>81</v>
      </c>
      <c r="C81" s="54"/>
      <c r="D81" s="14"/>
      <c r="E81" s="14"/>
      <c r="F81" s="15"/>
      <c r="G81" s="15"/>
      <c r="H81" s="14"/>
      <c r="I81" s="14"/>
      <c r="J81" s="15"/>
      <c r="K81" s="15"/>
      <c r="L81" s="14"/>
      <c r="M81" s="14"/>
      <c r="N81" s="15"/>
      <c r="O81" s="15"/>
      <c r="P81" s="16">
        <f t="shared" si="2"/>
        <v>0</v>
      </c>
      <c r="Q81" s="26">
        <f t="shared" si="3"/>
        <v>0</v>
      </c>
      <c r="R81" s="34"/>
      <c r="S81" s="34"/>
      <c r="T81" s="34"/>
      <c r="U81" s="34"/>
      <c r="W81" s="10"/>
      <c r="Y81" s="10"/>
      <c r="Z81" s="13">
        <v>79</v>
      </c>
      <c r="AA81" s="33">
        <v>79</v>
      </c>
      <c r="AB81" s="65">
        <f ca="1">INDIRECT("C79")</f>
        <v>0</v>
      </c>
      <c r="AC81" s="31">
        <f ca="1">INDIRECT("q79")</f>
        <v>0</v>
      </c>
      <c r="AD81" s="31">
        <f ca="1">INDIRECT("p79")</f>
        <v>0</v>
      </c>
      <c r="AE81" s="10"/>
      <c r="AJ81" s="7"/>
      <c r="AK81" s="7"/>
      <c r="AL81" s="70"/>
      <c r="AM81" s="67"/>
      <c r="AO81" s="56"/>
      <c r="AP81" s="63"/>
      <c r="AQ81" s="56"/>
      <c r="AR81" s="58"/>
      <c r="AS81" s="58"/>
      <c r="AT81" s="58"/>
      <c r="AU81" s="58"/>
      <c r="AV81" s="56"/>
      <c r="AW81" s="56"/>
      <c r="AX81" s="58"/>
      <c r="AY81" s="58"/>
      <c r="AZ81" s="58"/>
      <c r="BA81" s="58"/>
      <c r="BB81" s="58"/>
      <c r="BC81" s="58"/>
      <c r="BD81" s="58"/>
      <c r="BE81" s="58"/>
      <c r="BF81" s="56"/>
      <c r="BG81" s="56"/>
      <c r="BM81">
        <v>81</v>
      </c>
      <c r="BU81">
        <v>81</v>
      </c>
    </row>
    <row r="82" spans="1:73">
      <c r="A82" s="111"/>
      <c r="B82" s="26">
        <v>82</v>
      </c>
      <c r="C82" s="54"/>
      <c r="D82" s="14"/>
      <c r="E82" s="14"/>
      <c r="F82" s="15"/>
      <c r="G82" s="15"/>
      <c r="H82" s="14"/>
      <c r="I82" s="14"/>
      <c r="J82" s="15"/>
      <c r="K82" s="15"/>
      <c r="L82" s="14"/>
      <c r="M82" s="14"/>
      <c r="N82" s="15"/>
      <c r="O82" s="15"/>
      <c r="P82" s="16">
        <f t="shared" si="2"/>
        <v>0</v>
      </c>
      <c r="Q82" s="26">
        <f t="shared" si="3"/>
        <v>0</v>
      </c>
      <c r="R82" s="34"/>
      <c r="S82" s="34"/>
      <c r="T82" s="34"/>
      <c r="U82" s="34"/>
      <c r="W82" s="10"/>
      <c r="Y82" s="10"/>
      <c r="Z82" s="13">
        <v>80</v>
      </c>
      <c r="AA82" s="33">
        <v>80</v>
      </c>
      <c r="AB82" s="65">
        <f ca="1">INDIRECT("C80")</f>
        <v>0</v>
      </c>
      <c r="AC82" s="31">
        <f ca="1">INDIRECT("q80")</f>
        <v>0</v>
      </c>
      <c r="AD82" s="31">
        <f ca="1">INDIRECT("p80")</f>
        <v>0</v>
      </c>
      <c r="AE82" s="10"/>
      <c r="AJ82" s="7"/>
      <c r="AK82" s="7"/>
      <c r="AL82" s="70"/>
      <c r="AM82" s="67"/>
      <c r="AO82" s="56"/>
      <c r="AP82" s="63"/>
      <c r="AQ82" s="56"/>
      <c r="AR82" s="58"/>
      <c r="AS82" s="58"/>
      <c r="AT82" s="58"/>
      <c r="AU82" s="58"/>
      <c r="AV82" s="56"/>
      <c r="AW82" s="56"/>
      <c r="AX82" s="58"/>
      <c r="AY82" s="58"/>
      <c r="AZ82" s="58"/>
      <c r="BA82" s="58"/>
      <c r="BB82" s="58"/>
      <c r="BC82" s="58"/>
      <c r="BD82" s="58"/>
      <c r="BE82" s="58"/>
      <c r="BF82" s="56"/>
      <c r="BG82" s="56"/>
      <c r="BM82">
        <v>82</v>
      </c>
      <c r="BU82">
        <v>82</v>
      </c>
    </row>
    <row r="83" spans="1:73">
      <c r="A83" s="111"/>
      <c r="B83" s="26">
        <v>83</v>
      </c>
      <c r="C83" s="54"/>
      <c r="D83" s="14"/>
      <c r="E83" s="14"/>
      <c r="F83" s="15"/>
      <c r="G83" s="15"/>
      <c r="H83" s="14"/>
      <c r="I83" s="14"/>
      <c r="J83" s="15"/>
      <c r="K83" s="15"/>
      <c r="L83" s="14"/>
      <c r="M83" s="14"/>
      <c r="N83" s="15"/>
      <c r="O83" s="15"/>
      <c r="P83" s="16">
        <f t="shared" si="2"/>
        <v>0</v>
      </c>
      <c r="Q83" s="26">
        <f t="shared" si="3"/>
        <v>0</v>
      </c>
      <c r="R83" s="34"/>
      <c r="S83" s="34"/>
      <c r="T83" s="34"/>
      <c r="U83" s="34"/>
      <c r="W83" s="10"/>
      <c r="Y83" s="10"/>
      <c r="Z83" s="13">
        <v>81</v>
      </c>
      <c r="AA83" s="33">
        <v>81</v>
      </c>
      <c r="AB83" s="65">
        <f ca="1">INDIRECT("C81")</f>
        <v>0</v>
      </c>
      <c r="AC83" s="31">
        <f ca="1">INDIRECT("q81")</f>
        <v>0</v>
      </c>
      <c r="AD83" s="31">
        <f ca="1">INDIRECT("p81")</f>
        <v>0</v>
      </c>
      <c r="AE83" s="10"/>
      <c r="AJ83" s="7"/>
      <c r="AK83" s="7"/>
      <c r="AL83" s="70"/>
      <c r="AM83" s="67"/>
      <c r="AO83" s="56"/>
      <c r="AP83" s="63"/>
      <c r="AQ83" s="56"/>
      <c r="AR83" s="58"/>
      <c r="AS83" s="58"/>
      <c r="AT83" s="58"/>
      <c r="AU83" s="58"/>
      <c r="AV83" s="56"/>
      <c r="AW83" s="56"/>
      <c r="AX83" s="58"/>
      <c r="AY83" s="58"/>
      <c r="AZ83" s="58"/>
      <c r="BA83" s="58"/>
      <c r="BB83" s="58"/>
      <c r="BC83" s="58"/>
      <c r="BD83" s="58"/>
      <c r="BE83" s="58"/>
      <c r="BF83" s="56"/>
      <c r="BG83" s="56"/>
      <c r="BM83">
        <v>83</v>
      </c>
      <c r="BU83">
        <v>83</v>
      </c>
    </row>
    <row r="84" spans="1:73">
      <c r="A84" s="111"/>
      <c r="B84" s="26">
        <v>84</v>
      </c>
      <c r="C84" s="54"/>
      <c r="D84" s="14"/>
      <c r="E84" s="14"/>
      <c r="F84" s="15"/>
      <c r="G84" s="15"/>
      <c r="H84" s="14"/>
      <c r="I84" s="14"/>
      <c r="J84" s="15"/>
      <c r="K84" s="15"/>
      <c r="L84" s="14"/>
      <c r="M84" s="14"/>
      <c r="N84" s="15"/>
      <c r="O84" s="15"/>
      <c r="P84" s="16">
        <f t="shared" si="2"/>
        <v>0</v>
      </c>
      <c r="Q84" s="26">
        <f t="shared" si="3"/>
        <v>0</v>
      </c>
      <c r="R84" s="34"/>
      <c r="S84" s="34"/>
      <c r="T84" s="34"/>
      <c r="U84" s="34"/>
      <c r="W84" s="10"/>
      <c r="Y84" s="10"/>
      <c r="Z84" s="13">
        <v>82</v>
      </c>
      <c r="AA84" s="33">
        <v>82</v>
      </c>
      <c r="AB84" s="65">
        <f ca="1">INDIRECT("C82")</f>
        <v>0</v>
      </c>
      <c r="AC84" s="31">
        <f ca="1">INDIRECT("q82")</f>
        <v>0</v>
      </c>
      <c r="AD84" s="31">
        <f ca="1">INDIRECT("p82")</f>
        <v>0</v>
      </c>
      <c r="AE84" s="10"/>
      <c r="AJ84" s="7"/>
      <c r="AK84" s="7"/>
      <c r="AL84" s="70"/>
      <c r="AM84" s="67"/>
      <c r="AO84" s="56"/>
      <c r="AP84" s="63"/>
      <c r="AQ84" s="56"/>
      <c r="AR84" s="58"/>
      <c r="AS84" s="58"/>
      <c r="AT84" s="58"/>
      <c r="AU84" s="58"/>
      <c r="AV84" s="56"/>
      <c r="AW84" s="56"/>
      <c r="AX84" s="58"/>
      <c r="AY84" s="58"/>
      <c r="AZ84" s="58"/>
      <c r="BA84" s="58"/>
      <c r="BB84" s="58"/>
      <c r="BC84" s="58"/>
      <c r="BD84" s="58"/>
      <c r="BE84" s="58"/>
      <c r="BF84" s="56"/>
      <c r="BG84" s="56"/>
      <c r="BM84">
        <v>84</v>
      </c>
      <c r="BU84">
        <v>84</v>
      </c>
    </row>
    <row r="85" spans="1:73">
      <c r="A85" s="111"/>
      <c r="B85" s="26">
        <v>85</v>
      </c>
      <c r="C85" s="54"/>
      <c r="D85" s="14"/>
      <c r="E85" s="14"/>
      <c r="F85" s="15"/>
      <c r="G85" s="15"/>
      <c r="H85" s="14"/>
      <c r="I85" s="14"/>
      <c r="J85" s="15"/>
      <c r="K85" s="15"/>
      <c r="L85" s="14"/>
      <c r="M85" s="14"/>
      <c r="N85" s="15"/>
      <c r="O85" s="15"/>
      <c r="P85" s="16">
        <f t="shared" si="2"/>
        <v>0</v>
      </c>
      <c r="Q85" s="26">
        <f t="shared" si="3"/>
        <v>0</v>
      </c>
      <c r="R85" s="34"/>
      <c r="S85" s="34"/>
      <c r="T85" s="34"/>
      <c r="U85" s="34"/>
      <c r="W85" s="10"/>
      <c r="Y85" s="10"/>
      <c r="Z85" s="13">
        <v>83</v>
      </c>
      <c r="AA85" s="33">
        <v>83</v>
      </c>
      <c r="AB85" s="65">
        <f ca="1">INDIRECT("C83")</f>
        <v>0</v>
      </c>
      <c r="AC85" s="31">
        <f ca="1">INDIRECT("q83")</f>
        <v>0</v>
      </c>
      <c r="AD85" s="31">
        <f ca="1">INDIRECT("p83")</f>
        <v>0</v>
      </c>
      <c r="AE85" s="10"/>
      <c r="AJ85" s="7"/>
      <c r="AK85" s="7"/>
      <c r="AL85" s="70"/>
      <c r="AM85" s="67"/>
      <c r="AO85" s="56"/>
      <c r="AP85" s="63"/>
      <c r="AQ85" s="56"/>
      <c r="AR85" s="58"/>
      <c r="AS85" s="58"/>
      <c r="AT85" s="58"/>
      <c r="AU85" s="58"/>
      <c r="AV85" s="56"/>
      <c r="AW85" s="56"/>
      <c r="AX85" s="58"/>
      <c r="AY85" s="58"/>
      <c r="AZ85" s="58"/>
      <c r="BA85" s="58"/>
      <c r="BB85" s="58"/>
      <c r="BC85" s="58"/>
      <c r="BD85" s="58"/>
      <c r="BE85" s="58"/>
      <c r="BF85" s="56"/>
      <c r="BG85" s="56"/>
      <c r="BM85">
        <v>85</v>
      </c>
      <c r="BU85">
        <v>85</v>
      </c>
    </row>
    <row r="86" spans="1:73">
      <c r="A86" s="111"/>
      <c r="B86" s="26">
        <v>86</v>
      </c>
      <c r="C86" s="54"/>
      <c r="D86" s="14"/>
      <c r="E86" s="14"/>
      <c r="F86" s="15"/>
      <c r="G86" s="15"/>
      <c r="H86" s="14"/>
      <c r="I86" s="14"/>
      <c r="J86" s="15"/>
      <c r="K86" s="15"/>
      <c r="L86" s="14"/>
      <c r="M86" s="14"/>
      <c r="N86" s="15"/>
      <c r="O86" s="15"/>
      <c r="P86" s="16">
        <f t="shared" si="2"/>
        <v>0</v>
      </c>
      <c r="Q86" s="26">
        <f t="shared" si="3"/>
        <v>0</v>
      </c>
      <c r="R86" s="34"/>
      <c r="S86" s="34"/>
      <c r="T86" s="34"/>
      <c r="U86" s="34"/>
      <c r="W86" s="10"/>
      <c r="Y86" s="10"/>
      <c r="Z86" s="13">
        <v>84</v>
      </c>
      <c r="AA86" s="33">
        <v>84</v>
      </c>
      <c r="AB86" s="65">
        <f ca="1">INDIRECT("C84")</f>
        <v>0</v>
      </c>
      <c r="AC86" s="31">
        <f ca="1">INDIRECT("q84")</f>
        <v>0</v>
      </c>
      <c r="AD86" s="31">
        <f ca="1">INDIRECT("p84")</f>
        <v>0</v>
      </c>
      <c r="AE86" s="10"/>
      <c r="AJ86" s="7"/>
      <c r="AK86" s="7"/>
      <c r="AL86" s="70"/>
      <c r="AM86" s="67"/>
      <c r="AO86" s="56"/>
      <c r="AP86" s="63"/>
      <c r="AQ86" s="56"/>
      <c r="AR86" s="58"/>
      <c r="AS86" s="58"/>
      <c r="AT86" s="58"/>
      <c r="AU86" s="58"/>
      <c r="AV86" s="56"/>
      <c r="AW86" s="56"/>
      <c r="AX86" s="58"/>
      <c r="AY86" s="58"/>
      <c r="AZ86" s="58"/>
      <c r="BA86" s="58"/>
      <c r="BB86" s="58"/>
      <c r="BC86" s="58"/>
      <c r="BD86" s="58"/>
      <c r="BE86" s="58"/>
      <c r="BF86" s="56"/>
      <c r="BG86" s="56"/>
      <c r="BM86">
        <v>86</v>
      </c>
      <c r="BU86">
        <v>86</v>
      </c>
    </row>
    <row r="87" spans="1:73">
      <c r="A87" s="111"/>
      <c r="B87" s="26">
        <v>87</v>
      </c>
      <c r="C87" s="54"/>
      <c r="D87" s="14"/>
      <c r="E87" s="14"/>
      <c r="F87" s="15"/>
      <c r="G87" s="15"/>
      <c r="H87" s="14"/>
      <c r="I87" s="14"/>
      <c r="J87" s="15"/>
      <c r="K87" s="15"/>
      <c r="L87" s="14"/>
      <c r="M87" s="14"/>
      <c r="N87" s="15"/>
      <c r="O87" s="15"/>
      <c r="P87" s="16">
        <f t="shared" si="2"/>
        <v>0</v>
      </c>
      <c r="Q87" s="26">
        <f t="shared" si="3"/>
        <v>0</v>
      </c>
      <c r="R87" s="34"/>
      <c r="S87" s="34"/>
      <c r="T87" s="34"/>
      <c r="U87" s="34"/>
      <c r="Y87" s="10"/>
      <c r="Z87" s="13">
        <v>85</v>
      </c>
      <c r="AA87" s="33">
        <v>85</v>
      </c>
      <c r="AB87" s="65">
        <f ca="1">INDIRECT("C85")</f>
        <v>0</v>
      </c>
      <c r="AC87" s="31">
        <f ca="1">INDIRECT("q85")</f>
        <v>0</v>
      </c>
      <c r="AD87" s="31">
        <f ca="1">INDIRECT("p85")</f>
        <v>0</v>
      </c>
      <c r="AE87" s="10"/>
      <c r="AJ87" s="7"/>
      <c r="AK87" s="7"/>
      <c r="AL87" s="70"/>
      <c r="AM87" s="67"/>
      <c r="AO87" s="56"/>
      <c r="AP87" s="63"/>
      <c r="AQ87" s="56"/>
      <c r="AR87" s="58"/>
      <c r="AS87" s="58"/>
      <c r="AT87" s="58"/>
      <c r="AU87" s="58"/>
      <c r="AV87" s="56"/>
      <c r="AW87" s="56"/>
      <c r="AX87" s="58"/>
      <c r="AY87" s="58"/>
      <c r="AZ87" s="58"/>
      <c r="BA87" s="58"/>
      <c r="BB87" s="58"/>
      <c r="BC87" s="58"/>
      <c r="BD87" s="58"/>
      <c r="BE87" s="58"/>
      <c r="BF87" s="56"/>
      <c r="BG87" s="56"/>
      <c r="BM87">
        <v>87</v>
      </c>
      <c r="BU87">
        <v>87</v>
      </c>
    </row>
    <row r="88" spans="1:73">
      <c r="A88" s="111"/>
      <c r="B88" s="26">
        <v>88</v>
      </c>
      <c r="C88" s="54"/>
      <c r="D88" s="14"/>
      <c r="E88" s="14"/>
      <c r="F88" s="15"/>
      <c r="G88" s="15"/>
      <c r="H88" s="14"/>
      <c r="I88" s="14"/>
      <c r="J88" s="15"/>
      <c r="K88" s="15"/>
      <c r="L88" s="14"/>
      <c r="M88" s="14"/>
      <c r="N88" s="15"/>
      <c r="O88" s="15"/>
      <c r="P88" s="16">
        <f t="shared" si="2"/>
        <v>0</v>
      </c>
      <c r="Q88" s="26">
        <f t="shared" si="3"/>
        <v>0</v>
      </c>
      <c r="R88" s="34"/>
      <c r="S88" s="34"/>
      <c r="T88" s="34"/>
      <c r="U88" s="34"/>
      <c r="W88" s="39" t="s">
        <v>14</v>
      </c>
      <c r="Y88" s="10"/>
      <c r="Z88" s="13">
        <v>86</v>
      </c>
      <c r="AA88" s="33">
        <v>86</v>
      </c>
      <c r="AB88" s="65">
        <f ca="1">INDIRECT("C86")</f>
        <v>0</v>
      </c>
      <c r="AC88" s="31">
        <f ca="1">INDIRECT("q86")</f>
        <v>0</v>
      </c>
      <c r="AD88" s="31">
        <f ca="1">INDIRECT("p86")</f>
        <v>0</v>
      </c>
      <c r="AE88" s="10"/>
      <c r="AJ88" s="7"/>
      <c r="AK88" s="7"/>
      <c r="AL88" s="70"/>
      <c r="AM88" s="67"/>
      <c r="AO88" s="56"/>
      <c r="AP88" s="63"/>
      <c r="AQ88" s="56"/>
      <c r="AR88" s="58"/>
      <c r="AS88" s="58"/>
      <c r="AT88" s="58"/>
      <c r="AU88" s="58"/>
      <c r="AV88" s="56"/>
      <c r="AW88" s="56"/>
      <c r="AX88" s="58"/>
      <c r="AY88" s="58"/>
      <c r="AZ88" s="58"/>
      <c r="BA88" s="58"/>
      <c r="BB88" s="58"/>
      <c r="BC88" s="58"/>
      <c r="BD88" s="58"/>
      <c r="BE88" s="58"/>
      <c r="BF88" s="56"/>
      <c r="BG88" s="56"/>
      <c r="BM88">
        <v>88</v>
      </c>
      <c r="BU88">
        <v>88</v>
      </c>
    </row>
    <row r="89" spans="1:73">
      <c r="A89" s="111"/>
      <c r="B89" s="26">
        <v>89</v>
      </c>
      <c r="C89" s="54"/>
      <c r="D89" s="14"/>
      <c r="E89" s="14"/>
      <c r="F89" s="15"/>
      <c r="G89" s="15"/>
      <c r="H89" s="14"/>
      <c r="I89" s="14"/>
      <c r="J89" s="15"/>
      <c r="K89" s="15"/>
      <c r="L89" s="14"/>
      <c r="M89" s="14"/>
      <c r="N89" s="15"/>
      <c r="O89" s="15"/>
      <c r="P89" s="16">
        <f t="shared" si="2"/>
        <v>0</v>
      </c>
      <c r="Q89" s="26">
        <f t="shared" si="3"/>
        <v>0</v>
      </c>
      <c r="R89" s="34"/>
      <c r="S89" s="34"/>
      <c r="T89" s="34"/>
      <c r="U89" s="34"/>
      <c r="W89" s="9"/>
      <c r="Y89" s="10"/>
      <c r="Z89" s="13">
        <v>87</v>
      </c>
      <c r="AA89" s="33">
        <v>87</v>
      </c>
      <c r="AB89" s="65">
        <f ca="1">INDIRECT("C87")</f>
        <v>0</v>
      </c>
      <c r="AC89" s="31">
        <f ca="1">INDIRECT("q87")</f>
        <v>0</v>
      </c>
      <c r="AD89" s="31">
        <f ca="1">INDIRECT("p87")</f>
        <v>0</v>
      </c>
      <c r="AE89" s="10"/>
      <c r="AJ89" s="7"/>
      <c r="AK89" s="7"/>
      <c r="AL89" s="70"/>
      <c r="AM89" s="67"/>
      <c r="AO89" s="56"/>
      <c r="AP89" s="63"/>
      <c r="AQ89" s="56"/>
      <c r="AR89" s="58"/>
      <c r="AS89" s="58"/>
      <c r="AT89" s="58"/>
      <c r="AU89" s="58"/>
      <c r="AV89" s="56"/>
      <c r="AW89" s="56"/>
      <c r="AX89" s="58"/>
      <c r="AY89" s="58"/>
      <c r="AZ89" s="58"/>
      <c r="BA89" s="58"/>
      <c r="BB89" s="58"/>
      <c r="BC89" s="58"/>
      <c r="BD89" s="58"/>
      <c r="BE89" s="58"/>
      <c r="BF89" s="56"/>
      <c r="BG89" s="56"/>
      <c r="BM89">
        <v>89</v>
      </c>
      <c r="BU89">
        <v>89</v>
      </c>
    </row>
    <row r="90" spans="1:73">
      <c r="A90" s="111"/>
      <c r="B90" s="26">
        <v>90</v>
      </c>
      <c r="C90" s="54"/>
      <c r="D90" s="14"/>
      <c r="E90" s="14"/>
      <c r="F90" s="15"/>
      <c r="G90" s="15"/>
      <c r="H90" s="14"/>
      <c r="I90" s="14"/>
      <c r="J90" s="15"/>
      <c r="K90" s="15"/>
      <c r="L90" s="14"/>
      <c r="M90" s="14"/>
      <c r="N90" s="15"/>
      <c r="O90" s="15"/>
      <c r="P90" s="16">
        <f t="shared" si="2"/>
        <v>0</v>
      </c>
      <c r="Q90" s="26">
        <f t="shared" si="3"/>
        <v>0</v>
      </c>
      <c r="R90" s="34"/>
      <c r="S90" s="34"/>
      <c r="T90" s="34"/>
      <c r="U90" s="34"/>
      <c r="W90" s="9"/>
      <c r="Y90" s="10"/>
      <c r="Z90" s="13">
        <v>88</v>
      </c>
      <c r="AA90" s="33">
        <v>88</v>
      </c>
      <c r="AB90" s="65">
        <f ca="1">INDIRECT("C88")</f>
        <v>0</v>
      </c>
      <c r="AC90" s="31">
        <f ca="1">INDIRECT("q88")</f>
        <v>0</v>
      </c>
      <c r="AD90" s="31">
        <f ca="1">INDIRECT("p88")</f>
        <v>0</v>
      </c>
      <c r="AE90" s="10"/>
      <c r="AJ90" s="7"/>
      <c r="AK90" s="7"/>
      <c r="AL90" s="70"/>
      <c r="AM90" s="67"/>
      <c r="AO90" s="56"/>
      <c r="AP90" s="63"/>
      <c r="AQ90" s="56"/>
      <c r="AR90" s="58"/>
      <c r="AS90" s="58"/>
      <c r="AT90" s="58"/>
      <c r="AU90" s="58"/>
      <c r="AV90" s="56"/>
      <c r="AW90" s="56"/>
      <c r="AX90" s="58"/>
      <c r="AY90" s="58"/>
      <c r="AZ90" s="58"/>
      <c r="BA90" s="58"/>
      <c r="BB90" s="58"/>
      <c r="BC90" s="58"/>
      <c r="BD90" s="58"/>
      <c r="BE90" s="58"/>
      <c r="BF90" s="56"/>
      <c r="BG90" s="56"/>
      <c r="BM90">
        <v>90</v>
      </c>
      <c r="BU90">
        <v>90</v>
      </c>
    </row>
    <row r="91" spans="1:73">
      <c r="A91" s="111"/>
      <c r="B91" s="26">
        <v>91</v>
      </c>
      <c r="C91" s="54"/>
      <c r="D91" s="14"/>
      <c r="E91" s="14"/>
      <c r="F91" s="15"/>
      <c r="G91" s="15"/>
      <c r="H91" s="14"/>
      <c r="I91" s="14"/>
      <c r="J91" s="15"/>
      <c r="K91" s="15"/>
      <c r="L91" s="14"/>
      <c r="M91" s="14"/>
      <c r="N91" s="15"/>
      <c r="O91" s="15"/>
      <c r="P91" s="16">
        <f t="shared" si="2"/>
        <v>0</v>
      </c>
      <c r="Q91" s="26">
        <f t="shared" si="3"/>
        <v>0</v>
      </c>
      <c r="W91" s="9"/>
      <c r="Y91" s="10"/>
      <c r="Z91" s="13">
        <v>89</v>
      </c>
      <c r="AA91" s="33">
        <v>89</v>
      </c>
      <c r="AB91" s="65">
        <f ca="1">INDIRECT("C89")</f>
        <v>0</v>
      </c>
      <c r="AC91" s="31">
        <f ca="1">INDIRECT("q89")</f>
        <v>0</v>
      </c>
      <c r="AD91" s="31">
        <f ca="1">INDIRECT("p89")</f>
        <v>0</v>
      </c>
      <c r="AE91" s="10"/>
      <c r="AJ91" s="7"/>
      <c r="AK91" s="7"/>
      <c r="AL91" s="70"/>
      <c r="AM91" s="67"/>
      <c r="AO91" s="56"/>
      <c r="AP91" s="63"/>
      <c r="AQ91" s="56"/>
      <c r="AR91" s="58"/>
      <c r="AS91" s="58"/>
      <c r="AT91" s="58"/>
      <c r="AU91" s="58"/>
      <c r="AV91" s="56"/>
      <c r="AW91" s="56"/>
      <c r="AX91" s="58"/>
      <c r="AY91" s="58"/>
      <c r="AZ91" s="58"/>
      <c r="BA91" s="58"/>
      <c r="BB91" s="58"/>
      <c r="BC91" s="58"/>
      <c r="BD91" s="58"/>
      <c r="BE91" s="58"/>
      <c r="BF91" s="56"/>
      <c r="BG91" s="56"/>
      <c r="BM91">
        <v>91</v>
      </c>
      <c r="BU91">
        <v>91</v>
      </c>
    </row>
    <row r="92" spans="1:73">
      <c r="A92" s="111"/>
      <c r="B92" s="26">
        <v>92</v>
      </c>
      <c r="C92" s="54"/>
      <c r="D92" s="14"/>
      <c r="E92" s="14"/>
      <c r="F92" s="15"/>
      <c r="G92" s="15"/>
      <c r="H92" s="14"/>
      <c r="I92" s="14"/>
      <c r="J92" s="15"/>
      <c r="K92" s="15"/>
      <c r="L92" s="14"/>
      <c r="M92" s="14"/>
      <c r="N92" s="15"/>
      <c r="O92" s="15"/>
      <c r="P92" s="16">
        <f t="shared" si="2"/>
        <v>0</v>
      </c>
      <c r="Q92" s="26">
        <f t="shared" si="3"/>
        <v>0</v>
      </c>
      <c r="W92" s="9"/>
      <c r="Y92" s="10"/>
      <c r="Z92" s="13">
        <v>90</v>
      </c>
      <c r="AA92" s="33">
        <v>90</v>
      </c>
      <c r="AB92" s="65">
        <f ca="1">INDIRECT("C90")</f>
        <v>0</v>
      </c>
      <c r="AC92" s="31">
        <f ca="1">INDIRECT("q90")</f>
        <v>0</v>
      </c>
      <c r="AD92" s="31">
        <f ca="1">INDIRECT("p90")</f>
        <v>0</v>
      </c>
      <c r="AE92" s="10"/>
      <c r="AJ92" s="7"/>
      <c r="AK92" s="7"/>
      <c r="AL92" s="70"/>
      <c r="AM92" s="67"/>
      <c r="AO92" s="56"/>
      <c r="AP92" s="63"/>
      <c r="AQ92" s="56"/>
      <c r="AR92" s="58"/>
      <c r="AS92" s="58"/>
      <c r="AT92" s="58"/>
      <c r="AU92" s="58"/>
      <c r="AV92" s="56"/>
      <c r="AW92" s="56"/>
      <c r="AX92" s="58"/>
      <c r="AY92" s="58"/>
      <c r="AZ92" s="58"/>
      <c r="BA92" s="58"/>
      <c r="BB92" s="58"/>
      <c r="BC92" s="58"/>
      <c r="BD92" s="58"/>
      <c r="BE92" s="58"/>
      <c r="BF92" s="56"/>
      <c r="BG92" s="56"/>
      <c r="BM92">
        <v>92</v>
      </c>
      <c r="BU92">
        <v>92</v>
      </c>
    </row>
    <row r="93" spans="1:73">
      <c r="A93" s="111"/>
      <c r="B93" s="26">
        <v>93</v>
      </c>
      <c r="C93" s="54"/>
      <c r="D93" s="14"/>
      <c r="E93" s="14"/>
      <c r="F93" s="15"/>
      <c r="G93" s="15"/>
      <c r="H93" s="14"/>
      <c r="I93" s="14"/>
      <c r="J93" s="15"/>
      <c r="K93" s="15"/>
      <c r="L93" s="14"/>
      <c r="M93" s="14"/>
      <c r="N93" s="15"/>
      <c r="O93" s="15"/>
      <c r="P93" s="16">
        <f t="shared" si="2"/>
        <v>0</v>
      </c>
      <c r="Q93" s="26">
        <f t="shared" si="3"/>
        <v>0</v>
      </c>
      <c r="W93" s="9"/>
      <c r="Y93" s="10"/>
      <c r="Z93" s="13">
        <v>91</v>
      </c>
      <c r="AA93" s="33">
        <v>91</v>
      </c>
      <c r="AB93" s="65">
        <f ca="1">INDIRECT("C91")</f>
        <v>0</v>
      </c>
      <c r="AC93" s="31">
        <f ca="1">INDIRECT("q91")</f>
        <v>0</v>
      </c>
      <c r="AD93" s="31">
        <f ca="1">INDIRECT("p91")</f>
        <v>0</v>
      </c>
      <c r="AE93" s="10"/>
      <c r="AJ93" s="7"/>
      <c r="AK93" s="7"/>
      <c r="AL93" s="70"/>
      <c r="AM93" s="67"/>
      <c r="AO93" s="56"/>
      <c r="AP93" s="63"/>
      <c r="AQ93" s="56"/>
      <c r="AR93" s="58"/>
      <c r="AS93" s="58"/>
      <c r="AT93" s="58"/>
      <c r="AU93" s="58"/>
      <c r="AV93" s="56"/>
      <c r="AW93" s="56"/>
      <c r="AX93" s="58"/>
      <c r="AY93" s="58"/>
      <c r="AZ93" s="58"/>
      <c r="BA93" s="58"/>
      <c r="BB93" s="58"/>
      <c r="BC93" s="58"/>
      <c r="BD93" s="58"/>
      <c r="BE93" s="58"/>
      <c r="BF93" s="56"/>
      <c r="BG93" s="56"/>
      <c r="BM93">
        <v>93</v>
      </c>
      <c r="BU93">
        <v>93</v>
      </c>
    </row>
    <row r="94" spans="1:73">
      <c r="A94" s="111"/>
      <c r="B94" s="26">
        <v>94</v>
      </c>
      <c r="C94" s="54"/>
      <c r="D94" s="14"/>
      <c r="E94" s="14"/>
      <c r="F94" s="15"/>
      <c r="G94" s="15"/>
      <c r="H94" s="14"/>
      <c r="I94" s="14"/>
      <c r="J94" s="15"/>
      <c r="K94" s="15"/>
      <c r="L94" s="14"/>
      <c r="M94" s="14"/>
      <c r="N94" s="15"/>
      <c r="O94" s="15"/>
      <c r="P94" s="16">
        <f t="shared" si="2"/>
        <v>0</v>
      </c>
      <c r="Q94" s="26">
        <f t="shared" si="3"/>
        <v>0</v>
      </c>
      <c r="W94" s="9"/>
      <c r="Y94" s="10"/>
      <c r="Z94" s="13">
        <v>92</v>
      </c>
      <c r="AA94" s="33">
        <v>92</v>
      </c>
      <c r="AB94" s="65">
        <f ca="1">INDIRECT("C92")</f>
        <v>0</v>
      </c>
      <c r="AC94" s="31">
        <f ca="1">INDIRECT("q92")</f>
        <v>0</v>
      </c>
      <c r="AD94" s="31">
        <f ca="1">INDIRECT("p92")</f>
        <v>0</v>
      </c>
      <c r="AE94" s="10"/>
      <c r="AJ94" s="7"/>
      <c r="AK94" s="7"/>
      <c r="AL94" s="70"/>
      <c r="AM94" s="67"/>
      <c r="AO94" s="56"/>
      <c r="AP94" s="63"/>
      <c r="AQ94" s="56"/>
      <c r="AR94" s="58"/>
      <c r="AS94" s="58"/>
      <c r="AT94" s="58"/>
      <c r="AU94" s="58"/>
      <c r="AV94" s="56"/>
      <c r="AW94" s="56"/>
      <c r="AX94" s="58"/>
      <c r="AY94" s="58"/>
      <c r="AZ94" s="58"/>
      <c r="BA94" s="58"/>
      <c r="BB94" s="58"/>
      <c r="BC94" s="58"/>
      <c r="BD94" s="58"/>
      <c r="BE94" s="58"/>
      <c r="BF94" s="56"/>
      <c r="BG94" s="56"/>
      <c r="BM94">
        <v>94</v>
      </c>
      <c r="BU94">
        <v>94</v>
      </c>
    </row>
    <row r="95" spans="1:73">
      <c r="A95" s="111"/>
      <c r="B95" s="26">
        <v>95</v>
      </c>
      <c r="C95" s="54"/>
      <c r="D95" s="14"/>
      <c r="E95" s="14"/>
      <c r="F95" s="15"/>
      <c r="G95" s="15"/>
      <c r="H95" s="14"/>
      <c r="I95" s="14"/>
      <c r="J95" s="15"/>
      <c r="K95" s="15"/>
      <c r="L95" s="14"/>
      <c r="M95" s="14"/>
      <c r="N95" s="15"/>
      <c r="O95" s="15"/>
      <c r="P95" s="16">
        <f t="shared" si="2"/>
        <v>0</v>
      </c>
      <c r="Q95" s="26">
        <f t="shared" si="3"/>
        <v>0</v>
      </c>
      <c r="Y95" s="10"/>
      <c r="Z95" s="13">
        <v>93</v>
      </c>
      <c r="AA95" s="33">
        <v>93</v>
      </c>
      <c r="AB95" s="65">
        <f ca="1">INDIRECT("C93")</f>
        <v>0</v>
      </c>
      <c r="AC95" s="31">
        <f ca="1">INDIRECT("q93")</f>
        <v>0</v>
      </c>
      <c r="AD95" s="31">
        <f ca="1">INDIRECT("p93")</f>
        <v>0</v>
      </c>
      <c r="AE95" s="10"/>
      <c r="AJ95" s="7"/>
      <c r="AK95" s="7"/>
      <c r="AL95" s="70"/>
      <c r="AM95" s="67"/>
      <c r="AO95" s="56"/>
      <c r="AP95" s="63"/>
      <c r="AQ95" s="56"/>
      <c r="AR95" s="58"/>
      <c r="AS95" s="58"/>
      <c r="AT95" s="58"/>
      <c r="AU95" s="58"/>
      <c r="AV95" s="56"/>
      <c r="AW95" s="56"/>
      <c r="AX95" s="58"/>
      <c r="AY95" s="58"/>
      <c r="AZ95" s="58"/>
      <c r="BA95" s="58"/>
      <c r="BB95" s="58"/>
      <c r="BC95" s="58"/>
      <c r="BD95" s="58"/>
      <c r="BE95" s="58"/>
      <c r="BF95" s="56"/>
      <c r="BG95" s="56"/>
      <c r="BM95">
        <v>95</v>
      </c>
      <c r="BU95">
        <v>95</v>
      </c>
    </row>
    <row r="96" spans="1:73">
      <c r="A96" s="111"/>
      <c r="B96" s="26">
        <v>96</v>
      </c>
      <c r="C96" s="54"/>
      <c r="D96" s="14"/>
      <c r="E96" s="14"/>
      <c r="F96" s="15"/>
      <c r="G96" s="15"/>
      <c r="H96" s="14"/>
      <c r="I96" s="14"/>
      <c r="J96" s="15"/>
      <c r="K96" s="15"/>
      <c r="L96" s="14"/>
      <c r="M96" s="14"/>
      <c r="N96" s="15"/>
      <c r="O96" s="15"/>
      <c r="P96" s="16">
        <f t="shared" si="2"/>
        <v>0</v>
      </c>
      <c r="Q96" s="26">
        <f t="shared" si="3"/>
        <v>0</v>
      </c>
      <c r="Y96" s="10"/>
      <c r="Z96" s="13">
        <v>94</v>
      </c>
      <c r="AA96" s="33">
        <v>94</v>
      </c>
      <c r="AB96" s="65">
        <f ca="1">INDIRECT("C94")</f>
        <v>0</v>
      </c>
      <c r="AC96" s="31">
        <f ca="1">INDIRECT("q94")</f>
        <v>0</v>
      </c>
      <c r="AD96" s="31">
        <f ca="1">INDIRECT("p94")</f>
        <v>0</v>
      </c>
      <c r="AE96" s="10"/>
      <c r="AJ96" s="7"/>
      <c r="AK96" s="7"/>
      <c r="AL96" s="70"/>
      <c r="AM96" s="67"/>
      <c r="AO96" s="56"/>
      <c r="AP96" s="63"/>
      <c r="AQ96" s="56"/>
      <c r="AR96" s="58"/>
      <c r="AS96" s="58"/>
      <c r="AT96" s="58"/>
      <c r="AU96" s="58"/>
      <c r="AV96" s="56"/>
      <c r="AW96" s="56"/>
      <c r="AX96" s="58"/>
      <c r="AY96" s="58"/>
      <c r="AZ96" s="58"/>
      <c r="BA96" s="58"/>
      <c r="BB96" s="58"/>
      <c r="BC96" s="58"/>
      <c r="BD96" s="58"/>
      <c r="BE96" s="58"/>
      <c r="BF96" s="56"/>
      <c r="BG96" s="56"/>
      <c r="BM96">
        <v>96</v>
      </c>
      <c r="BU96">
        <v>96</v>
      </c>
    </row>
    <row r="97" spans="1:73">
      <c r="A97" s="111"/>
      <c r="B97" s="26">
        <v>97</v>
      </c>
      <c r="C97" s="54"/>
      <c r="D97" s="14"/>
      <c r="E97" s="14"/>
      <c r="F97" s="15"/>
      <c r="G97" s="15"/>
      <c r="H97" s="14"/>
      <c r="I97" s="14"/>
      <c r="J97" s="15"/>
      <c r="K97" s="15"/>
      <c r="L97" s="14"/>
      <c r="M97" s="14"/>
      <c r="N97" s="15"/>
      <c r="O97" s="15"/>
      <c r="P97" s="16">
        <f t="shared" si="2"/>
        <v>0</v>
      </c>
      <c r="Q97" s="26">
        <f t="shared" si="3"/>
        <v>0</v>
      </c>
      <c r="Y97" s="10"/>
      <c r="Z97" s="13">
        <v>95</v>
      </c>
      <c r="AA97" s="33">
        <v>95</v>
      </c>
      <c r="AB97" s="65">
        <f ca="1">INDIRECT("C95")</f>
        <v>0</v>
      </c>
      <c r="AC97" s="31">
        <f ca="1">INDIRECT("q95")</f>
        <v>0</v>
      </c>
      <c r="AD97" s="31">
        <f ca="1">INDIRECT("p95")</f>
        <v>0</v>
      </c>
      <c r="AE97" s="10"/>
      <c r="AJ97" s="7"/>
      <c r="AK97" s="7"/>
      <c r="AL97" s="70"/>
      <c r="AM97" s="67"/>
      <c r="AO97" s="56"/>
      <c r="AP97" s="63"/>
      <c r="AQ97" s="56"/>
      <c r="AR97" s="58"/>
      <c r="AS97" s="58"/>
      <c r="AT97" s="58"/>
      <c r="AU97" s="58"/>
      <c r="AV97" s="56"/>
      <c r="AW97" s="56"/>
      <c r="AX97" s="58"/>
      <c r="AY97" s="58"/>
      <c r="AZ97" s="58"/>
      <c r="BA97" s="58"/>
      <c r="BB97" s="58"/>
      <c r="BC97" s="58"/>
      <c r="BD97" s="58"/>
      <c r="BE97" s="58"/>
      <c r="BF97" s="56"/>
      <c r="BG97" s="56"/>
      <c r="BM97">
        <v>97</v>
      </c>
      <c r="BU97">
        <v>97</v>
      </c>
    </row>
    <row r="98" spans="1:73">
      <c r="A98" s="111"/>
      <c r="B98" s="26">
        <v>98</v>
      </c>
      <c r="C98" s="54"/>
      <c r="D98" s="14"/>
      <c r="E98" s="14"/>
      <c r="F98" s="15"/>
      <c r="G98" s="15"/>
      <c r="H98" s="14"/>
      <c r="I98" s="14"/>
      <c r="J98" s="15"/>
      <c r="K98" s="15"/>
      <c r="L98" s="14"/>
      <c r="M98" s="14"/>
      <c r="N98" s="15"/>
      <c r="O98" s="15"/>
      <c r="P98" s="16">
        <f t="shared" si="2"/>
        <v>0</v>
      </c>
      <c r="Q98" s="26">
        <f t="shared" si="3"/>
        <v>0</v>
      </c>
      <c r="Y98" s="10"/>
      <c r="Z98" s="13">
        <v>96</v>
      </c>
      <c r="AA98" s="33">
        <v>96</v>
      </c>
      <c r="AB98" s="65">
        <f ca="1">INDIRECT("C96")</f>
        <v>0</v>
      </c>
      <c r="AC98" s="31">
        <f ca="1">INDIRECT("q96")</f>
        <v>0</v>
      </c>
      <c r="AD98" s="31">
        <f ca="1">INDIRECT("p96")</f>
        <v>0</v>
      </c>
      <c r="AE98" s="10"/>
      <c r="AJ98" s="7"/>
      <c r="AK98" s="7"/>
      <c r="AL98" s="70"/>
      <c r="AM98" s="67"/>
      <c r="AO98" s="56"/>
      <c r="AP98" s="63"/>
      <c r="AQ98" s="56"/>
      <c r="AR98" s="58"/>
      <c r="AS98" s="58"/>
      <c r="AT98" s="58"/>
      <c r="AU98" s="58"/>
      <c r="AV98" s="56"/>
      <c r="AW98" s="56"/>
      <c r="AX98" s="58"/>
      <c r="AY98" s="58"/>
      <c r="AZ98" s="58"/>
      <c r="BA98" s="58"/>
      <c r="BB98" s="58"/>
      <c r="BC98" s="58"/>
      <c r="BD98" s="58"/>
      <c r="BE98" s="58"/>
      <c r="BF98" s="56"/>
      <c r="BG98" s="56"/>
      <c r="BM98">
        <v>98</v>
      </c>
      <c r="BU98">
        <v>98</v>
      </c>
    </row>
    <row r="99" spans="1:73">
      <c r="A99" s="111"/>
      <c r="B99" s="26">
        <v>99</v>
      </c>
      <c r="C99" s="54"/>
      <c r="D99" s="14"/>
      <c r="E99" s="14"/>
      <c r="F99" s="15"/>
      <c r="G99" s="15"/>
      <c r="H99" s="14"/>
      <c r="I99" s="14"/>
      <c r="J99" s="15"/>
      <c r="K99" s="15"/>
      <c r="L99" s="14"/>
      <c r="M99" s="14"/>
      <c r="N99" s="15"/>
      <c r="O99" s="15"/>
      <c r="P99" s="16">
        <f t="shared" si="2"/>
        <v>0</v>
      </c>
      <c r="Q99" s="26">
        <f t="shared" si="3"/>
        <v>0</v>
      </c>
      <c r="Y99" s="10"/>
      <c r="Z99" s="13">
        <v>97</v>
      </c>
      <c r="AA99" s="33">
        <v>97</v>
      </c>
      <c r="AB99" s="65">
        <f ca="1">INDIRECT("C97")</f>
        <v>0</v>
      </c>
      <c r="AC99" s="31">
        <f ca="1">INDIRECT("q97")</f>
        <v>0</v>
      </c>
      <c r="AD99" s="31">
        <f ca="1">INDIRECT("p97")</f>
        <v>0</v>
      </c>
      <c r="AE99" s="10"/>
      <c r="AJ99" s="7"/>
      <c r="AK99" s="7"/>
      <c r="AL99" s="70"/>
      <c r="AM99" s="67"/>
      <c r="AO99" s="56"/>
      <c r="AP99" s="63"/>
      <c r="AQ99" s="56"/>
      <c r="AR99" s="58"/>
      <c r="AS99" s="58"/>
      <c r="AT99" s="58"/>
      <c r="AU99" s="58"/>
      <c r="AV99" s="56"/>
      <c r="AW99" s="56"/>
      <c r="AX99" s="58"/>
      <c r="AY99" s="58"/>
      <c r="AZ99" s="58"/>
      <c r="BA99" s="58"/>
      <c r="BB99" s="58"/>
      <c r="BC99" s="58"/>
      <c r="BD99" s="58"/>
      <c r="BE99" s="58"/>
      <c r="BF99" s="56"/>
      <c r="BG99" s="56"/>
      <c r="BM99">
        <v>99</v>
      </c>
      <c r="BU99">
        <v>99</v>
      </c>
    </row>
    <row r="100" spans="1:73">
      <c r="A100" s="111"/>
      <c r="B100" s="26">
        <v>100</v>
      </c>
      <c r="C100" s="54"/>
      <c r="D100" s="14"/>
      <c r="E100" s="14"/>
      <c r="F100" s="15"/>
      <c r="G100" s="15"/>
      <c r="H100" s="14"/>
      <c r="I100" s="14"/>
      <c r="J100" s="15"/>
      <c r="K100" s="15"/>
      <c r="L100" s="14"/>
      <c r="M100" s="14"/>
      <c r="N100" s="15"/>
      <c r="O100" s="15"/>
      <c r="P100" s="16">
        <f t="shared" si="2"/>
        <v>0</v>
      </c>
      <c r="Q100" s="26">
        <f t="shared" si="3"/>
        <v>0</v>
      </c>
      <c r="Y100" s="10"/>
      <c r="Z100" s="13">
        <v>98</v>
      </c>
      <c r="AA100" s="33">
        <v>98</v>
      </c>
      <c r="AB100" s="65">
        <f ca="1">INDIRECT("C98")</f>
        <v>0</v>
      </c>
      <c r="AC100" s="31">
        <f ca="1">INDIRECT("q98")</f>
        <v>0</v>
      </c>
      <c r="AD100" s="31">
        <f ca="1">INDIRECT("p98")</f>
        <v>0</v>
      </c>
      <c r="AE100" s="10"/>
      <c r="AJ100" s="7"/>
      <c r="AK100" s="7"/>
      <c r="AL100" s="70"/>
      <c r="AM100" s="67"/>
      <c r="AO100" s="56"/>
      <c r="AP100" s="63"/>
      <c r="AQ100" s="56"/>
      <c r="AR100" s="58"/>
      <c r="AS100" s="58"/>
      <c r="AT100" s="58"/>
      <c r="AU100" s="58"/>
      <c r="AV100" s="56"/>
      <c r="AW100" s="56"/>
      <c r="AX100" s="58"/>
      <c r="AY100" s="58"/>
      <c r="AZ100" s="58"/>
      <c r="BA100" s="58"/>
      <c r="BB100" s="58"/>
      <c r="BC100" s="58"/>
      <c r="BD100" s="58"/>
      <c r="BE100" s="58"/>
      <c r="BF100" s="56"/>
      <c r="BG100" s="56"/>
      <c r="BM100">
        <v>100</v>
      </c>
      <c r="BU100">
        <v>100</v>
      </c>
    </row>
    <row r="101" spans="1:73">
      <c r="A101" s="111"/>
      <c r="B101" s="26">
        <v>101</v>
      </c>
      <c r="C101" s="54"/>
      <c r="D101" s="14"/>
      <c r="E101" s="14"/>
      <c r="F101" s="15"/>
      <c r="G101" s="15"/>
      <c r="H101" s="14"/>
      <c r="I101" s="14"/>
      <c r="J101" s="15"/>
      <c r="K101" s="15"/>
      <c r="L101" s="14"/>
      <c r="M101" s="14"/>
      <c r="N101" s="15"/>
      <c r="O101" s="15"/>
      <c r="P101" s="16">
        <f t="shared" si="2"/>
        <v>0</v>
      </c>
      <c r="Q101" s="26">
        <f t="shared" si="3"/>
        <v>0</v>
      </c>
      <c r="Y101" s="10"/>
      <c r="Z101" s="13">
        <v>99</v>
      </c>
      <c r="AA101" s="33">
        <v>99</v>
      </c>
      <c r="AB101" s="65">
        <f ca="1">INDIRECT("C99")</f>
        <v>0</v>
      </c>
      <c r="AC101" s="31">
        <f ca="1">INDIRECT("q99")</f>
        <v>0</v>
      </c>
      <c r="AD101" s="31">
        <f ca="1">INDIRECT("p99")</f>
        <v>0</v>
      </c>
      <c r="AE101" s="10"/>
      <c r="AJ101" s="7"/>
      <c r="AK101" s="7"/>
      <c r="AL101" s="70"/>
      <c r="AM101" s="67"/>
      <c r="AN101" s="72"/>
      <c r="AO101" s="73"/>
      <c r="AP101" s="76"/>
      <c r="AQ101" s="77"/>
      <c r="AR101" s="58"/>
      <c r="AS101" s="58"/>
      <c r="AT101" s="58"/>
      <c r="AU101" s="58"/>
      <c r="AV101" s="77"/>
      <c r="AW101" s="77"/>
      <c r="AX101" s="58"/>
      <c r="AY101" s="58"/>
      <c r="AZ101" s="58"/>
      <c r="BA101" s="58"/>
      <c r="BB101" s="58"/>
      <c r="BC101" s="58"/>
      <c r="BD101" s="58"/>
      <c r="BE101" s="58"/>
      <c r="BF101" s="77"/>
      <c r="BG101" s="77"/>
    </row>
    <row r="102" spans="1:73">
      <c r="A102" s="111"/>
      <c r="B102" s="26">
        <v>102</v>
      </c>
      <c r="C102" s="54"/>
      <c r="D102" s="14"/>
      <c r="E102" s="14"/>
      <c r="F102" s="15"/>
      <c r="G102" s="15"/>
      <c r="H102" s="14"/>
      <c r="I102" s="14"/>
      <c r="J102" s="15"/>
      <c r="K102" s="15"/>
      <c r="L102" s="14"/>
      <c r="M102" s="14"/>
      <c r="N102" s="15"/>
      <c r="O102" s="15"/>
      <c r="P102" s="16">
        <f t="shared" si="2"/>
        <v>0</v>
      </c>
      <c r="Q102" s="26">
        <f t="shared" si="3"/>
        <v>0</v>
      </c>
      <c r="Y102" s="10"/>
      <c r="Z102" s="13">
        <v>100</v>
      </c>
      <c r="AA102" s="33">
        <v>100</v>
      </c>
      <c r="AB102" s="65">
        <f ca="1">INDIRECT("C100")</f>
        <v>0</v>
      </c>
      <c r="AC102" s="31">
        <f ca="1">INDIRECT("q100")</f>
        <v>0</v>
      </c>
      <c r="AD102" s="31">
        <f ca="1">INDIRECT("p100")</f>
        <v>0</v>
      </c>
      <c r="AE102" s="10"/>
      <c r="AJ102" s="7"/>
      <c r="AK102" s="7"/>
      <c r="AL102" s="70"/>
      <c r="AM102" s="67"/>
      <c r="AN102" s="72"/>
      <c r="AO102" s="73"/>
      <c r="AP102" s="76"/>
      <c r="AQ102" s="77"/>
      <c r="AR102" s="58"/>
      <c r="AS102" s="58"/>
      <c r="AT102" s="58"/>
      <c r="AU102" s="58"/>
      <c r="AV102" s="77"/>
      <c r="AW102" s="77"/>
      <c r="AX102" s="58"/>
      <c r="AY102" s="58"/>
      <c r="AZ102" s="58"/>
      <c r="BA102" s="58"/>
      <c r="BB102" s="58"/>
      <c r="BC102" s="58"/>
      <c r="BD102" s="58"/>
      <c r="BE102" s="58"/>
      <c r="BF102" s="77"/>
      <c r="BG102" s="77"/>
    </row>
    <row r="103" spans="1:73">
      <c r="A103" s="111"/>
      <c r="B103" s="26">
        <v>103</v>
      </c>
      <c r="C103" s="54"/>
      <c r="D103" s="14"/>
      <c r="E103" s="14"/>
      <c r="F103" s="15"/>
      <c r="G103" s="15"/>
      <c r="H103" s="14"/>
      <c r="I103" s="14"/>
      <c r="J103" s="15"/>
      <c r="K103" s="15"/>
      <c r="L103" s="14"/>
      <c r="M103" s="14"/>
      <c r="N103" s="15"/>
      <c r="O103" s="15"/>
      <c r="P103" s="16">
        <f t="shared" si="2"/>
        <v>0</v>
      </c>
      <c r="Q103" s="26">
        <f t="shared" si="3"/>
        <v>0</v>
      </c>
      <c r="Y103" s="10"/>
      <c r="Z103" s="13">
        <v>101</v>
      </c>
      <c r="AA103" s="33">
        <v>101</v>
      </c>
      <c r="AB103" s="65">
        <f ca="1">INDIRECT("C101")</f>
        <v>0</v>
      </c>
      <c r="AC103" s="31">
        <f ca="1">INDIRECT("q101")</f>
        <v>0</v>
      </c>
      <c r="AD103" s="31">
        <f ca="1">INDIRECT("p101")</f>
        <v>0</v>
      </c>
      <c r="AE103" s="10"/>
      <c r="AJ103" s="7"/>
      <c r="AK103" s="7"/>
      <c r="AL103" s="70"/>
      <c r="AM103" s="67"/>
      <c r="AN103" s="72"/>
      <c r="AO103" s="73"/>
      <c r="AP103" s="76"/>
      <c r="AQ103" s="77"/>
      <c r="AR103" s="58"/>
      <c r="AS103" s="58"/>
      <c r="AT103" s="58"/>
      <c r="AU103" s="58"/>
      <c r="AV103" s="77"/>
      <c r="AW103" s="77"/>
      <c r="AX103" s="58"/>
      <c r="AY103" s="58"/>
      <c r="AZ103" s="58"/>
      <c r="BA103" s="58"/>
      <c r="BB103" s="58"/>
      <c r="BC103" s="58"/>
      <c r="BD103" s="58"/>
      <c r="BE103" s="58"/>
      <c r="BF103" s="77"/>
      <c r="BG103" s="77"/>
    </row>
    <row r="104" spans="1:73">
      <c r="A104" s="112"/>
      <c r="B104" s="26">
        <v>104</v>
      </c>
      <c r="C104" s="55"/>
      <c r="D104" s="14"/>
      <c r="E104" s="14"/>
      <c r="F104" s="15"/>
      <c r="G104" s="15"/>
      <c r="H104" s="14"/>
      <c r="I104" s="14"/>
      <c r="J104" s="15"/>
      <c r="K104" s="15"/>
      <c r="L104" s="14"/>
      <c r="M104" s="14"/>
      <c r="N104" s="15"/>
      <c r="O104" s="15"/>
      <c r="P104" s="16">
        <f t="shared" si="2"/>
        <v>0</v>
      </c>
      <c r="Q104" s="26">
        <f t="shared" si="3"/>
        <v>0</v>
      </c>
      <c r="Y104" s="10"/>
      <c r="Z104" s="13">
        <v>102</v>
      </c>
      <c r="AA104" s="33">
        <v>102</v>
      </c>
      <c r="AB104" s="65">
        <f ca="1">INDIRECT("C102")</f>
        <v>0</v>
      </c>
      <c r="AC104" s="31">
        <f ca="1">INDIRECT("q102")</f>
        <v>0</v>
      </c>
      <c r="AD104" s="31">
        <f ca="1">INDIRECT("p102")</f>
        <v>0</v>
      </c>
      <c r="AE104" s="10"/>
      <c r="AJ104" s="7"/>
      <c r="AK104" s="7"/>
      <c r="AL104" s="70"/>
      <c r="AM104" s="67"/>
      <c r="AN104" s="72"/>
      <c r="AO104" s="73"/>
      <c r="AP104" s="76"/>
      <c r="AQ104" s="77"/>
      <c r="AR104" s="58"/>
      <c r="AS104" s="58"/>
      <c r="AT104" s="58"/>
      <c r="AU104" s="58"/>
      <c r="AV104" s="77"/>
      <c r="AW104" s="77"/>
      <c r="AX104" s="58"/>
      <c r="AY104" s="58"/>
      <c r="AZ104" s="58"/>
      <c r="BA104" s="58"/>
      <c r="BB104" s="58"/>
      <c r="BC104" s="58"/>
      <c r="BD104" s="58"/>
      <c r="BE104" s="58"/>
      <c r="BF104" s="77"/>
      <c r="BG104" s="77"/>
    </row>
    <row r="105" spans="1:73">
      <c r="A105" s="112"/>
      <c r="B105" s="26">
        <v>105</v>
      </c>
      <c r="C105" s="55"/>
      <c r="D105" s="14"/>
      <c r="E105" s="14"/>
      <c r="F105" s="15"/>
      <c r="G105" s="15"/>
      <c r="H105" s="14"/>
      <c r="I105" s="14"/>
      <c r="J105" s="15"/>
      <c r="K105" s="15"/>
      <c r="L105" s="14"/>
      <c r="M105" s="14"/>
      <c r="N105" s="15"/>
      <c r="O105" s="15"/>
      <c r="P105" s="16">
        <f t="shared" si="2"/>
        <v>0</v>
      </c>
      <c r="Q105" s="26">
        <f t="shared" si="3"/>
        <v>0</v>
      </c>
      <c r="Y105" s="10"/>
      <c r="Z105" s="13">
        <v>103</v>
      </c>
      <c r="AA105" s="33">
        <v>103</v>
      </c>
      <c r="AB105" s="65">
        <f ca="1">INDIRECT("C103")</f>
        <v>0</v>
      </c>
      <c r="AC105" s="31">
        <f ca="1">INDIRECT("q103")</f>
        <v>0</v>
      </c>
      <c r="AD105" s="31">
        <f ca="1">INDIRECT("p103")</f>
        <v>0</v>
      </c>
      <c r="AE105" s="10"/>
      <c r="AJ105" s="7"/>
      <c r="AK105" s="7"/>
      <c r="AL105" s="70"/>
      <c r="AM105" s="67"/>
      <c r="AN105" s="72"/>
      <c r="AO105" s="73"/>
      <c r="AP105" s="76"/>
      <c r="AQ105" s="77"/>
      <c r="AR105" s="58"/>
      <c r="AS105" s="58"/>
      <c r="AT105" s="58"/>
      <c r="AU105" s="58"/>
      <c r="AV105" s="77"/>
      <c r="AW105" s="77"/>
      <c r="AX105" s="58"/>
      <c r="AY105" s="58"/>
      <c r="AZ105" s="58"/>
      <c r="BA105" s="58"/>
      <c r="BB105" s="58"/>
      <c r="BC105" s="58"/>
      <c r="BD105" s="58"/>
      <c r="BE105" s="58"/>
      <c r="BF105" s="77"/>
      <c r="BG105" s="77"/>
    </row>
    <row r="106" spans="1:73">
      <c r="A106" s="112"/>
      <c r="B106" s="26">
        <v>106</v>
      </c>
      <c r="C106" s="55"/>
      <c r="D106" s="14"/>
      <c r="E106" s="14"/>
      <c r="F106" s="15"/>
      <c r="G106" s="15"/>
      <c r="H106" s="14"/>
      <c r="I106" s="14"/>
      <c r="J106" s="15"/>
      <c r="K106" s="15"/>
      <c r="L106" s="14"/>
      <c r="M106" s="14"/>
      <c r="N106" s="15"/>
      <c r="O106" s="15"/>
      <c r="P106" s="16">
        <f t="shared" si="2"/>
        <v>0</v>
      </c>
      <c r="Q106" s="26">
        <f t="shared" si="3"/>
        <v>0</v>
      </c>
      <c r="Y106" s="10"/>
      <c r="Z106" s="13">
        <v>104</v>
      </c>
      <c r="AA106" s="33">
        <v>104</v>
      </c>
      <c r="AB106" s="65">
        <f ca="1">INDIRECT("C104")</f>
        <v>0</v>
      </c>
      <c r="AC106" s="31">
        <f ca="1">INDIRECT("q104")</f>
        <v>0</v>
      </c>
      <c r="AD106" s="31">
        <f ca="1">INDIRECT("p104")</f>
        <v>0</v>
      </c>
      <c r="AE106" s="10"/>
      <c r="AJ106" s="7"/>
      <c r="AK106" s="7"/>
      <c r="AL106" s="70"/>
      <c r="AM106" s="67"/>
      <c r="AN106" s="72"/>
      <c r="AO106" s="73"/>
      <c r="AP106" s="76"/>
      <c r="AQ106" s="77"/>
      <c r="AR106" s="58"/>
      <c r="AS106" s="58"/>
      <c r="AT106" s="58"/>
      <c r="AU106" s="58"/>
      <c r="AV106" s="77"/>
      <c r="AW106" s="77"/>
      <c r="AX106" s="58"/>
      <c r="AY106" s="58"/>
      <c r="AZ106" s="58"/>
      <c r="BA106" s="58"/>
      <c r="BB106" s="58"/>
      <c r="BC106" s="58"/>
      <c r="BD106" s="58"/>
      <c r="BE106" s="58"/>
      <c r="BF106" s="77"/>
      <c r="BG106" s="77"/>
    </row>
    <row r="107" spans="1:73">
      <c r="A107" s="112"/>
      <c r="B107" s="26">
        <v>107</v>
      </c>
      <c r="C107" s="55"/>
      <c r="D107" s="14"/>
      <c r="E107" s="14"/>
      <c r="F107" s="15"/>
      <c r="G107" s="15"/>
      <c r="H107" s="14"/>
      <c r="I107" s="14"/>
      <c r="J107" s="15"/>
      <c r="K107" s="15"/>
      <c r="L107" s="14"/>
      <c r="M107" s="14"/>
      <c r="N107" s="15"/>
      <c r="O107" s="15"/>
      <c r="P107" s="16">
        <f t="shared" si="2"/>
        <v>0</v>
      </c>
      <c r="Q107" s="26">
        <f t="shared" si="3"/>
        <v>0</v>
      </c>
      <c r="Y107" s="10"/>
      <c r="Z107" s="13">
        <v>105</v>
      </c>
      <c r="AA107" s="33">
        <v>105</v>
      </c>
      <c r="AB107" s="65">
        <f ca="1">INDIRECT("C105")</f>
        <v>0</v>
      </c>
      <c r="AC107" s="31">
        <f ca="1">INDIRECT("q105")</f>
        <v>0</v>
      </c>
      <c r="AD107" s="31">
        <f ca="1">INDIRECT("p105")</f>
        <v>0</v>
      </c>
      <c r="AE107" s="10"/>
      <c r="AJ107" s="7"/>
      <c r="AK107" s="7"/>
      <c r="AL107" s="70"/>
      <c r="AM107" s="67"/>
      <c r="AN107" s="72"/>
      <c r="AO107" s="73"/>
      <c r="AP107" s="76"/>
      <c r="AQ107" s="77"/>
      <c r="AR107" s="58"/>
      <c r="AS107" s="58"/>
      <c r="AT107" s="58"/>
      <c r="AU107" s="58"/>
      <c r="AV107" s="77"/>
      <c r="AW107" s="77"/>
      <c r="AX107" s="58"/>
      <c r="AY107" s="58"/>
      <c r="AZ107" s="58"/>
      <c r="BA107" s="58"/>
      <c r="BB107" s="58"/>
      <c r="BC107" s="58"/>
      <c r="BD107" s="58"/>
      <c r="BE107" s="58"/>
      <c r="BF107" s="77"/>
      <c r="BG107" s="77"/>
    </row>
    <row r="108" spans="1:73">
      <c r="A108" s="112"/>
      <c r="B108" s="26">
        <v>108</v>
      </c>
      <c r="C108" s="55"/>
      <c r="D108" s="14"/>
      <c r="E108" s="14"/>
      <c r="F108" s="15"/>
      <c r="G108" s="15"/>
      <c r="H108" s="14"/>
      <c r="I108" s="14"/>
      <c r="J108" s="15"/>
      <c r="K108" s="15"/>
      <c r="L108" s="14"/>
      <c r="M108" s="14"/>
      <c r="N108" s="15"/>
      <c r="O108" s="15"/>
      <c r="P108" s="16">
        <f t="shared" si="2"/>
        <v>0</v>
      </c>
      <c r="Q108" s="26">
        <f t="shared" si="3"/>
        <v>0</v>
      </c>
      <c r="Y108" s="10"/>
      <c r="Z108" s="13">
        <v>106</v>
      </c>
      <c r="AA108" s="33">
        <v>106</v>
      </c>
      <c r="AB108" s="65">
        <f ca="1">INDIRECT("C106")</f>
        <v>0</v>
      </c>
      <c r="AC108" s="31">
        <f ca="1">INDIRECT("q106")</f>
        <v>0</v>
      </c>
      <c r="AD108" s="31">
        <f ca="1">INDIRECT("p106")</f>
        <v>0</v>
      </c>
      <c r="AE108" s="10"/>
      <c r="AJ108" s="7"/>
      <c r="AK108" s="7"/>
      <c r="AL108" s="70"/>
      <c r="AM108" s="67"/>
      <c r="AN108" s="72"/>
      <c r="AO108" s="73"/>
      <c r="AP108" s="76"/>
      <c r="AQ108" s="77"/>
      <c r="AR108" s="58"/>
      <c r="AS108" s="58"/>
      <c r="AT108" s="58"/>
      <c r="AU108" s="58"/>
      <c r="AV108" s="77"/>
      <c r="AW108" s="77"/>
      <c r="AX108" s="58"/>
      <c r="AY108" s="58"/>
      <c r="AZ108" s="58"/>
      <c r="BA108" s="58"/>
      <c r="BB108" s="58"/>
      <c r="BC108" s="58"/>
      <c r="BD108" s="58"/>
      <c r="BE108" s="58"/>
      <c r="BF108" s="77"/>
      <c r="BG108" s="77"/>
    </row>
    <row r="109" spans="1:73">
      <c r="A109" s="112"/>
      <c r="B109" s="26">
        <v>109</v>
      </c>
      <c r="C109" s="55"/>
      <c r="D109" s="14"/>
      <c r="E109" s="14"/>
      <c r="F109" s="15"/>
      <c r="G109" s="15"/>
      <c r="H109" s="14"/>
      <c r="I109" s="14"/>
      <c r="J109" s="15"/>
      <c r="K109" s="15"/>
      <c r="L109" s="14"/>
      <c r="M109" s="14"/>
      <c r="N109" s="15"/>
      <c r="O109" s="15"/>
      <c r="P109" s="16">
        <f t="shared" si="2"/>
        <v>0</v>
      </c>
      <c r="Q109" s="26">
        <f t="shared" si="3"/>
        <v>0</v>
      </c>
      <c r="Y109" s="10"/>
      <c r="Z109" s="13">
        <v>107</v>
      </c>
      <c r="AA109" s="33">
        <v>107</v>
      </c>
      <c r="AB109" s="65">
        <f ca="1">INDIRECT("C107")</f>
        <v>0</v>
      </c>
      <c r="AC109" s="31">
        <f ca="1">INDIRECT("q107")</f>
        <v>0</v>
      </c>
      <c r="AD109" s="31">
        <f ca="1">INDIRECT("p107")</f>
        <v>0</v>
      </c>
      <c r="AE109" s="10"/>
      <c r="AJ109" s="7"/>
      <c r="AK109" s="7"/>
      <c r="AL109" s="70"/>
      <c r="AM109" s="67"/>
      <c r="AN109" s="72"/>
      <c r="AO109" s="73"/>
      <c r="AP109" s="76"/>
      <c r="AQ109" s="77"/>
      <c r="AR109" s="58"/>
      <c r="AS109" s="58"/>
      <c r="AT109" s="58"/>
      <c r="AU109" s="58"/>
      <c r="AV109" s="77"/>
      <c r="AW109" s="77"/>
      <c r="AX109" s="58"/>
      <c r="AY109" s="58"/>
      <c r="AZ109" s="58"/>
      <c r="BA109" s="58"/>
      <c r="BB109" s="58"/>
      <c r="BC109" s="58"/>
      <c r="BD109" s="58"/>
      <c r="BE109" s="58"/>
      <c r="BF109" s="77"/>
      <c r="BG109" s="77"/>
    </row>
    <row r="110" spans="1:73">
      <c r="A110" s="112"/>
      <c r="B110" s="26">
        <v>110</v>
      </c>
      <c r="C110" s="55"/>
      <c r="D110" s="14"/>
      <c r="E110" s="14"/>
      <c r="F110" s="15"/>
      <c r="G110" s="15"/>
      <c r="H110" s="14"/>
      <c r="I110" s="14"/>
      <c r="J110" s="15"/>
      <c r="K110" s="15"/>
      <c r="L110" s="14"/>
      <c r="M110" s="14"/>
      <c r="N110" s="15"/>
      <c r="O110" s="15"/>
      <c r="P110" s="16">
        <f t="shared" si="2"/>
        <v>0</v>
      </c>
      <c r="Q110" s="26">
        <f t="shared" si="3"/>
        <v>0</v>
      </c>
      <c r="Y110" s="10"/>
      <c r="Z110" s="13">
        <v>108</v>
      </c>
      <c r="AA110" s="33">
        <v>108</v>
      </c>
      <c r="AB110" s="65">
        <f ca="1">INDIRECT("C108")</f>
        <v>0</v>
      </c>
      <c r="AC110" s="31">
        <f ca="1">INDIRECT("q108")</f>
        <v>0</v>
      </c>
      <c r="AD110" s="31">
        <f ca="1">INDIRECT("p108")</f>
        <v>0</v>
      </c>
      <c r="AE110" s="10"/>
      <c r="AJ110" s="7"/>
      <c r="AK110" s="7"/>
      <c r="AL110" s="70"/>
      <c r="AM110" s="67"/>
      <c r="AN110" s="72"/>
      <c r="AO110" s="73"/>
      <c r="AP110" s="76"/>
      <c r="AQ110" s="77"/>
      <c r="AR110" s="58"/>
      <c r="AS110" s="58"/>
      <c r="AT110" s="58"/>
      <c r="AU110" s="58"/>
      <c r="AV110" s="77"/>
      <c r="AW110" s="77"/>
      <c r="AX110" s="58"/>
      <c r="AY110" s="58"/>
      <c r="AZ110" s="58"/>
      <c r="BA110" s="58"/>
      <c r="BB110" s="58"/>
      <c r="BC110" s="58"/>
      <c r="BD110" s="58"/>
      <c r="BE110" s="58"/>
      <c r="BF110" s="77"/>
      <c r="BG110" s="77"/>
    </row>
    <row r="111" spans="1:73">
      <c r="A111" s="112"/>
      <c r="B111" s="26">
        <v>111</v>
      </c>
      <c r="C111" s="55"/>
      <c r="D111" s="14"/>
      <c r="E111" s="14"/>
      <c r="F111" s="15"/>
      <c r="G111" s="15"/>
      <c r="H111" s="14"/>
      <c r="I111" s="14"/>
      <c r="J111" s="15"/>
      <c r="K111" s="15"/>
      <c r="L111" s="14"/>
      <c r="M111" s="14"/>
      <c r="N111" s="15"/>
      <c r="O111" s="15"/>
      <c r="P111" s="16">
        <f t="shared" si="2"/>
        <v>0</v>
      </c>
      <c r="Q111" s="26">
        <f t="shared" si="3"/>
        <v>0</v>
      </c>
      <c r="Y111" s="10"/>
      <c r="Z111" s="13">
        <v>109</v>
      </c>
      <c r="AA111" s="33">
        <v>109</v>
      </c>
      <c r="AB111" s="65">
        <f ca="1">INDIRECT("C109")</f>
        <v>0</v>
      </c>
      <c r="AC111" s="31">
        <f ca="1">INDIRECT("q109")</f>
        <v>0</v>
      </c>
      <c r="AD111" s="31">
        <f ca="1">INDIRECT("p109")</f>
        <v>0</v>
      </c>
      <c r="AE111" s="10"/>
      <c r="AJ111" s="7"/>
      <c r="AK111" s="7"/>
      <c r="AL111" s="70"/>
      <c r="AM111" s="67"/>
      <c r="AN111" s="72"/>
      <c r="AO111" s="73"/>
      <c r="AP111" s="76"/>
      <c r="AQ111" s="77"/>
      <c r="AR111" s="58"/>
      <c r="AS111" s="58"/>
      <c r="AT111" s="58"/>
      <c r="AU111" s="58"/>
      <c r="AV111" s="77"/>
      <c r="AW111" s="77"/>
      <c r="AX111" s="58"/>
      <c r="AY111" s="58"/>
      <c r="AZ111" s="58"/>
      <c r="BA111" s="58"/>
      <c r="BB111" s="58"/>
      <c r="BC111" s="58"/>
      <c r="BD111" s="58"/>
      <c r="BE111" s="58"/>
      <c r="BF111" s="77"/>
      <c r="BG111" s="77"/>
    </row>
    <row r="112" spans="1:73">
      <c r="A112" s="112"/>
      <c r="B112" s="26">
        <v>112</v>
      </c>
      <c r="C112" s="55"/>
      <c r="D112" s="14"/>
      <c r="E112" s="14"/>
      <c r="F112" s="15"/>
      <c r="G112" s="15"/>
      <c r="H112" s="14"/>
      <c r="I112" s="14"/>
      <c r="J112" s="15"/>
      <c r="K112" s="15"/>
      <c r="L112" s="14"/>
      <c r="M112" s="14"/>
      <c r="N112" s="15"/>
      <c r="O112" s="15"/>
      <c r="P112" s="16">
        <f t="shared" si="2"/>
        <v>0</v>
      </c>
      <c r="Q112" s="26">
        <f t="shared" si="3"/>
        <v>0</v>
      </c>
      <c r="Y112" s="10"/>
      <c r="Z112" s="22">
        <v>110</v>
      </c>
      <c r="AA112" s="33">
        <v>110</v>
      </c>
      <c r="AB112" s="65">
        <f ca="1">INDIRECT("C110")</f>
        <v>0</v>
      </c>
      <c r="AC112" s="31">
        <f ca="1">INDIRECT("q110")</f>
        <v>0</v>
      </c>
      <c r="AD112" s="31">
        <f ca="1">INDIRECT("p110")</f>
        <v>0</v>
      </c>
      <c r="AE112" s="10"/>
      <c r="AJ112" s="7"/>
      <c r="AK112" s="7"/>
      <c r="AL112" s="70"/>
      <c r="AM112" s="67"/>
      <c r="AN112" s="72"/>
      <c r="AO112" s="73"/>
      <c r="AP112" s="76"/>
      <c r="AQ112" s="77"/>
      <c r="AR112" s="58"/>
      <c r="AS112" s="58"/>
      <c r="AT112" s="58"/>
      <c r="AU112" s="58"/>
      <c r="AV112" s="77"/>
      <c r="AW112" s="77"/>
      <c r="AX112" s="58"/>
      <c r="AY112" s="58"/>
      <c r="AZ112" s="58"/>
      <c r="BA112" s="58"/>
      <c r="BB112" s="58"/>
      <c r="BC112" s="58"/>
      <c r="BD112" s="58"/>
      <c r="BE112" s="58"/>
      <c r="BF112" s="77"/>
      <c r="BG112" s="77"/>
    </row>
    <row r="113" spans="1:59">
      <c r="A113" s="112"/>
      <c r="B113" s="26">
        <v>113</v>
      </c>
      <c r="C113" s="55"/>
      <c r="D113" s="14"/>
      <c r="E113" s="14"/>
      <c r="F113" s="15"/>
      <c r="G113" s="15"/>
      <c r="H113" s="14"/>
      <c r="I113" s="14"/>
      <c r="J113" s="15"/>
      <c r="K113" s="15"/>
      <c r="L113" s="14"/>
      <c r="M113" s="14"/>
      <c r="N113" s="15"/>
      <c r="O113" s="15"/>
      <c r="P113" s="16">
        <f t="shared" si="2"/>
        <v>0</v>
      </c>
      <c r="Q113" s="26">
        <f t="shared" si="3"/>
        <v>0</v>
      </c>
      <c r="Y113" s="10"/>
      <c r="Z113" s="22">
        <v>111</v>
      </c>
      <c r="AA113" s="22">
        <v>111</v>
      </c>
      <c r="AB113" s="65">
        <f ca="1">INDIRECT("C111")</f>
        <v>0</v>
      </c>
      <c r="AC113" s="31">
        <f ca="1">INDIRECT("q111")</f>
        <v>0</v>
      </c>
      <c r="AD113" s="31">
        <f ca="1">INDIRECT("p111")</f>
        <v>0</v>
      </c>
      <c r="AE113" s="10"/>
      <c r="AJ113" s="7"/>
      <c r="AK113" s="7"/>
      <c r="AL113" s="70"/>
      <c r="AM113" s="67"/>
      <c r="AN113" s="74"/>
      <c r="AO113" s="75"/>
      <c r="AP113" s="78"/>
      <c r="AQ113" s="79"/>
      <c r="AR113" s="25"/>
      <c r="AS113" s="25"/>
      <c r="AT113" s="25"/>
      <c r="AU113" s="25"/>
      <c r="AV113" s="79"/>
      <c r="AW113" s="79"/>
      <c r="AX113" s="25"/>
      <c r="AY113" s="25"/>
      <c r="AZ113" s="25"/>
      <c r="BA113" s="25"/>
      <c r="BB113" s="25"/>
      <c r="BC113" s="25"/>
      <c r="BD113" s="25"/>
      <c r="BE113" s="25"/>
      <c r="BF113" s="79"/>
      <c r="BG113" s="79"/>
    </row>
    <row r="114" spans="1:59">
      <c r="A114" s="112"/>
      <c r="B114" s="26">
        <v>114</v>
      </c>
      <c r="C114" s="55"/>
      <c r="D114" s="14"/>
      <c r="E114" s="14"/>
      <c r="F114" s="15"/>
      <c r="G114" s="15"/>
      <c r="H114" s="14"/>
      <c r="I114" s="14"/>
      <c r="J114" s="15"/>
      <c r="K114" s="15"/>
      <c r="L114" s="14"/>
      <c r="M114" s="14"/>
      <c r="N114" s="15"/>
      <c r="O114" s="15"/>
      <c r="P114" s="16">
        <f t="shared" si="2"/>
        <v>0</v>
      </c>
      <c r="Q114" s="26">
        <f t="shared" si="3"/>
        <v>0</v>
      </c>
      <c r="Y114" s="10"/>
      <c r="Z114" s="22">
        <v>112</v>
      </c>
      <c r="AA114" s="22">
        <v>112</v>
      </c>
      <c r="AB114" s="65">
        <f ca="1">INDIRECT("C112")</f>
        <v>0</v>
      </c>
      <c r="AC114" s="31">
        <f ca="1">INDIRECT("q112")</f>
        <v>0</v>
      </c>
      <c r="AD114" s="31">
        <f ca="1">INDIRECT("p112")</f>
        <v>0</v>
      </c>
      <c r="AE114" s="10"/>
      <c r="AJ114" s="7"/>
      <c r="AK114" s="7"/>
      <c r="AL114" s="70"/>
      <c r="AM114" s="67"/>
      <c r="AN114" s="72"/>
      <c r="AO114" s="73"/>
      <c r="AP114" s="76"/>
      <c r="AQ114" s="77"/>
      <c r="AR114" s="58"/>
      <c r="AS114" s="58"/>
      <c r="AT114" s="58"/>
      <c r="AU114" s="58"/>
      <c r="AV114" s="77"/>
      <c r="AW114" s="77"/>
      <c r="AX114" s="58"/>
      <c r="AY114" s="58"/>
      <c r="AZ114" s="58"/>
      <c r="BA114" s="58"/>
      <c r="BB114" s="58"/>
      <c r="BC114" s="58"/>
      <c r="BD114" s="58"/>
      <c r="BE114" s="58"/>
      <c r="BF114" s="77"/>
      <c r="BG114" s="77"/>
    </row>
    <row r="115" spans="1:59">
      <c r="A115" s="112"/>
      <c r="B115" s="26">
        <v>115</v>
      </c>
      <c r="C115" s="55"/>
      <c r="D115" s="14"/>
      <c r="E115" s="14"/>
      <c r="F115" s="15"/>
      <c r="G115" s="15"/>
      <c r="H115" s="14"/>
      <c r="I115" s="14"/>
      <c r="J115" s="15"/>
      <c r="K115" s="15"/>
      <c r="L115" s="14"/>
      <c r="M115" s="14"/>
      <c r="N115" s="15"/>
      <c r="O115" s="15"/>
      <c r="P115" s="16">
        <f t="shared" si="2"/>
        <v>0</v>
      </c>
      <c r="Q115" s="26">
        <f t="shared" si="3"/>
        <v>0</v>
      </c>
      <c r="Y115" s="10"/>
      <c r="Z115" s="22">
        <v>113</v>
      </c>
      <c r="AA115" s="22">
        <v>113</v>
      </c>
      <c r="AB115" s="65">
        <f ca="1">INDIRECT("C113")</f>
        <v>0</v>
      </c>
      <c r="AC115" s="31">
        <f ca="1">INDIRECT("q113")</f>
        <v>0</v>
      </c>
      <c r="AD115" s="31">
        <f ca="1">INDIRECT("p113")</f>
        <v>0</v>
      </c>
      <c r="AE115" s="10"/>
      <c r="AJ115" s="7"/>
      <c r="AK115" s="7"/>
      <c r="AL115" s="70"/>
      <c r="AM115" s="67"/>
      <c r="AN115" s="72"/>
      <c r="AO115" s="73"/>
      <c r="AP115" s="76"/>
      <c r="AQ115" s="77"/>
      <c r="AR115" s="58"/>
      <c r="AS115" s="58"/>
      <c r="AT115" s="58"/>
      <c r="AU115" s="58"/>
      <c r="AV115" s="77"/>
      <c r="AW115" s="77"/>
      <c r="AX115" s="58"/>
      <c r="AY115" s="58"/>
      <c r="AZ115" s="58"/>
      <c r="BA115" s="58"/>
      <c r="BB115" s="58"/>
      <c r="BC115" s="58"/>
      <c r="BD115" s="58"/>
      <c r="BE115" s="58"/>
      <c r="BF115" s="77"/>
      <c r="BG115" s="77"/>
    </row>
    <row r="116" spans="1:59">
      <c r="A116" s="112"/>
      <c r="B116" s="26">
        <v>116</v>
      </c>
      <c r="C116" s="55"/>
      <c r="D116" s="14"/>
      <c r="E116" s="14"/>
      <c r="F116" s="15"/>
      <c r="G116" s="15"/>
      <c r="H116" s="14"/>
      <c r="I116" s="14"/>
      <c r="J116" s="15"/>
      <c r="K116" s="15"/>
      <c r="L116" s="14"/>
      <c r="M116" s="14"/>
      <c r="N116" s="15"/>
      <c r="O116" s="15"/>
      <c r="P116" s="16">
        <f t="shared" si="2"/>
        <v>0</v>
      </c>
      <c r="Q116" s="26">
        <f t="shared" si="3"/>
        <v>0</v>
      </c>
      <c r="Y116" s="10"/>
      <c r="Z116" s="22">
        <v>114</v>
      </c>
      <c r="AA116" s="22">
        <v>114</v>
      </c>
      <c r="AB116" s="65">
        <f ca="1">INDIRECT("C114")</f>
        <v>0</v>
      </c>
      <c r="AC116" s="31">
        <f ca="1">INDIRECT("q114")</f>
        <v>0</v>
      </c>
      <c r="AD116" s="31">
        <f ca="1">INDIRECT("p114")</f>
        <v>0</v>
      </c>
      <c r="AE116" s="10"/>
      <c r="AJ116" s="7"/>
      <c r="AK116" s="7"/>
      <c r="AL116" s="70"/>
      <c r="AM116" s="67"/>
      <c r="AN116" s="72"/>
      <c r="AO116" s="73"/>
      <c r="AP116" s="76"/>
      <c r="AQ116" s="77"/>
      <c r="AR116" s="58"/>
      <c r="AS116" s="58"/>
      <c r="AT116" s="58"/>
      <c r="AU116" s="58"/>
      <c r="AV116" s="77"/>
      <c r="AW116" s="77"/>
      <c r="AX116" s="58"/>
      <c r="AY116" s="58"/>
      <c r="AZ116" s="58"/>
      <c r="BA116" s="58"/>
      <c r="BB116" s="58"/>
      <c r="BC116" s="58"/>
      <c r="BD116" s="58"/>
      <c r="BE116" s="58"/>
      <c r="BF116" s="77"/>
      <c r="BG116" s="77"/>
    </row>
    <row r="117" spans="1:59">
      <c r="A117" s="112"/>
      <c r="B117" s="26">
        <v>117</v>
      </c>
      <c r="C117" s="55"/>
      <c r="D117" s="14"/>
      <c r="E117" s="14"/>
      <c r="F117" s="15"/>
      <c r="G117" s="15"/>
      <c r="H117" s="14"/>
      <c r="I117" s="14"/>
      <c r="J117" s="15"/>
      <c r="K117" s="15"/>
      <c r="L117" s="14"/>
      <c r="M117" s="14"/>
      <c r="N117" s="15"/>
      <c r="O117" s="15"/>
      <c r="P117" s="16">
        <f t="shared" si="2"/>
        <v>0</v>
      </c>
      <c r="Q117" s="26">
        <f t="shared" si="3"/>
        <v>0</v>
      </c>
      <c r="Y117" s="10"/>
      <c r="Z117" s="22">
        <v>115</v>
      </c>
      <c r="AA117" s="22">
        <v>115</v>
      </c>
      <c r="AB117" s="65">
        <f ca="1">INDIRECT("C115")</f>
        <v>0</v>
      </c>
      <c r="AC117" s="31">
        <f ca="1">INDIRECT("q115")</f>
        <v>0</v>
      </c>
      <c r="AD117" s="31">
        <f ca="1">INDIRECT("p115")</f>
        <v>0</v>
      </c>
      <c r="AE117" s="10"/>
      <c r="AJ117" s="7"/>
      <c r="AK117" s="7"/>
      <c r="AL117" s="70"/>
      <c r="AM117" s="67"/>
      <c r="AN117" s="72"/>
      <c r="AO117" s="73"/>
      <c r="AP117" s="76"/>
      <c r="AQ117" s="77"/>
      <c r="AR117" s="58"/>
      <c r="AS117" s="58"/>
      <c r="AT117" s="58"/>
      <c r="AU117" s="58"/>
      <c r="AV117" s="77"/>
      <c r="AW117" s="77"/>
      <c r="AX117" s="58"/>
      <c r="AY117" s="58"/>
      <c r="AZ117" s="58"/>
      <c r="BA117" s="58"/>
      <c r="BB117" s="58"/>
      <c r="BC117" s="58"/>
      <c r="BD117" s="58"/>
      <c r="BE117" s="58"/>
      <c r="BF117" s="77"/>
      <c r="BG117" s="77"/>
    </row>
    <row r="118" spans="1:59">
      <c r="A118" s="112"/>
      <c r="B118" s="26">
        <v>118</v>
      </c>
      <c r="C118" s="55"/>
      <c r="D118" s="14"/>
      <c r="E118" s="14"/>
      <c r="F118" s="15"/>
      <c r="G118" s="15"/>
      <c r="H118" s="14"/>
      <c r="I118" s="14"/>
      <c r="J118" s="15"/>
      <c r="K118" s="15"/>
      <c r="L118" s="14"/>
      <c r="M118" s="14"/>
      <c r="N118" s="15"/>
      <c r="O118" s="15"/>
      <c r="P118" s="16">
        <f t="shared" si="2"/>
        <v>0</v>
      </c>
      <c r="Q118" s="26">
        <f t="shared" si="3"/>
        <v>0</v>
      </c>
      <c r="Y118" s="10"/>
      <c r="Z118" s="22">
        <v>116</v>
      </c>
      <c r="AA118" s="22">
        <v>116</v>
      </c>
      <c r="AB118" s="65">
        <f ca="1">INDIRECT("C116")</f>
        <v>0</v>
      </c>
      <c r="AC118" s="31">
        <f ca="1">INDIRECT("q116")</f>
        <v>0</v>
      </c>
      <c r="AD118" s="31">
        <f ca="1">INDIRECT("p116")</f>
        <v>0</v>
      </c>
      <c r="AE118" s="10"/>
      <c r="AJ118" s="7"/>
      <c r="AK118" s="7"/>
      <c r="AL118" s="70"/>
      <c r="AM118" s="67"/>
      <c r="AN118" s="72"/>
      <c r="AO118" s="73"/>
      <c r="AP118" s="76"/>
      <c r="AQ118" s="77"/>
      <c r="AR118" s="58"/>
      <c r="AS118" s="58"/>
      <c r="AT118" s="58"/>
      <c r="AU118" s="58"/>
      <c r="AV118" s="77"/>
      <c r="AW118" s="77"/>
      <c r="AX118" s="58"/>
      <c r="AY118" s="58"/>
      <c r="AZ118" s="58"/>
      <c r="BA118" s="58"/>
      <c r="BB118" s="58"/>
      <c r="BC118" s="58"/>
      <c r="BD118" s="58"/>
      <c r="BE118" s="58"/>
      <c r="BF118" s="77"/>
      <c r="BG118" s="77"/>
    </row>
    <row r="119" spans="1:59">
      <c r="A119" s="112"/>
      <c r="B119" s="26">
        <v>119</v>
      </c>
      <c r="C119" s="55"/>
      <c r="D119" s="14"/>
      <c r="E119" s="14"/>
      <c r="F119" s="15"/>
      <c r="G119" s="15"/>
      <c r="H119" s="14"/>
      <c r="I119" s="14"/>
      <c r="J119" s="15"/>
      <c r="K119" s="15"/>
      <c r="L119" s="14"/>
      <c r="M119" s="14"/>
      <c r="N119" s="15"/>
      <c r="O119" s="15"/>
      <c r="P119" s="16">
        <f t="shared" si="2"/>
        <v>0</v>
      </c>
      <c r="Q119" s="26">
        <f t="shared" si="3"/>
        <v>0</v>
      </c>
      <c r="Y119" s="10"/>
      <c r="Z119" s="22">
        <v>117</v>
      </c>
      <c r="AA119" s="22">
        <v>117</v>
      </c>
      <c r="AB119" s="65">
        <f ca="1">INDIRECT("C117")</f>
        <v>0</v>
      </c>
      <c r="AC119" s="31">
        <f ca="1">INDIRECT("q117")</f>
        <v>0</v>
      </c>
      <c r="AD119" s="31">
        <f ca="1">INDIRECT("p117")</f>
        <v>0</v>
      </c>
      <c r="AE119" s="10"/>
      <c r="AJ119" s="7"/>
      <c r="AK119" s="7"/>
      <c r="AL119" s="70"/>
      <c r="AM119" s="67"/>
      <c r="AN119" s="72"/>
      <c r="AO119" s="73"/>
      <c r="AP119" s="76"/>
      <c r="AQ119" s="77"/>
      <c r="AR119" s="58"/>
      <c r="AS119" s="58"/>
      <c r="AT119" s="58"/>
      <c r="AU119" s="58"/>
      <c r="AV119" s="77"/>
      <c r="AW119" s="77"/>
      <c r="AX119" s="58"/>
      <c r="AY119" s="58"/>
      <c r="AZ119" s="58"/>
      <c r="BA119" s="58"/>
      <c r="BB119" s="58"/>
      <c r="BC119" s="58"/>
      <c r="BD119" s="58"/>
      <c r="BE119" s="58"/>
      <c r="BF119" s="77"/>
      <c r="BG119" s="77"/>
    </row>
    <row r="120" spans="1:59">
      <c r="A120" s="112"/>
      <c r="B120" s="26">
        <v>120</v>
      </c>
      <c r="C120" s="55"/>
      <c r="D120" s="14"/>
      <c r="E120" s="14"/>
      <c r="F120" s="15"/>
      <c r="G120" s="15"/>
      <c r="H120" s="14"/>
      <c r="I120" s="14"/>
      <c r="J120" s="15"/>
      <c r="K120" s="15"/>
      <c r="L120" s="14"/>
      <c r="M120" s="14"/>
      <c r="N120" s="15"/>
      <c r="O120" s="15"/>
      <c r="P120" s="16">
        <f t="shared" si="2"/>
        <v>0</v>
      </c>
      <c r="Q120" s="26">
        <f t="shared" si="3"/>
        <v>0</v>
      </c>
      <c r="Y120" s="10"/>
      <c r="Z120" s="22">
        <v>118</v>
      </c>
      <c r="AA120" s="22">
        <v>118</v>
      </c>
      <c r="AB120" s="65">
        <f ca="1">INDIRECT("C118")</f>
        <v>0</v>
      </c>
      <c r="AC120" s="31">
        <f ca="1">INDIRECT("q118")</f>
        <v>0</v>
      </c>
      <c r="AD120" s="31">
        <f ca="1">INDIRECT("p118")</f>
        <v>0</v>
      </c>
      <c r="AE120" s="10"/>
      <c r="AJ120" s="7"/>
      <c r="AK120" s="7"/>
      <c r="AL120" s="70"/>
      <c r="AM120" s="67"/>
      <c r="AN120" s="72"/>
      <c r="AO120" s="73"/>
      <c r="AP120" s="76"/>
      <c r="AQ120" s="77"/>
      <c r="AR120" s="58"/>
      <c r="AS120" s="58"/>
      <c r="AT120" s="58"/>
      <c r="AU120" s="58"/>
      <c r="AV120" s="77"/>
      <c r="AW120" s="77"/>
      <c r="AX120" s="58"/>
      <c r="AY120" s="58"/>
      <c r="AZ120" s="58"/>
      <c r="BA120" s="58"/>
      <c r="BB120" s="58"/>
      <c r="BC120" s="58"/>
      <c r="BD120" s="58"/>
      <c r="BE120" s="58"/>
      <c r="BF120" s="77"/>
      <c r="BG120" s="77"/>
    </row>
    <row r="121" spans="1:59">
      <c r="A121" s="112"/>
      <c r="B121" s="26">
        <v>121</v>
      </c>
      <c r="C121" s="55"/>
      <c r="D121" s="14"/>
      <c r="E121" s="14"/>
      <c r="F121" s="15"/>
      <c r="G121" s="15"/>
      <c r="H121" s="14"/>
      <c r="I121" s="14"/>
      <c r="J121" s="15"/>
      <c r="K121" s="15"/>
      <c r="L121" s="14"/>
      <c r="M121" s="14"/>
      <c r="N121" s="15"/>
      <c r="O121" s="15"/>
      <c r="P121" s="16">
        <f t="shared" si="2"/>
        <v>0</v>
      </c>
      <c r="Q121" s="26">
        <f t="shared" si="3"/>
        <v>0</v>
      </c>
      <c r="Y121" s="10"/>
      <c r="Z121" s="22">
        <v>119</v>
      </c>
      <c r="AA121" s="22">
        <v>119</v>
      </c>
      <c r="AB121" s="65">
        <f ca="1">INDIRECT("C119")</f>
        <v>0</v>
      </c>
      <c r="AC121" s="31">
        <f ca="1">INDIRECT("q119")</f>
        <v>0</v>
      </c>
      <c r="AD121" s="31">
        <f ca="1">INDIRECT("p119")</f>
        <v>0</v>
      </c>
      <c r="AE121" s="10"/>
      <c r="AJ121" s="7"/>
      <c r="AK121" s="7"/>
      <c r="AL121" s="70"/>
      <c r="AM121" s="67"/>
      <c r="AN121" s="72"/>
      <c r="AO121" s="73"/>
      <c r="AP121" s="76"/>
      <c r="AQ121" s="77"/>
      <c r="AR121" s="58"/>
      <c r="AS121" s="58"/>
      <c r="AT121" s="58"/>
      <c r="AU121" s="58"/>
      <c r="AV121" s="77"/>
      <c r="AW121" s="77"/>
      <c r="AX121" s="58"/>
      <c r="AY121" s="58"/>
      <c r="AZ121" s="58"/>
      <c r="BA121" s="58"/>
      <c r="BB121" s="58"/>
      <c r="BC121" s="58"/>
      <c r="BD121" s="58"/>
      <c r="BE121" s="58"/>
      <c r="BF121" s="77"/>
      <c r="BG121" s="77"/>
    </row>
    <row r="122" spans="1:59">
      <c r="A122" s="112"/>
      <c r="B122" s="26">
        <v>122</v>
      </c>
      <c r="C122" s="55"/>
      <c r="D122" s="14"/>
      <c r="E122" s="14"/>
      <c r="F122" s="15"/>
      <c r="G122" s="15"/>
      <c r="H122" s="14"/>
      <c r="I122" s="14"/>
      <c r="J122" s="15"/>
      <c r="K122" s="15"/>
      <c r="L122" s="14"/>
      <c r="M122" s="14"/>
      <c r="N122" s="15"/>
      <c r="O122" s="15"/>
      <c r="P122" s="16">
        <f t="shared" si="2"/>
        <v>0</v>
      </c>
      <c r="Q122" s="26">
        <f t="shared" si="3"/>
        <v>0</v>
      </c>
      <c r="Y122" s="10"/>
      <c r="Z122" s="22">
        <v>120</v>
      </c>
      <c r="AA122" s="22">
        <v>120</v>
      </c>
      <c r="AB122" s="65">
        <f ca="1">INDIRECT("C120")</f>
        <v>0</v>
      </c>
      <c r="AC122" s="31">
        <f ca="1">INDIRECT("q120")</f>
        <v>0</v>
      </c>
      <c r="AD122" s="31">
        <f ca="1">INDIRECT("p120")</f>
        <v>0</v>
      </c>
      <c r="AE122" s="10"/>
      <c r="AJ122" s="7"/>
      <c r="AK122" s="7"/>
      <c r="AL122" s="70"/>
      <c r="AM122" s="67"/>
      <c r="AN122" s="72"/>
      <c r="AO122" s="73"/>
      <c r="AP122" s="76"/>
      <c r="AQ122" s="77"/>
      <c r="AR122" s="58"/>
      <c r="AS122" s="58"/>
      <c r="AT122" s="58"/>
      <c r="AU122" s="58"/>
      <c r="AV122" s="77"/>
      <c r="AW122" s="77"/>
      <c r="AX122" s="58"/>
      <c r="AY122" s="58"/>
      <c r="AZ122" s="58"/>
      <c r="BA122" s="58"/>
      <c r="BB122" s="58"/>
      <c r="BC122" s="58"/>
      <c r="BD122" s="58"/>
      <c r="BE122" s="58"/>
      <c r="BF122" s="77"/>
      <c r="BG122" s="77"/>
    </row>
    <row r="123" spans="1:59">
      <c r="A123" s="112"/>
      <c r="B123" s="26">
        <v>123</v>
      </c>
      <c r="C123" s="55"/>
      <c r="D123" s="14"/>
      <c r="E123" s="14"/>
      <c r="F123" s="15"/>
      <c r="G123" s="15"/>
      <c r="H123" s="14"/>
      <c r="I123" s="14"/>
      <c r="J123" s="15"/>
      <c r="K123" s="15"/>
      <c r="L123" s="14"/>
      <c r="M123" s="14"/>
      <c r="N123" s="15"/>
      <c r="O123" s="15"/>
      <c r="P123" s="16">
        <f t="shared" si="2"/>
        <v>0</v>
      </c>
      <c r="Q123" s="26">
        <f t="shared" si="3"/>
        <v>0</v>
      </c>
      <c r="Y123" s="10"/>
      <c r="Z123" s="22">
        <v>121</v>
      </c>
      <c r="AA123" s="22">
        <v>121</v>
      </c>
      <c r="AB123" s="65">
        <f ca="1">INDIRECT("C121")</f>
        <v>0</v>
      </c>
      <c r="AC123" s="31">
        <f ca="1">INDIRECT("q121")</f>
        <v>0</v>
      </c>
      <c r="AD123" s="31">
        <f ca="1">INDIRECT("p121")</f>
        <v>0</v>
      </c>
      <c r="AE123" s="10"/>
      <c r="AJ123" s="7"/>
      <c r="AK123" s="7"/>
      <c r="AL123" s="70"/>
      <c r="AM123" s="67"/>
      <c r="AN123" s="72"/>
      <c r="AO123" s="73"/>
      <c r="AP123" s="76"/>
      <c r="AQ123" s="77"/>
      <c r="AR123" s="58"/>
      <c r="AS123" s="58"/>
      <c r="AT123" s="58"/>
      <c r="AU123" s="58"/>
      <c r="AV123" s="77"/>
      <c r="AW123" s="77"/>
      <c r="AX123" s="58"/>
      <c r="AY123" s="58"/>
      <c r="AZ123" s="58"/>
      <c r="BA123" s="58"/>
      <c r="BB123" s="58"/>
      <c r="BC123" s="58"/>
      <c r="BD123" s="58"/>
      <c r="BE123" s="58"/>
      <c r="BF123" s="77"/>
      <c r="BG123" s="77"/>
    </row>
    <row r="124" spans="1:59">
      <c r="A124" s="112"/>
      <c r="B124" s="26">
        <v>124</v>
      </c>
      <c r="C124" s="55"/>
      <c r="D124" s="14"/>
      <c r="E124" s="14"/>
      <c r="F124" s="15"/>
      <c r="G124" s="15"/>
      <c r="H124" s="14"/>
      <c r="I124" s="14"/>
      <c r="J124" s="15"/>
      <c r="K124" s="15"/>
      <c r="L124" s="14"/>
      <c r="M124" s="14"/>
      <c r="N124" s="15"/>
      <c r="O124" s="15"/>
      <c r="P124" s="16">
        <f t="shared" si="2"/>
        <v>0</v>
      </c>
      <c r="Q124" s="26">
        <f t="shared" si="3"/>
        <v>0</v>
      </c>
      <c r="Y124" s="10"/>
      <c r="Z124" s="22">
        <v>122</v>
      </c>
      <c r="AA124" s="22">
        <v>122</v>
      </c>
      <c r="AB124" s="65">
        <f ca="1">INDIRECT("C122")</f>
        <v>0</v>
      </c>
      <c r="AC124" s="31">
        <f ca="1">INDIRECT("q122")</f>
        <v>0</v>
      </c>
      <c r="AD124" s="31">
        <f ca="1">INDIRECT("p122")</f>
        <v>0</v>
      </c>
      <c r="AE124" s="10"/>
      <c r="AJ124" s="7"/>
      <c r="AK124" s="7"/>
      <c r="AL124" s="70"/>
      <c r="AM124" s="67"/>
      <c r="AN124" s="72"/>
      <c r="AO124" s="73"/>
      <c r="AP124" s="76"/>
      <c r="AQ124" s="77"/>
      <c r="AR124" s="58"/>
      <c r="AS124" s="58"/>
      <c r="AT124" s="58"/>
      <c r="AU124" s="58"/>
      <c r="AV124" s="77"/>
      <c r="AW124" s="77"/>
      <c r="AX124" s="58"/>
      <c r="AY124" s="58"/>
      <c r="AZ124" s="58"/>
      <c r="BA124" s="58"/>
      <c r="BB124" s="58"/>
      <c r="BC124" s="58"/>
      <c r="BD124" s="58"/>
      <c r="BE124" s="58"/>
      <c r="BF124" s="77"/>
      <c r="BG124" s="77"/>
    </row>
    <row r="125" spans="1:59">
      <c r="A125" s="112"/>
      <c r="B125" s="26">
        <v>125</v>
      </c>
      <c r="C125" s="55"/>
      <c r="D125" s="14"/>
      <c r="E125" s="14"/>
      <c r="F125" s="15"/>
      <c r="G125" s="15"/>
      <c r="H125" s="14"/>
      <c r="I125" s="14"/>
      <c r="J125" s="15"/>
      <c r="K125" s="15"/>
      <c r="L125" s="14"/>
      <c r="M125" s="14"/>
      <c r="N125" s="15"/>
      <c r="O125" s="15"/>
      <c r="P125" s="16">
        <f t="shared" si="2"/>
        <v>0</v>
      </c>
      <c r="Q125" s="26">
        <f t="shared" si="3"/>
        <v>0</v>
      </c>
      <c r="Y125" s="10"/>
      <c r="Z125" s="22">
        <v>123</v>
      </c>
      <c r="AA125" s="22">
        <v>123</v>
      </c>
      <c r="AB125" s="65">
        <f ca="1">INDIRECT("C123")</f>
        <v>0</v>
      </c>
      <c r="AC125" s="31">
        <f ca="1">INDIRECT("q123")</f>
        <v>0</v>
      </c>
      <c r="AD125" s="31">
        <f ca="1">INDIRECT("p123")</f>
        <v>0</v>
      </c>
      <c r="AE125" s="10"/>
      <c r="AJ125" s="7"/>
      <c r="AK125" s="7"/>
      <c r="AL125" s="70"/>
      <c r="AM125" s="67"/>
      <c r="AN125" s="72"/>
      <c r="AO125" s="73"/>
      <c r="AP125" s="76"/>
      <c r="AQ125" s="77"/>
      <c r="AR125" s="58"/>
      <c r="AS125" s="58"/>
      <c r="AT125" s="58"/>
      <c r="AU125" s="58"/>
      <c r="AV125" s="77"/>
      <c r="AW125" s="77"/>
      <c r="AX125" s="58"/>
      <c r="AY125" s="58"/>
      <c r="AZ125" s="58"/>
      <c r="BA125" s="58"/>
      <c r="BB125" s="58"/>
      <c r="BC125" s="58"/>
      <c r="BD125" s="58"/>
      <c r="BE125" s="58"/>
      <c r="BF125" s="77"/>
      <c r="BG125" s="77"/>
    </row>
    <row r="126" spans="1:59">
      <c r="A126" s="112"/>
      <c r="B126" s="26">
        <v>126</v>
      </c>
      <c r="C126" s="55"/>
      <c r="D126" s="14"/>
      <c r="E126" s="14"/>
      <c r="F126" s="15"/>
      <c r="G126" s="15"/>
      <c r="H126" s="14"/>
      <c r="I126" s="14"/>
      <c r="J126" s="15"/>
      <c r="K126" s="15"/>
      <c r="L126" s="14"/>
      <c r="M126" s="14"/>
      <c r="N126" s="15"/>
      <c r="O126" s="15"/>
      <c r="P126" s="16">
        <f t="shared" si="2"/>
        <v>0</v>
      </c>
      <c r="Q126" s="26">
        <f t="shared" si="3"/>
        <v>0</v>
      </c>
      <c r="Y126" s="10"/>
      <c r="Z126" s="22">
        <v>124</v>
      </c>
      <c r="AA126" s="22">
        <v>124</v>
      </c>
      <c r="AB126" s="65">
        <f ca="1">INDIRECT("C124")</f>
        <v>0</v>
      </c>
      <c r="AC126" s="31">
        <f ca="1">INDIRECT("q124")</f>
        <v>0</v>
      </c>
      <c r="AD126" s="31">
        <f ca="1">INDIRECT("p124")</f>
        <v>0</v>
      </c>
      <c r="AE126" s="10"/>
      <c r="AJ126" s="7"/>
      <c r="AK126" s="7"/>
      <c r="AL126" s="70"/>
      <c r="AM126" s="67"/>
      <c r="AN126" s="72"/>
      <c r="AO126" s="73"/>
      <c r="AP126" s="76"/>
      <c r="AQ126" s="77"/>
      <c r="AR126" s="58"/>
      <c r="AS126" s="58"/>
      <c r="AT126" s="58"/>
      <c r="AU126" s="58"/>
      <c r="AV126" s="77"/>
      <c r="AW126" s="77"/>
      <c r="AX126" s="58"/>
      <c r="AY126" s="58"/>
      <c r="AZ126" s="58"/>
      <c r="BA126" s="58"/>
      <c r="BB126" s="58"/>
      <c r="BC126" s="58"/>
      <c r="BD126" s="58"/>
      <c r="BE126" s="58"/>
      <c r="BF126" s="77"/>
      <c r="BG126" s="77"/>
    </row>
    <row r="127" spans="1:59">
      <c r="A127" s="112"/>
      <c r="B127" s="26">
        <v>127</v>
      </c>
      <c r="C127" s="55"/>
      <c r="D127" s="14"/>
      <c r="E127" s="14"/>
      <c r="F127" s="15"/>
      <c r="G127" s="15"/>
      <c r="H127" s="14"/>
      <c r="I127" s="14"/>
      <c r="J127" s="15"/>
      <c r="K127" s="15"/>
      <c r="L127" s="14"/>
      <c r="M127" s="14"/>
      <c r="N127" s="15"/>
      <c r="O127" s="15"/>
      <c r="P127" s="16">
        <f t="shared" si="2"/>
        <v>0</v>
      </c>
      <c r="Q127" s="26">
        <f t="shared" si="3"/>
        <v>0</v>
      </c>
      <c r="Y127" s="10"/>
      <c r="Z127" s="22">
        <v>125</v>
      </c>
      <c r="AA127" s="22">
        <v>125</v>
      </c>
      <c r="AB127" s="65">
        <f ca="1">INDIRECT("C125")</f>
        <v>0</v>
      </c>
      <c r="AC127" s="31">
        <f ca="1">INDIRECT("q125")</f>
        <v>0</v>
      </c>
      <c r="AD127" s="31">
        <f ca="1">INDIRECT("p125")</f>
        <v>0</v>
      </c>
      <c r="AE127" s="10"/>
      <c r="AJ127" s="7"/>
      <c r="AK127" s="7"/>
      <c r="AL127" s="70"/>
      <c r="AM127" s="67"/>
      <c r="AN127" s="72"/>
      <c r="AO127" s="73"/>
      <c r="AP127" s="76"/>
      <c r="AQ127" s="77"/>
      <c r="AR127" s="58"/>
      <c r="AS127" s="58"/>
      <c r="AT127" s="58"/>
      <c r="AU127" s="58"/>
      <c r="AV127" s="77"/>
      <c r="AW127" s="77"/>
      <c r="AX127" s="58"/>
      <c r="AY127" s="58"/>
      <c r="AZ127" s="58"/>
      <c r="BA127" s="58"/>
      <c r="BB127" s="58"/>
      <c r="BC127" s="58"/>
      <c r="BD127" s="58"/>
      <c r="BE127" s="58"/>
      <c r="BF127" s="77"/>
      <c r="BG127" s="77"/>
    </row>
    <row r="128" spans="1:59">
      <c r="A128" s="112"/>
      <c r="B128" s="26">
        <v>128</v>
      </c>
      <c r="C128" s="55"/>
      <c r="D128" s="14"/>
      <c r="E128" s="14"/>
      <c r="F128" s="15"/>
      <c r="G128" s="15"/>
      <c r="H128" s="14"/>
      <c r="I128" s="14"/>
      <c r="J128" s="15"/>
      <c r="K128" s="15"/>
      <c r="L128" s="14"/>
      <c r="M128" s="14"/>
      <c r="N128" s="15"/>
      <c r="O128" s="15"/>
      <c r="P128" s="16">
        <f t="shared" si="2"/>
        <v>0</v>
      </c>
      <c r="Q128" s="26">
        <f t="shared" si="3"/>
        <v>0</v>
      </c>
      <c r="Y128" s="10"/>
      <c r="Z128" s="22">
        <v>126</v>
      </c>
      <c r="AA128" s="22">
        <v>126</v>
      </c>
      <c r="AB128" s="65">
        <f ca="1">INDIRECT("C126")</f>
        <v>0</v>
      </c>
      <c r="AC128" s="31">
        <f ca="1">INDIRECT("q126")</f>
        <v>0</v>
      </c>
      <c r="AD128" s="31">
        <f ca="1">INDIRECT("p126")</f>
        <v>0</v>
      </c>
      <c r="AE128" s="10"/>
      <c r="AJ128" s="7"/>
      <c r="AK128" s="7"/>
      <c r="AL128" s="70"/>
      <c r="AM128" s="67"/>
      <c r="AN128" s="72"/>
      <c r="AO128" s="73"/>
      <c r="AP128" s="76"/>
      <c r="AQ128" s="77"/>
      <c r="AR128" s="58"/>
      <c r="AS128" s="58"/>
      <c r="AT128" s="58"/>
      <c r="AU128" s="58"/>
      <c r="AV128" s="77"/>
      <c r="AW128" s="77"/>
      <c r="AX128" s="58"/>
      <c r="AY128" s="58"/>
      <c r="AZ128" s="58"/>
      <c r="BA128" s="58"/>
      <c r="BB128" s="58"/>
      <c r="BC128" s="58"/>
      <c r="BD128" s="58"/>
      <c r="BE128" s="58"/>
      <c r="BF128" s="77"/>
      <c r="BG128" s="77"/>
    </row>
    <row r="129" spans="1:59">
      <c r="A129" s="50"/>
      <c r="B129" s="16"/>
      <c r="C129" s="50"/>
      <c r="D129" s="59">
        <f>COUNTIF((D1:D128),13)</f>
        <v>24</v>
      </c>
      <c r="E129" s="59">
        <f t="shared" ref="E129:O129" si="4">COUNTIF((E1:E128),13)</f>
        <v>24</v>
      </c>
      <c r="F129" s="59">
        <f t="shared" si="4"/>
        <v>24</v>
      </c>
      <c r="G129" s="59">
        <f t="shared" si="4"/>
        <v>24</v>
      </c>
      <c r="H129" s="60">
        <f>COUNTIF((H1:H128),13)</f>
        <v>24</v>
      </c>
      <c r="I129" s="59">
        <f t="shared" si="4"/>
        <v>24</v>
      </c>
      <c r="J129" s="59">
        <f t="shared" si="4"/>
        <v>0</v>
      </c>
      <c r="K129" s="59">
        <f t="shared" si="4"/>
        <v>0</v>
      </c>
      <c r="L129" s="49">
        <f t="shared" si="4"/>
        <v>0</v>
      </c>
      <c r="M129" s="49">
        <f t="shared" si="4"/>
        <v>0</v>
      </c>
      <c r="N129" s="49">
        <f t="shared" si="4"/>
        <v>0</v>
      </c>
      <c r="O129" s="49">
        <f t="shared" si="4"/>
        <v>0</v>
      </c>
      <c r="P129" s="49"/>
      <c r="Q129" s="49"/>
      <c r="Y129" s="10"/>
      <c r="Z129" s="22">
        <v>127</v>
      </c>
      <c r="AA129" s="22">
        <v>127</v>
      </c>
      <c r="AB129" s="65">
        <f ca="1">INDIRECT("C127")</f>
        <v>0</v>
      </c>
      <c r="AC129" s="31">
        <f ca="1">INDIRECT("q127")</f>
        <v>0</v>
      </c>
      <c r="AD129" s="31">
        <f ca="1">INDIRECT("p127")</f>
        <v>0</v>
      </c>
      <c r="AE129" s="10"/>
      <c r="AN129" s="72"/>
      <c r="AO129" s="73"/>
      <c r="AP129" s="76"/>
      <c r="AQ129" s="77"/>
      <c r="AR129" s="58"/>
      <c r="AS129" s="58"/>
      <c r="AT129" s="58"/>
      <c r="AU129" s="58"/>
      <c r="AV129" s="77"/>
      <c r="AW129" s="77"/>
      <c r="AX129" s="58"/>
      <c r="AY129" s="58"/>
      <c r="AZ129" s="58"/>
      <c r="BA129" s="58"/>
      <c r="BB129" s="58"/>
      <c r="BC129" s="58"/>
      <c r="BD129" s="58"/>
      <c r="BE129" s="58"/>
      <c r="BF129" s="77"/>
      <c r="BG129" s="77"/>
    </row>
    <row r="130" spans="1:59">
      <c r="A130" s="51"/>
      <c r="B130" s="16"/>
      <c r="C130" s="51"/>
      <c r="D130" s="59"/>
      <c r="E130" s="59"/>
      <c r="F130" s="59"/>
      <c r="G130" s="59"/>
      <c r="H130" s="59"/>
      <c r="I130" s="59"/>
      <c r="J130" s="59"/>
      <c r="K130" s="59"/>
      <c r="L130" s="49"/>
      <c r="M130" s="59"/>
      <c r="N130" s="49"/>
      <c r="O130" s="59"/>
      <c r="P130" s="49"/>
      <c r="Q130" s="49"/>
      <c r="Y130" s="10"/>
      <c r="Z130" s="22">
        <v>128</v>
      </c>
      <c r="AA130" s="22">
        <v>128</v>
      </c>
      <c r="AB130" s="65">
        <f ca="1">INDIRECT("C128")</f>
        <v>0</v>
      </c>
      <c r="AC130" s="31">
        <f ca="1">INDIRECT("q128")</f>
        <v>0</v>
      </c>
      <c r="AD130" s="31">
        <f ca="1">INDIRECT("p128")</f>
        <v>0</v>
      </c>
      <c r="AE130" s="10"/>
      <c r="AN130" s="72"/>
      <c r="AO130" s="73"/>
      <c r="AP130" s="76"/>
      <c r="AQ130" s="77"/>
      <c r="AR130" s="58"/>
      <c r="AS130" s="58"/>
      <c r="AT130" s="58"/>
      <c r="AU130" s="58"/>
      <c r="AV130" s="77"/>
      <c r="AW130" s="77"/>
      <c r="AX130" s="58"/>
      <c r="AY130" s="58"/>
      <c r="AZ130" s="58"/>
      <c r="BA130" s="58"/>
      <c r="BB130" s="58"/>
      <c r="BC130" s="58"/>
      <c r="BD130" s="58"/>
      <c r="BE130" s="58"/>
      <c r="BF130" s="77"/>
      <c r="BG130" s="77"/>
    </row>
    <row r="131" spans="1:59">
      <c r="A131" s="51"/>
      <c r="B131" s="16"/>
      <c r="C131" s="51"/>
      <c r="D131" s="59">
        <f>D129+E129</f>
        <v>48</v>
      </c>
      <c r="E131" s="59"/>
      <c r="F131" s="59">
        <f>F129+G129</f>
        <v>48</v>
      </c>
      <c r="G131" s="59"/>
      <c r="H131" s="59">
        <f>H129+I129</f>
        <v>48</v>
      </c>
      <c r="I131" s="59"/>
      <c r="J131" s="59">
        <f>J129+K129</f>
        <v>0</v>
      </c>
      <c r="K131" s="59"/>
      <c r="L131" s="49">
        <f>COUNTIF((L1:L128),11)</f>
        <v>0</v>
      </c>
      <c r="M131" s="49">
        <f>COUNTIF((M1:M128),11)</f>
        <v>0</v>
      </c>
      <c r="N131" s="49">
        <f>COUNTIF((N1:N128),11)</f>
        <v>0</v>
      </c>
      <c r="O131" s="49">
        <f>COUNTIF((O1:O128),11)</f>
        <v>0</v>
      </c>
      <c r="P131" s="49"/>
      <c r="Q131" s="49"/>
      <c r="AA131" s="22"/>
      <c r="AB131" s="65"/>
      <c r="AC131" s="30"/>
      <c r="AD131" s="30"/>
      <c r="AN131" s="72"/>
      <c r="AO131" s="73"/>
      <c r="AP131" s="76"/>
      <c r="AQ131" s="77"/>
      <c r="AR131" s="58"/>
      <c r="AS131" s="58"/>
      <c r="AT131" s="58"/>
      <c r="AU131" s="58"/>
      <c r="AV131" s="77"/>
      <c r="AW131" s="77"/>
      <c r="AX131" s="58"/>
      <c r="AY131" s="58"/>
      <c r="AZ131" s="58"/>
      <c r="BA131" s="58"/>
      <c r="BB131" s="58"/>
      <c r="BC131" s="58"/>
      <c r="BD131" s="58"/>
      <c r="BE131" s="58"/>
      <c r="BF131" s="77"/>
      <c r="BG131" s="77"/>
    </row>
    <row r="132" spans="1:59">
      <c r="A132" s="51"/>
      <c r="B132" s="16"/>
      <c r="C132" s="51"/>
      <c r="D132" s="59"/>
      <c r="E132" s="59"/>
      <c r="F132" s="59"/>
      <c r="G132" s="59"/>
      <c r="H132" s="59"/>
      <c r="I132" s="49">
        <f t="shared" ref="I132:O132" si="5">COUNTIF((I1:I128),10)</f>
        <v>2</v>
      </c>
      <c r="J132" s="49">
        <f t="shared" si="5"/>
        <v>0</v>
      </c>
      <c r="K132" s="49">
        <f t="shared" si="5"/>
        <v>0</v>
      </c>
      <c r="L132" s="49">
        <f t="shared" si="5"/>
        <v>0</v>
      </c>
      <c r="M132" s="49">
        <f t="shared" si="5"/>
        <v>0</v>
      </c>
      <c r="N132" s="49">
        <f t="shared" si="5"/>
        <v>0</v>
      </c>
      <c r="O132" s="49">
        <f t="shared" si="5"/>
        <v>0</v>
      </c>
      <c r="P132" s="49"/>
      <c r="Q132" s="49"/>
      <c r="AA132" s="22"/>
      <c r="AB132" s="65"/>
      <c r="AC132" s="30"/>
      <c r="AD132" s="30"/>
      <c r="AN132" s="74"/>
      <c r="AO132" s="75"/>
      <c r="AP132" s="78"/>
      <c r="AQ132" s="79"/>
      <c r="AR132" s="25"/>
      <c r="AS132" s="25"/>
      <c r="AT132" s="25"/>
      <c r="AU132" s="25"/>
      <c r="AV132" s="79"/>
      <c r="AW132" s="79"/>
      <c r="AX132" s="25"/>
      <c r="AY132" s="25"/>
      <c r="AZ132" s="25"/>
      <c r="BA132" s="25"/>
      <c r="BB132" s="25"/>
      <c r="BC132" s="25"/>
      <c r="BD132" s="25"/>
      <c r="BE132" s="25"/>
      <c r="BF132" s="79"/>
      <c r="BG132" s="79"/>
    </row>
    <row r="133" spans="1:59">
      <c r="A133" s="51"/>
      <c r="B133" s="16"/>
      <c r="C133" s="51"/>
      <c r="D133" s="59"/>
      <c r="E133" s="59"/>
      <c r="F133" s="59"/>
      <c r="G133" s="59"/>
      <c r="H133" s="59"/>
      <c r="I133" s="49">
        <f t="shared" ref="I133:O133" si="6">COUNTIF((I1:I128),9)</f>
        <v>2</v>
      </c>
      <c r="J133" s="49">
        <f t="shared" si="6"/>
        <v>0</v>
      </c>
      <c r="K133" s="49">
        <f t="shared" si="6"/>
        <v>0</v>
      </c>
      <c r="L133" s="49">
        <f t="shared" si="6"/>
        <v>0</v>
      </c>
      <c r="M133" s="49">
        <f t="shared" si="6"/>
        <v>0</v>
      </c>
      <c r="N133" s="49">
        <f t="shared" si="6"/>
        <v>0</v>
      </c>
      <c r="O133" s="49">
        <f t="shared" si="6"/>
        <v>0</v>
      </c>
      <c r="P133" s="49"/>
      <c r="Q133" s="49"/>
      <c r="AA133" s="22"/>
      <c r="AB133" s="65"/>
      <c r="AC133" s="30"/>
      <c r="AD133" s="30"/>
      <c r="AN133" s="72"/>
      <c r="AO133" s="73"/>
      <c r="AP133" s="76"/>
      <c r="AQ133" s="77"/>
      <c r="AR133" s="58"/>
      <c r="AS133" s="58"/>
      <c r="AT133" s="58"/>
      <c r="AU133" s="58"/>
      <c r="AV133" s="77"/>
      <c r="AW133" s="77"/>
      <c r="AX133" s="58"/>
      <c r="AY133" s="58"/>
      <c r="AZ133" s="58"/>
      <c r="BA133" s="58"/>
      <c r="BB133" s="58"/>
      <c r="BC133" s="58"/>
      <c r="BD133" s="58"/>
      <c r="BE133" s="58"/>
      <c r="BF133" s="77"/>
      <c r="BG133" s="77"/>
    </row>
    <row r="134" spans="1:59" ht="18.75">
      <c r="A134" s="51"/>
      <c r="C134" s="51"/>
      <c r="D134" s="59"/>
      <c r="E134" s="59"/>
      <c r="F134" s="59"/>
      <c r="G134" s="59"/>
      <c r="H134" s="59"/>
      <c r="I134" s="49">
        <f t="shared" ref="I134:O134" si="7">COUNTIF((I1:I128),7)</f>
        <v>0</v>
      </c>
      <c r="J134" s="49">
        <f t="shared" si="7"/>
        <v>0</v>
      </c>
      <c r="K134" s="49">
        <f t="shared" si="7"/>
        <v>0</v>
      </c>
      <c r="L134" s="49">
        <f t="shared" si="7"/>
        <v>0</v>
      </c>
      <c r="M134" s="49">
        <f t="shared" si="7"/>
        <v>0</v>
      </c>
      <c r="N134" s="49">
        <f t="shared" si="7"/>
        <v>0</v>
      </c>
      <c r="O134" s="49">
        <f t="shared" si="7"/>
        <v>0</v>
      </c>
      <c r="P134" s="49"/>
      <c r="Q134" s="49"/>
      <c r="W134" s="29"/>
      <c r="AA134" s="22"/>
      <c r="AB134" s="65"/>
      <c r="AC134" s="30"/>
      <c r="AD134" s="30"/>
      <c r="AN134" s="72"/>
      <c r="AO134" s="73"/>
      <c r="AP134" s="76"/>
      <c r="AQ134" s="77"/>
      <c r="AR134" s="58"/>
      <c r="AS134" s="58"/>
      <c r="AT134" s="58"/>
      <c r="AU134" s="58"/>
      <c r="AV134" s="77"/>
      <c r="AW134" s="77"/>
      <c r="AX134" s="58"/>
      <c r="AY134" s="58"/>
      <c r="AZ134" s="58"/>
      <c r="BA134" s="58"/>
      <c r="BB134" s="58"/>
      <c r="BC134" s="58"/>
      <c r="BD134" s="58"/>
      <c r="BE134" s="58"/>
      <c r="BF134" s="77"/>
      <c r="BG134" s="77"/>
    </row>
    <row r="135" spans="1:59" ht="18.75">
      <c r="A135" s="51"/>
      <c r="C135" s="51"/>
      <c r="D135" s="59"/>
      <c r="E135" s="59"/>
      <c r="F135" s="59"/>
      <c r="G135" s="59"/>
      <c r="H135" s="59"/>
      <c r="I135" s="49">
        <f t="shared" ref="I135:O135" si="8">COUNTIF((I1:I128),5)</f>
        <v>5</v>
      </c>
      <c r="J135" s="49">
        <f t="shared" si="8"/>
        <v>0</v>
      </c>
      <c r="K135" s="49">
        <f t="shared" si="8"/>
        <v>0</v>
      </c>
      <c r="L135" s="49">
        <f t="shared" si="8"/>
        <v>0</v>
      </c>
      <c r="M135" s="49">
        <f t="shared" si="8"/>
        <v>0</v>
      </c>
      <c r="N135" s="49">
        <f t="shared" si="8"/>
        <v>0</v>
      </c>
      <c r="O135" s="49">
        <f t="shared" si="8"/>
        <v>0</v>
      </c>
      <c r="P135" s="49"/>
      <c r="Q135" s="49"/>
      <c r="W135" s="29"/>
      <c r="AA135" s="22"/>
      <c r="AB135" s="65"/>
      <c r="AC135" s="30"/>
      <c r="AD135" s="30"/>
      <c r="AN135" s="72"/>
      <c r="AO135" s="73"/>
      <c r="AP135" s="76"/>
      <c r="AQ135" s="77"/>
      <c r="AR135" s="58"/>
      <c r="AS135" s="58"/>
      <c r="AT135" s="58"/>
      <c r="AU135" s="58"/>
      <c r="AV135" s="77"/>
      <c r="AW135" s="77"/>
      <c r="AX135" s="58"/>
      <c r="AY135" s="58"/>
      <c r="AZ135" s="58"/>
      <c r="BA135" s="58"/>
      <c r="BB135" s="58"/>
      <c r="BC135" s="58"/>
      <c r="BD135" s="58"/>
      <c r="BE135" s="58"/>
      <c r="BF135" s="77"/>
      <c r="BG135" s="77"/>
    </row>
    <row r="136" spans="1:59" ht="18.75">
      <c r="A136" s="51"/>
      <c r="C136" s="51"/>
      <c r="D136" s="59"/>
      <c r="E136" s="59"/>
      <c r="F136" s="59"/>
      <c r="G136" s="59"/>
      <c r="H136" s="59"/>
      <c r="I136" s="49">
        <f t="shared" ref="I136:O136" si="9">COUNTIF((I1:I128),3)</f>
        <v>2</v>
      </c>
      <c r="J136" s="49">
        <f t="shared" si="9"/>
        <v>0</v>
      </c>
      <c r="K136" s="49">
        <f t="shared" si="9"/>
        <v>0</v>
      </c>
      <c r="L136" s="49">
        <f t="shared" si="9"/>
        <v>0</v>
      </c>
      <c r="M136" s="49">
        <f t="shared" si="9"/>
        <v>0</v>
      </c>
      <c r="N136" s="49">
        <f t="shared" si="9"/>
        <v>0</v>
      </c>
      <c r="O136" s="49">
        <f t="shared" si="9"/>
        <v>0</v>
      </c>
      <c r="P136" s="49"/>
      <c r="Q136" s="49"/>
      <c r="S136" s="29"/>
      <c r="W136" s="29"/>
      <c r="AA136" s="22"/>
      <c r="AB136" s="65"/>
      <c r="AC136" s="30"/>
      <c r="AD136" s="30"/>
      <c r="AN136" s="72"/>
      <c r="AO136" s="73"/>
      <c r="AP136" s="76"/>
      <c r="AQ136" s="77"/>
      <c r="AR136" s="58"/>
      <c r="AS136" s="58"/>
      <c r="AT136" s="58"/>
      <c r="AU136" s="58"/>
      <c r="AV136" s="77"/>
      <c r="AW136" s="77"/>
      <c r="AX136" s="58"/>
      <c r="AY136" s="58"/>
      <c r="AZ136" s="58"/>
      <c r="BA136" s="58"/>
      <c r="BB136" s="58"/>
      <c r="BC136" s="58"/>
      <c r="BD136" s="58"/>
      <c r="BE136" s="58"/>
      <c r="BF136" s="77"/>
      <c r="BG136" s="77"/>
    </row>
    <row r="137" spans="1:59" ht="18.75">
      <c r="A137" s="51"/>
      <c r="C137" s="51"/>
      <c r="S137" s="29"/>
      <c r="AA137" s="22"/>
      <c r="AB137" s="65"/>
      <c r="AC137" s="30"/>
      <c r="AD137" s="30"/>
      <c r="AN137" s="72"/>
      <c r="AO137" s="73"/>
      <c r="AP137" s="76"/>
      <c r="AQ137" s="77"/>
      <c r="AR137" s="58"/>
      <c r="AS137" s="58"/>
      <c r="AT137" s="58"/>
      <c r="AU137" s="58"/>
      <c r="AV137" s="77"/>
      <c r="AW137" s="77"/>
      <c r="AX137" s="58"/>
      <c r="AY137" s="58"/>
      <c r="AZ137" s="58"/>
      <c r="BA137" s="58"/>
      <c r="BB137" s="58"/>
      <c r="BC137" s="58"/>
      <c r="BD137" s="58"/>
      <c r="BE137" s="58"/>
      <c r="BF137" s="77"/>
      <c r="BG137" s="77"/>
    </row>
    <row r="138" spans="1:59">
      <c r="D138" s="45"/>
      <c r="E138" s="45"/>
      <c r="F138" s="45"/>
      <c r="G138" s="45"/>
      <c r="H138" s="45"/>
      <c r="I138" s="45"/>
      <c r="J138" s="45"/>
      <c r="K138" s="45"/>
      <c r="L138" s="45"/>
      <c r="M138" s="45"/>
      <c r="N138" s="45"/>
      <c r="O138" s="45"/>
      <c r="AN138" s="72"/>
      <c r="AO138" s="73"/>
      <c r="AP138" s="76"/>
      <c r="AQ138" s="77"/>
      <c r="AR138" s="58"/>
      <c r="AS138" s="58"/>
      <c r="AT138" s="58"/>
      <c r="AU138" s="58"/>
      <c r="AV138" s="77"/>
      <c r="AW138" s="77"/>
      <c r="AX138" s="58"/>
      <c r="AY138" s="58"/>
      <c r="AZ138" s="58"/>
      <c r="BA138" s="58"/>
      <c r="BB138" s="58"/>
      <c r="BC138" s="58"/>
      <c r="BD138" s="58"/>
      <c r="BE138" s="58"/>
      <c r="BF138" s="77"/>
      <c r="BG138" s="77"/>
    </row>
    <row r="139" spans="1:59">
      <c r="D139" s="45"/>
      <c r="E139" s="45"/>
      <c r="F139" s="45"/>
      <c r="G139" s="45"/>
      <c r="H139" s="45"/>
      <c r="I139" s="45"/>
      <c r="J139" s="45"/>
      <c r="K139" s="45"/>
      <c r="L139" s="45"/>
      <c r="M139" s="45"/>
      <c r="N139" s="45"/>
      <c r="O139" s="45"/>
      <c r="AN139" s="72"/>
      <c r="AO139" s="73"/>
      <c r="AP139" s="76"/>
      <c r="AQ139" s="77"/>
      <c r="AR139" s="58"/>
      <c r="AS139" s="58"/>
      <c r="AT139" s="58"/>
      <c r="AU139" s="58"/>
      <c r="AV139" s="77"/>
      <c r="AW139" s="77"/>
      <c r="AX139" s="58"/>
      <c r="AY139" s="58"/>
      <c r="AZ139" s="58"/>
      <c r="BA139" s="58"/>
      <c r="BB139" s="58"/>
      <c r="BC139" s="58"/>
      <c r="BD139" s="58"/>
      <c r="BE139" s="58"/>
      <c r="BF139" s="77"/>
      <c r="BG139" s="77"/>
    </row>
    <row r="140" spans="1:59">
      <c r="D140" s="45"/>
      <c r="E140" s="45"/>
      <c r="F140" s="45"/>
      <c r="G140" s="45"/>
      <c r="H140" s="45"/>
      <c r="I140" s="45"/>
      <c r="J140" s="45"/>
      <c r="K140" s="45"/>
      <c r="L140" s="45"/>
      <c r="M140" s="45"/>
      <c r="N140" s="45"/>
      <c r="O140" s="45"/>
      <c r="AN140" s="72"/>
      <c r="AO140" s="73"/>
      <c r="AP140" s="76"/>
      <c r="AQ140" s="77"/>
      <c r="AR140" s="58"/>
      <c r="AS140" s="58"/>
      <c r="AT140" s="58"/>
      <c r="AU140" s="58"/>
      <c r="AV140" s="77"/>
      <c r="AW140" s="77"/>
      <c r="AX140" s="58"/>
      <c r="AY140" s="58"/>
      <c r="AZ140" s="58"/>
      <c r="BA140" s="58"/>
      <c r="BB140" s="58"/>
      <c r="BC140" s="58"/>
      <c r="BD140" s="58"/>
      <c r="BE140" s="58"/>
      <c r="BF140" s="77"/>
      <c r="BG140" s="77"/>
    </row>
    <row r="141" spans="1:59">
      <c r="D141" s="45"/>
      <c r="E141" s="45"/>
      <c r="F141" s="45"/>
      <c r="G141" s="45"/>
      <c r="H141" s="45"/>
      <c r="I141" s="45"/>
      <c r="J141" s="45"/>
      <c r="K141" s="45"/>
      <c r="L141" s="45"/>
      <c r="M141" s="45"/>
      <c r="N141" s="45"/>
      <c r="O141" s="45"/>
      <c r="AN141" s="72"/>
      <c r="AO141" s="73"/>
      <c r="AP141" s="76"/>
      <c r="AQ141" s="77"/>
      <c r="AR141" s="58"/>
      <c r="AS141" s="58"/>
      <c r="AT141" s="58"/>
      <c r="AU141" s="58"/>
      <c r="AV141" s="77"/>
      <c r="AW141" s="77"/>
      <c r="AX141" s="58"/>
      <c r="AY141" s="58"/>
      <c r="AZ141" s="58"/>
      <c r="BA141" s="58"/>
      <c r="BB141" s="58"/>
      <c r="BC141" s="58"/>
      <c r="BD141" s="58"/>
      <c r="BE141" s="58"/>
      <c r="BF141" s="77"/>
      <c r="BG141" s="77"/>
    </row>
    <row r="142" spans="1:59">
      <c r="D142" s="45"/>
      <c r="E142" s="45"/>
      <c r="F142" s="45"/>
      <c r="G142" s="45"/>
      <c r="H142" s="45"/>
      <c r="I142" s="45"/>
      <c r="J142" s="45"/>
      <c r="K142" s="45"/>
      <c r="L142" s="45"/>
      <c r="M142" s="45"/>
      <c r="N142" s="45"/>
      <c r="O142" s="45"/>
      <c r="AN142" s="72"/>
      <c r="AO142" s="73"/>
      <c r="AP142" s="76"/>
      <c r="AQ142" s="77"/>
      <c r="AR142" s="58"/>
      <c r="AS142" s="58"/>
      <c r="AT142" s="58"/>
      <c r="AU142" s="58"/>
      <c r="AV142" s="77"/>
      <c r="AW142" s="77"/>
      <c r="AX142" s="58"/>
      <c r="AY142" s="58"/>
      <c r="AZ142" s="58"/>
      <c r="BA142" s="58"/>
      <c r="BB142" s="58"/>
      <c r="BC142" s="58"/>
      <c r="BD142" s="58"/>
      <c r="BE142" s="58"/>
      <c r="BF142" s="77"/>
      <c r="BG142" s="77"/>
    </row>
    <row r="143" spans="1:59">
      <c r="D143" s="45"/>
      <c r="E143" s="45"/>
      <c r="F143" s="45"/>
      <c r="G143" s="45"/>
      <c r="H143" s="45"/>
      <c r="I143" s="45"/>
      <c r="J143" s="45"/>
      <c r="K143" s="45"/>
      <c r="L143" s="45"/>
      <c r="M143" s="45"/>
      <c r="N143" s="45"/>
      <c r="O143" s="45"/>
      <c r="AN143" s="72"/>
      <c r="AO143" s="73"/>
      <c r="AP143" s="76"/>
      <c r="AQ143" s="77"/>
      <c r="AR143" s="58"/>
      <c r="AS143" s="58"/>
      <c r="AT143" s="58"/>
      <c r="AU143" s="58"/>
      <c r="AV143" s="77"/>
      <c r="AW143" s="77"/>
      <c r="AX143" s="58"/>
      <c r="AY143" s="58"/>
      <c r="AZ143" s="58"/>
      <c r="BA143" s="58"/>
      <c r="BB143" s="58"/>
      <c r="BC143" s="58"/>
      <c r="BD143" s="58"/>
      <c r="BE143" s="58"/>
      <c r="BF143" s="77"/>
      <c r="BG143" s="77"/>
    </row>
    <row r="144" spans="1:59">
      <c r="D144" s="45"/>
      <c r="E144" s="45"/>
      <c r="F144" s="45"/>
      <c r="G144" s="45"/>
      <c r="H144" s="45"/>
      <c r="I144" s="45"/>
      <c r="J144" s="45"/>
      <c r="K144" s="45"/>
      <c r="L144" s="45"/>
      <c r="M144" s="45"/>
      <c r="N144" s="45"/>
      <c r="O144" s="45"/>
      <c r="AN144" s="72"/>
      <c r="AO144" s="73"/>
      <c r="AP144" s="76"/>
      <c r="AQ144" s="77"/>
      <c r="AR144" s="58"/>
      <c r="AS144" s="58"/>
      <c r="AT144" s="58"/>
      <c r="AU144" s="58"/>
      <c r="AV144" s="77"/>
      <c r="AW144" s="77"/>
      <c r="AX144" s="58"/>
      <c r="AY144" s="58"/>
      <c r="AZ144" s="58"/>
      <c r="BA144" s="58"/>
      <c r="BB144" s="58"/>
      <c r="BC144" s="58"/>
      <c r="BD144" s="58"/>
      <c r="BE144" s="58"/>
      <c r="BF144" s="77"/>
      <c r="BG144" s="77"/>
    </row>
    <row r="145" spans="40:59">
      <c r="AN145" s="72"/>
      <c r="AO145" s="73"/>
      <c r="AP145" s="76"/>
      <c r="AQ145" s="77"/>
      <c r="AR145" s="58"/>
      <c r="AS145" s="58"/>
      <c r="AT145" s="58"/>
      <c r="AU145" s="58"/>
      <c r="AV145" s="77"/>
      <c r="AW145" s="77"/>
      <c r="AX145" s="58"/>
      <c r="AY145" s="58"/>
      <c r="AZ145" s="58"/>
      <c r="BA145" s="58"/>
      <c r="BB145" s="58"/>
      <c r="BC145" s="58"/>
      <c r="BD145" s="58"/>
      <c r="BE145" s="58"/>
      <c r="BF145" s="77"/>
      <c r="BG145" s="77"/>
    </row>
    <row r="146" spans="40:59">
      <c r="AN146" s="72"/>
      <c r="AO146" s="73"/>
      <c r="AP146" s="76"/>
      <c r="AQ146" s="77"/>
      <c r="AR146" s="58"/>
      <c r="AS146" s="58"/>
      <c r="AT146" s="58"/>
      <c r="AU146" s="58"/>
      <c r="AV146" s="77"/>
      <c r="AW146" s="77"/>
      <c r="AX146" s="58"/>
      <c r="AY146" s="58"/>
      <c r="AZ146" s="58"/>
      <c r="BA146" s="58"/>
      <c r="BB146" s="58"/>
      <c r="BC146" s="58"/>
      <c r="BD146" s="58"/>
      <c r="BE146" s="58"/>
      <c r="BF146" s="77"/>
      <c r="BG146" s="77"/>
    </row>
    <row r="147" spans="40:59">
      <c r="AN147" s="72"/>
      <c r="AO147" s="73"/>
      <c r="AP147" s="76"/>
      <c r="AQ147" s="77"/>
      <c r="AR147" s="58"/>
      <c r="AS147" s="58"/>
      <c r="AT147" s="58"/>
      <c r="AU147" s="58"/>
      <c r="AV147" s="77"/>
      <c r="AW147" s="77"/>
      <c r="AX147" s="58"/>
      <c r="AY147" s="58"/>
      <c r="AZ147" s="58"/>
      <c r="BA147" s="58"/>
      <c r="BB147" s="58"/>
      <c r="BC147" s="58"/>
      <c r="BD147" s="58"/>
      <c r="BE147" s="58"/>
      <c r="BF147" s="77"/>
      <c r="BG147" s="77"/>
    </row>
    <row r="148" spans="40:59">
      <c r="AN148" s="72"/>
      <c r="AO148" s="73"/>
      <c r="AP148" s="76"/>
      <c r="AQ148" s="77"/>
      <c r="AR148" s="58"/>
      <c r="AS148" s="58"/>
      <c r="AT148" s="58"/>
      <c r="AU148" s="58"/>
      <c r="AV148" s="77"/>
      <c r="AW148" s="77"/>
      <c r="AX148" s="58"/>
      <c r="AY148" s="58"/>
      <c r="AZ148" s="58"/>
      <c r="BA148" s="58"/>
      <c r="BB148" s="58"/>
      <c r="BC148" s="58"/>
      <c r="BD148" s="58"/>
      <c r="BE148" s="58"/>
      <c r="BF148" s="77"/>
      <c r="BG148" s="77"/>
    </row>
    <row r="149" spans="40:59">
      <c r="AN149" s="72"/>
      <c r="AO149" s="73"/>
      <c r="AP149" s="76"/>
      <c r="AQ149" s="77"/>
      <c r="AR149" s="58"/>
      <c r="AS149" s="58"/>
      <c r="AT149" s="58"/>
      <c r="AU149" s="58"/>
      <c r="AV149" s="77"/>
      <c r="AW149" s="77"/>
      <c r="AX149" s="58"/>
      <c r="AY149" s="58"/>
      <c r="AZ149" s="58"/>
      <c r="BA149" s="58"/>
      <c r="BB149" s="58"/>
      <c r="BC149" s="58"/>
      <c r="BD149" s="58"/>
      <c r="BE149" s="58"/>
      <c r="BF149" s="77"/>
      <c r="BG149" s="77"/>
    </row>
    <row r="150" spans="40:59">
      <c r="AN150" s="72"/>
      <c r="AO150" s="73"/>
      <c r="AP150" s="76"/>
      <c r="AQ150" s="77"/>
      <c r="AR150" s="58"/>
      <c r="AS150" s="58"/>
      <c r="AT150" s="58"/>
      <c r="AU150" s="58"/>
      <c r="AV150" s="77"/>
      <c r="AW150" s="77"/>
      <c r="AX150" s="58"/>
      <c r="AY150" s="58"/>
      <c r="AZ150" s="58"/>
      <c r="BA150" s="58"/>
      <c r="BB150" s="58"/>
      <c r="BC150" s="58"/>
      <c r="BD150" s="58"/>
      <c r="BE150" s="58"/>
      <c r="BF150" s="77"/>
      <c r="BG150" s="77"/>
    </row>
    <row r="151" spans="40:59">
      <c r="AN151" s="72"/>
      <c r="AO151" s="73"/>
      <c r="AP151" s="76"/>
      <c r="AQ151" s="77"/>
      <c r="AR151" s="58"/>
      <c r="AS151" s="58"/>
      <c r="AT151" s="58"/>
      <c r="AU151" s="58"/>
      <c r="AV151" s="77"/>
      <c r="AW151" s="77"/>
      <c r="AX151" s="58"/>
      <c r="AY151" s="58"/>
      <c r="AZ151" s="58"/>
      <c r="BA151" s="58"/>
      <c r="BB151" s="58"/>
      <c r="BC151" s="58"/>
      <c r="BD151" s="58"/>
      <c r="BE151" s="58"/>
      <c r="BF151" s="77"/>
      <c r="BG151" s="77"/>
    </row>
    <row r="152" spans="40:59">
      <c r="AN152" s="72"/>
      <c r="AO152" s="73"/>
      <c r="AP152" s="76"/>
      <c r="AQ152" s="77"/>
      <c r="AR152" s="58"/>
      <c r="AS152" s="58"/>
      <c r="AT152" s="58"/>
      <c r="AU152" s="58"/>
      <c r="AV152" s="77"/>
      <c r="AW152" s="77"/>
      <c r="AX152" s="58"/>
      <c r="AY152" s="58"/>
      <c r="AZ152" s="58"/>
      <c r="BA152" s="58"/>
      <c r="BB152" s="58"/>
      <c r="BC152" s="58"/>
      <c r="BD152" s="58"/>
      <c r="BE152" s="58"/>
      <c r="BF152" s="77"/>
      <c r="BG152" s="77"/>
    </row>
    <row r="153" spans="40:59">
      <c r="AN153" s="72"/>
      <c r="AO153" s="73"/>
      <c r="AP153" s="76"/>
      <c r="AQ153" s="77"/>
      <c r="AR153" s="58"/>
      <c r="AS153" s="58"/>
      <c r="AT153" s="58"/>
      <c r="AU153" s="58"/>
      <c r="AV153" s="77"/>
      <c r="AW153" s="77"/>
      <c r="AX153" s="58"/>
      <c r="AY153" s="58"/>
      <c r="AZ153" s="58"/>
      <c r="BA153" s="58"/>
      <c r="BB153" s="58"/>
      <c r="BC153" s="58"/>
      <c r="BD153" s="58"/>
      <c r="BE153" s="58"/>
      <c r="BF153" s="77"/>
      <c r="BG153" s="77"/>
    </row>
    <row r="154" spans="40:59">
      <c r="AN154" s="72"/>
      <c r="AO154" s="73"/>
      <c r="AP154" s="76"/>
      <c r="AQ154" s="77"/>
      <c r="AR154" s="58"/>
      <c r="AS154" s="58"/>
      <c r="AT154" s="58"/>
      <c r="AU154" s="58"/>
      <c r="AV154" s="77"/>
      <c r="AW154" s="77"/>
      <c r="AX154" s="58"/>
      <c r="AY154" s="58"/>
      <c r="AZ154" s="58"/>
      <c r="BA154" s="58"/>
      <c r="BB154" s="58"/>
      <c r="BC154" s="58"/>
      <c r="BD154" s="58"/>
      <c r="BE154" s="58"/>
      <c r="BF154" s="77"/>
      <c r="BG154" s="77"/>
    </row>
    <row r="155" spans="40:59">
      <c r="AN155" s="72"/>
      <c r="AO155" s="73"/>
      <c r="AP155" s="76"/>
      <c r="AQ155" s="77"/>
      <c r="AR155" s="58"/>
      <c r="AS155" s="58"/>
      <c r="AT155" s="58"/>
      <c r="AU155" s="58"/>
      <c r="AV155" s="77"/>
      <c r="AW155" s="77"/>
      <c r="AX155" s="58"/>
      <c r="AY155" s="58"/>
      <c r="AZ155" s="58"/>
      <c r="BA155" s="58"/>
      <c r="BB155" s="58"/>
      <c r="BC155" s="58"/>
      <c r="BD155" s="58"/>
      <c r="BE155" s="58"/>
      <c r="BF155" s="77"/>
      <c r="BG155" s="77"/>
    </row>
    <row r="156" spans="40:59">
      <c r="AN156" s="72"/>
      <c r="AO156" s="73"/>
      <c r="AP156" s="76"/>
      <c r="AQ156" s="77"/>
      <c r="AR156" s="58"/>
      <c r="AS156" s="58"/>
      <c r="AT156" s="58"/>
      <c r="AU156" s="58"/>
      <c r="AV156" s="77"/>
      <c r="AW156" s="77"/>
      <c r="AX156" s="58"/>
      <c r="AY156" s="58"/>
      <c r="AZ156" s="58"/>
      <c r="BA156" s="58"/>
      <c r="BB156" s="58"/>
      <c r="BC156" s="58"/>
      <c r="BD156" s="58"/>
      <c r="BE156" s="58"/>
      <c r="BF156" s="77"/>
      <c r="BG156" s="77"/>
    </row>
    <row r="157" spans="40:59">
      <c r="AN157" s="72"/>
      <c r="AO157" s="73"/>
      <c r="AP157" s="76"/>
      <c r="AQ157" s="77"/>
      <c r="AR157" s="58"/>
      <c r="AS157" s="58"/>
      <c r="AT157" s="58"/>
      <c r="AU157" s="58"/>
      <c r="AV157" s="77"/>
      <c r="AW157" s="77"/>
      <c r="AX157" s="58"/>
      <c r="AY157" s="58"/>
      <c r="AZ157" s="58"/>
      <c r="BA157" s="58"/>
      <c r="BB157" s="58"/>
      <c r="BC157" s="58"/>
      <c r="BD157" s="58"/>
      <c r="BE157" s="58"/>
      <c r="BF157" s="77"/>
      <c r="BG157" s="77"/>
    </row>
    <row r="158" spans="40:59">
      <c r="AN158" s="72"/>
      <c r="AO158" s="73"/>
      <c r="AP158" s="76"/>
      <c r="AQ158" s="77"/>
      <c r="AR158" s="58"/>
      <c r="AS158" s="58"/>
      <c r="AT158" s="58"/>
      <c r="AU158" s="58"/>
      <c r="AV158" s="77"/>
      <c r="AW158" s="77"/>
      <c r="AX158" s="58"/>
      <c r="AY158" s="58"/>
      <c r="AZ158" s="58"/>
      <c r="BA158" s="58"/>
      <c r="BB158" s="58"/>
      <c r="BC158" s="58"/>
      <c r="BD158" s="58"/>
      <c r="BE158" s="58"/>
      <c r="BF158" s="77"/>
      <c r="BG158" s="77"/>
    </row>
    <row r="159" spans="40:59">
      <c r="AN159" s="72"/>
      <c r="AO159" s="73"/>
      <c r="AP159" s="76"/>
      <c r="AQ159" s="77"/>
      <c r="AR159" s="58"/>
      <c r="AS159" s="58"/>
      <c r="AT159" s="58"/>
      <c r="AU159" s="58"/>
      <c r="AV159" s="77"/>
      <c r="AW159" s="77"/>
      <c r="AX159" s="58"/>
      <c r="AY159" s="58"/>
      <c r="AZ159" s="58"/>
      <c r="BA159" s="58"/>
      <c r="BB159" s="58"/>
      <c r="BC159" s="58"/>
      <c r="BD159" s="58"/>
      <c r="BE159" s="58"/>
      <c r="BF159" s="77"/>
      <c r="BG159" s="77"/>
    </row>
    <row r="160" spans="40:59">
      <c r="AN160" s="72"/>
      <c r="AO160" s="73"/>
      <c r="AP160" s="76"/>
      <c r="AQ160" s="77"/>
      <c r="AR160" s="58"/>
      <c r="AS160" s="58"/>
      <c r="AT160" s="58"/>
      <c r="AU160" s="58"/>
      <c r="AV160" s="77"/>
      <c r="AW160" s="77"/>
      <c r="AX160" s="58"/>
      <c r="AY160" s="58"/>
      <c r="AZ160" s="58"/>
      <c r="BA160" s="58"/>
      <c r="BB160" s="58"/>
      <c r="BC160" s="58"/>
      <c r="BD160" s="58"/>
      <c r="BE160" s="58"/>
      <c r="BF160" s="77"/>
      <c r="BG160" s="77"/>
    </row>
    <row r="161" spans="40:59">
      <c r="AN161" s="72"/>
      <c r="AO161" s="73"/>
      <c r="AP161" s="76"/>
      <c r="AQ161" s="77"/>
      <c r="AR161" s="58"/>
      <c r="AS161" s="58"/>
      <c r="AT161" s="58"/>
      <c r="AU161" s="58"/>
      <c r="AV161" s="77"/>
      <c r="AW161" s="77"/>
      <c r="AX161" s="58"/>
      <c r="AY161" s="58"/>
      <c r="AZ161" s="58"/>
      <c r="BA161" s="58"/>
      <c r="BB161" s="58"/>
      <c r="BC161" s="58"/>
      <c r="BD161" s="58"/>
      <c r="BE161" s="58"/>
      <c r="BF161" s="77"/>
      <c r="BG161" s="77"/>
    </row>
    <row r="162" spans="40:59">
      <c r="AN162" s="72"/>
      <c r="AO162" s="73"/>
      <c r="AP162" s="76"/>
      <c r="AQ162" s="77"/>
      <c r="AR162" s="58"/>
      <c r="AS162" s="58"/>
      <c r="AT162" s="58"/>
      <c r="AU162" s="58"/>
      <c r="AV162" s="77"/>
      <c r="AW162" s="77"/>
      <c r="AX162" s="58"/>
      <c r="AY162" s="58"/>
      <c r="AZ162" s="58"/>
      <c r="BA162" s="58"/>
      <c r="BB162" s="58"/>
      <c r="BC162" s="58"/>
      <c r="BD162" s="58"/>
      <c r="BE162" s="58"/>
      <c r="BF162" s="77"/>
      <c r="BG162" s="77"/>
    </row>
    <row r="163" spans="40:59">
      <c r="AN163" s="72"/>
      <c r="AO163" s="73"/>
      <c r="AP163" s="76"/>
      <c r="AQ163" s="77"/>
      <c r="AR163" s="58"/>
      <c r="AS163" s="58"/>
      <c r="AT163" s="58"/>
      <c r="AU163" s="58"/>
      <c r="AV163" s="77"/>
      <c r="AW163" s="77"/>
      <c r="AX163" s="58"/>
      <c r="AY163" s="58"/>
      <c r="AZ163" s="58"/>
      <c r="BA163" s="58"/>
      <c r="BB163" s="58"/>
      <c r="BC163" s="58"/>
      <c r="BD163" s="58"/>
      <c r="BE163" s="58"/>
      <c r="BF163" s="77"/>
      <c r="BG163" s="77"/>
    </row>
    <row r="164" spans="40:59">
      <c r="AN164" s="72"/>
      <c r="AO164" s="73"/>
      <c r="AP164" s="76"/>
      <c r="AQ164" s="77"/>
      <c r="AR164" s="58"/>
      <c r="AS164" s="58"/>
      <c r="AT164" s="58"/>
      <c r="AU164" s="58"/>
      <c r="AV164" s="77"/>
      <c r="AW164" s="77"/>
      <c r="AX164" s="58"/>
      <c r="AY164" s="58"/>
      <c r="AZ164" s="58"/>
      <c r="BA164" s="58"/>
      <c r="BB164" s="58"/>
      <c r="BC164" s="58"/>
      <c r="BD164" s="58"/>
      <c r="BE164" s="58"/>
      <c r="BF164" s="77"/>
      <c r="BG164" s="77"/>
    </row>
    <row r="165" spans="40:59">
      <c r="AO165" s="56"/>
      <c r="AP165" s="63"/>
      <c r="AQ165" s="56"/>
      <c r="AR165" s="58"/>
      <c r="AS165" s="58"/>
      <c r="AT165" s="58"/>
      <c r="AU165" s="58"/>
      <c r="AV165" s="56"/>
      <c r="AW165" s="56"/>
      <c r="AX165" s="58"/>
      <c r="AY165" s="58"/>
      <c r="AZ165" s="58"/>
      <c r="BA165" s="58"/>
      <c r="BB165" s="58"/>
      <c r="BC165" s="58"/>
      <c r="BD165" s="58"/>
      <c r="BE165" s="58"/>
      <c r="BF165" s="56"/>
      <c r="BG165" s="56"/>
    </row>
    <row r="166" spans="40:59">
      <c r="AO166" s="56"/>
      <c r="AP166" s="63"/>
      <c r="AQ166" s="56"/>
      <c r="AR166" s="58"/>
      <c r="AS166" s="58"/>
      <c r="AT166" s="58"/>
      <c r="AU166" s="58"/>
      <c r="AV166" s="56"/>
      <c r="AW166" s="56"/>
      <c r="AX166" s="58"/>
      <c r="AY166" s="58"/>
      <c r="AZ166" s="58"/>
      <c r="BA166" s="58"/>
      <c r="BB166" s="58"/>
      <c r="BC166" s="58"/>
      <c r="BD166" s="58"/>
      <c r="BE166" s="58"/>
      <c r="BF166" s="56"/>
      <c r="BG166" s="56"/>
    </row>
    <row r="167" spans="40:59">
      <c r="AO167" s="56"/>
      <c r="AP167" s="63"/>
      <c r="AQ167" s="56"/>
      <c r="AR167" s="58"/>
      <c r="AS167" s="58"/>
      <c r="AT167" s="58"/>
      <c r="AU167" s="58"/>
      <c r="AV167" s="56"/>
      <c r="AW167" s="56"/>
      <c r="AX167" s="58"/>
      <c r="AY167" s="58"/>
      <c r="AZ167" s="58"/>
      <c r="BA167" s="58"/>
      <c r="BB167" s="58"/>
      <c r="BC167" s="58"/>
      <c r="BD167" s="58"/>
      <c r="BE167" s="58"/>
      <c r="BF167" s="56"/>
      <c r="BG167" s="56"/>
    </row>
    <row r="168" spans="40:59">
      <c r="AO168" s="57"/>
      <c r="AP168" s="57"/>
      <c r="AQ168" s="57"/>
      <c r="AR168" s="57"/>
      <c r="AS168" s="57"/>
      <c r="AT168" s="57"/>
      <c r="AU168" s="57"/>
      <c r="AV168" s="57"/>
      <c r="AW168" s="57"/>
      <c r="AX168" s="57"/>
      <c r="AY168" s="57"/>
      <c r="AZ168" s="57"/>
      <c r="BA168" s="57"/>
      <c r="BB168" s="57"/>
      <c r="BC168" s="57"/>
      <c r="BD168" s="57"/>
      <c r="BE168" s="57"/>
      <c r="BF168" s="57"/>
      <c r="BG168" s="57"/>
    </row>
    <row r="169" spans="40:59">
      <c r="AO169" s="56"/>
      <c r="AP169" s="63"/>
      <c r="AQ169" s="56"/>
      <c r="AR169" s="58"/>
      <c r="AS169" s="58"/>
      <c r="AT169" s="58"/>
      <c r="AU169" s="58"/>
      <c r="AV169" s="56"/>
      <c r="AW169" s="56"/>
      <c r="AX169" s="58"/>
      <c r="AY169" s="58"/>
      <c r="AZ169" s="58"/>
      <c r="BA169" s="58"/>
      <c r="BB169" s="58"/>
      <c r="BC169" s="58"/>
      <c r="BD169" s="58"/>
      <c r="BE169" s="58"/>
      <c r="BF169" s="56"/>
      <c r="BG169" s="56"/>
    </row>
    <row r="170" spans="40:59">
      <c r="AN170" s="61"/>
      <c r="AO170" s="58"/>
      <c r="AP170" s="94"/>
      <c r="AQ170" s="58"/>
      <c r="AR170" s="58"/>
      <c r="AS170" s="58"/>
      <c r="AT170" s="58"/>
      <c r="AU170" s="58"/>
      <c r="AV170" s="58"/>
      <c r="AW170" s="58"/>
      <c r="AX170" s="58"/>
      <c r="AY170" s="58"/>
      <c r="AZ170" s="58"/>
      <c r="BA170" s="58"/>
      <c r="BB170" s="58"/>
      <c r="BC170" s="58"/>
      <c r="BD170" s="58"/>
      <c r="BE170" s="58"/>
      <c r="BF170" s="58"/>
      <c r="BG170" s="58"/>
    </row>
    <row r="171" spans="40:59">
      <c r="AN171" s="82"/>
      <c r="AO171" s="99"/>
      <c r="AP171" s="61"/>
      <c r="AQ171" s="99"/>
      <c r="AV171" s="99"/>
      <c r="AW171" s="99"/>
      <c r="BF171" s="99"/>
      <c r="BG171" s="99"/>
    </row>
    <row r="172" spans="40:59">
      <c r="AN172" s="82"/>
      <c r="AO172" s="99"/>
      <c r="AP172" s="61"/>
      <c r="AQ172" s="99"/>
      <c r="AV172" s="99"/>
      <c r="AW172" s="99"/>
      <c r="BF172" s="99"/>
      <c r="BG172" s="99"/>
    </row>
    <row r="173" spans="40:59">
      <c r="AN173" s="82"/>
      <c r="AO173" s="99"/>
      <c r="AP173" s="61"/>
      <c r="AQ173" s="99"/>
      <c r="AV173" s="99"/>
      <c r="AW173" s="99"/>
      <c r="BF173" s="99"/>
      <c r="BG173" s="99"/>
    </row>
    <row r="174" spans="40:59">
      <c r="AN174" s="82"/>
      <c r="AO174" s="99"/>
      <c r="AP174" s="61"/>
      <c r="AQ174" s="99"/>
      <c r="AV174" s="99"/>
      <c r="AW174" s="99"/>
      <c r="BF174" s="99"/>
      <c r="BG174" s="99"/>
    </row>
    <row r="175" spans="40:59">
      <c r="AN175" s="82"/>
      <c r="AO175" s="99"/>
      <c r="AP175" s="61"/>
      <c r="AQ175" s="99"/>
      <c r="AV175" s="99"/>
      <c r="AW175" s="99"/>
      <c r="BF175" s="99"/>
      <c r="BG175" s="99"/>
    </row>
    <row r="176" spans="40:59">
      <c r="AN176" s="82"/>
      <c r="AO176" s="99"/>
      <c r="AP176" s="61"/>
      <c r="AQ176" s="99"/>
      <c r="AV176" s="99"/>
      <c r="AW176" s="99"/>
      <c r="BF176" s="99"/>
      <c r="BG176" s="99"/>
    </row>
    <row r="177" spans="40:59">
      <c r="AN177" s="82"/>
      <c r="AO177" s="99"/>
      <c r="AP177" s="61"/>
      <c r="AQ177" s="99"/>
      <c r="AV177" s="99"/>
      <c r="AW177" s="99"/>
      <c r="BF177" s="99"/>
      <c r="BG177" s="99"/>
    </row>
    <row r="178" spans="40:59">
      <c r="AN178" s="82"/>
      <c r="AO178" s="99"/>
      <c r="AP178" s="61"/>
      <c r="AQ178" s="99"/>
      <c r="AV178" s="99"/>
      <c r="AW178" s="99"/>
      <c r="BF178" s="99"/>
      <c r="BG178" s="99"/>
    </row>
    <row r="179" spans="40:59">
      <c r="AN179" s="82"/>
      <c r="AO179" s="99"/>
      <c r="AP179" s="61"/>
      <c r="AQ179" s="99"/>
      <c r="AV179" s="99"/>
      <c r="AW179" s="99"/>
      <c r="BF179" s="99"/>
      <c r="BG179" s="99"/>
    </row>
    <row r="180" spans="40:59">
      <c r="AN180" s="82"/>
      <c r="AO180" s="99"/>
      <c r="AP180" s="61"/>
      <c r="AQ180" s="99"/>
      <c r="AV180" s="99"/>
      <c r="AW180" s="99"/>
      <c r="BF180" s="99"/>
      <c r="BG180" s="99"/>
    </row>
    <row r="181" spans="40:59">
      <c r="AN181" s="82"/>
      <c r="AO181" s="99"/>
      <c r="AP181" s="61"/>
      <c r="AQ181" s="99"/>
      <c r="AV181" s="99"/>
      <c r="AW181" s="99"/>
      <c r="BF181" s="99"/>
      <c r="BG181" s="99"/>
    </row>
    <row r="182" spans="40:59">
      <c r="AN182" s="82"/>
      <c r="AO182" s="99"/>
      <c r="AP182" s="61"/>
      <c r="AQ182" s="99"/>
      <c r="AV182" s="99"/>
      <c r="AW182" s="99"/>
      <c r="BF182" s="99"/>
      <c r="BG182" s="99"/>
    </row>
    <row r="183" spans="40:59">
      <c r="AN183" s="82"/>
      <c r="AO183" s="99"/>
      <c r="AP183" s="61"/>
      <c r="AQ183" s="99"/>
      <c r="AV183" s="99"/>
      <c r="AW183" s="99"/>
      <c r="BF183" s="99"/>
      <c r="BG183" s="99"/>
    </row>
    <row r="184" spans="40:59">
      <c r="AN184" s="82"/>
      <c r="AO184" s="99"/>
      <c r="AP184" s="61"/>
      <c r="AQ184" s="99"/>
      <c r="AV184" s="99"/>
      <c r="AW184" s="99"/>
      <c r="BF184" s="99"/>
      <c r="BG184" s="99"/>
    </row>
    <row r="185" spans="40:59">
      <c r="AN185" s="82"/>
      <c r="AO185" s="99"/>
      <c r="AP185" s="61"/>
      <c r="AQ185" s="99"/>
      <c r="AV185" s="99"/>
      <c r="AW185" s="99"/>
      <c r="BF185" s="99"/>
      <c r="BG185" s="99"/>
    </row>
    <row r="186" spans="40:59">
      <c r="AN186" s="82"/>
      <c r="AO186" s="99"/>
      <c r="AP186" s="61"/>
      <c r="AQ186" s="99"/>
      <c r="AV186" s="99"/>
      <c r="AW186" s="99"/>
      <c r="BF186" s="99"/>
      <c r="BG186" s="99"/>
    </row>
    <row r="187" spans="40:59">
      <c r="AN187" s="82"/>
      <c r="AO187" s="99"/>
      <c r="AP187" s="61"/>
      <c r="AQ187" s="99"/>
      <c r="AV187" s="99"/>
      <c r="AW187" s="99"/>
      <c r="BF187" s="99"/>
      <c r="BG187" s="99"/>
    </row>
    <row r="188" spans="40:59">
      <c r="AN188" s="82"/>
      <c r="AO188" s="99"/>
      <c r="AP188" s="61"/>
      <c r="AQ188" s="99"/>
      <c r="AV188" s="99"/>
      <c r="AW188" s="99"/>
      <c r="BF188" s="99"/>
      <c r="BG188" s="99"/>
    </row>
    <row r="189" spans="40:59">
      <c r="AN189" s="82"/>
      <c r="AO189" s="99"/>
      <c r="AP189" s="61"/>
      <c r="AQ189" s="99"/>
      <c r="AV189" s="99"/>
      <c r="AW189" s="99"/>
      <c r="BF189" s="99"/>
      <c r="BG189" s="99"/>
    </row>
    <row r="190" spans="40:59">
      <c r="AN190" s="82"/>
      <c r="AO190" s="99"/>
      <c r="AP190" s="61"/>
      <c r="AQ190" s="99"/>
      <c r="AV190" s="99"/>
      <c r="AW190" s="99"/>
      <c r="BF190" s="99"/>
      <c r="BG190" s="99"/>
    </row>
    <row r="191" spans="40:59">
      <c r="AN191" s="82"/>
      <c r="AO191" s="99"/>
      <c r="AP191" s="61"/>
      <c r="AQ191" s="99"/>
      <c r="AV191" s="99"/>
      <c r="AW191" s="99"/>
      <c r="BF191" s="99"/>
      <c r="BG191" s="99"/>
    </row>
    <row r="192" spans="40:59">
      <c r="AN192" s="82"/>
      <c r="AO192" s="99"/>
      <c r="AP192" s="61"/>
      <c r="AQ192" s="99"/>
      <c r="AV192" s="99"/>
      <c r="AW192" s="99"/>
      <c r="BF192" s="99"/>
      <c r="BG192" s="99"/>
    </row>
    <row r="193" spans="4:59">
      <c r="AN193" s="82"/>
      <c r="AO193" s="99"/>
      <c r="AP193" s="61"/>
      <c r="AQ193" s="99"/>
      <c r="AV193" s="99"/>
      <c r="AW193" s="99"/>
      <c r="BF193" s="99"/>
      <c r="BG193" s="99"/>
    </row>
    <row r="194" spans="4:59">
      <c r="AN194" s="82"/>
      <c r="AO194" s="99"/>
      <c r="AP194" s="61"/>
      <c r="AQ194" s="99"/>
      <c r="AV194" s="99"/>
      <c r="AW194" s="99"/>
      <c r="BF194" s="99"/>
      <c r="BG194" s="99"/>
    </row>
    <row r="195" spans="4:59">
      <c r="AN195" s="82"/>
      <c r="AO195" s="99"/>
      <c r="AP195" s="61"/>
      <c r="AQ195" s="99"/>
      <c r="AV195" s="99"/>
      <c r="AW195" s="99"/>
      <c r="BF195" s="99"/>
      <c r="BG195" s="99"/>
    </row>
    <row r="196" spans="4:59">
      <c r="AN196" s="82"/>
      <c r="AO196" s="99"/>
      <c r="AP196" s="61"/>
      <c r="AQ196" s="99"/>
      <c r="AV196" s="99"/>
      <c r="AW196" s="99"/>
      <c r="BF196" s="99"/>
      <c r="BG196" s="99"/>
    </row>
    <row r="197" spans="4:59">
      <c r="AN197" s="82"/>
      <c r="AO197" s="99"/>
      <c r="AP197" s="61"/>
      <c r="AQ197" s="99"/>
      <c r="AV197" s="99"/>
      <c r="AW197" s="99"/>
      <c r="BF197" s="99"/>
      <c r="BG197" s="99"/>
    </row>
    <row r="198" spans="4:59">
      <c r="AN198" s="82"/>
      <c r="AO198" s="99"/>
      <c r="AP198" s="61"/>
      <c r="AQ198" s="99"/>
      <c r="AV198" s="99"/>
      <c r="AW198" s="99"/>
      <c r="BF198" s="99"/>
      <c r="BG198" s="99"/>
    </row>
    <row r="199" spans="4:59">
      <c r="AN199" s="82"/>
      <c r="AO199" s="99"/>
      <c r="AP199" s="61"/>
      <c r="AQ199" s="99"/>
      <c r="AV199" s="99"/>
      <c r="AW199" s="99"/>
      <c r="BF199" s="99"/>
      <c r="BG199" s="99"/>
    </row>
    <row r="200" spans="4:59">
      <c r="AN200" s="82"/>
      <c r="AO200" s="99"/>
      <c r="AP200" s="61"/>
      <c r="AQ200" s="99"/>
      <c r="AV200" s="99"/>
      <c r="AW200" s="99"/>
      <c r="BF200" s="99"/>
      <c r="BG200" s="99"/>
    </row>
    <row r="201" spans="4:59">
      <c r="D201" s="45"/>
      <c r="E201" s="45"/>
      <c r="F201" s="45"/>
      <c r="G201" s="45"/>
      <c r="H201" s="45"/>
      <c r="I201" s="45"/>
      <c r="J201" s="45"/>
      <c r="K201" s="45"/>
      <c r="L201" s="45"/>
      <c r="M201" s="45"/>
      <c r="N201" s="45"/>
      <c r="O201" s="45"/>
      <c r="AN201" s="82"/>
      <c r="AO201" s="99"/>
      <c r="AP201" s="61"/>
      <c r="AQ201" s="99"/>
      <c r="AV201" s="99"/>
      <c r="AW201" s="99"/>
      <c r="BF201" s="99"/>
      <c r="BG201" s="99"/>
    </row>
    <row r="202" spans="4:59">
      <c r="D202" s="45"/>
      <c r="E202" s="45"/>
      <c r="F202" s="45"/>
      <c r="G202" s="45"/>
      <c r="H202" s="45"/>
      <c r="I202" s="45"/>
      <c r="J202" s="45"/>
      <c r="K202" s="45"/>
      <c r="L202" s="45"/>
      <c r="M202" s="45"/>
      <c r="N202" s="45"/>
      <c r="O202" s="45"/>
      <c r="AN202" s="82"/>
      <c r="AO202" s="99"/>
      <c r="AP202" s="61"/>
      <c r="AQ202" s="99"/>
      <c r="AV202" s="99"/>
      <c r="AW202" s="99"/>
      <c r="BF202" s="99"/>
      <c r="BG202" s="99"/>
    </row>
    <row r="203" spans="4:59">
      <c r="D203" s="45"/>
      <c r="E203" s="45"/>
      <c r="F203" s="45"/>
      <c r="G203" s="45"/>
      <c r="H203" s="45"/>
      <c r="I203" s="45"/>
      <c r="J203" s="45"/>
      <c r="K203" s="45"/>
      <c r="L203" s="45"/>
      <c r="M203" s="45"/>
      <c r="N203" s="45"/>
      <c r="O203" s="45"/>
      <c r="AN203" s="82"/>
      <c r="AO203" s="99"/>
      <c r="AP203" s="61"/>
      <c r="AQ203" s="99"/>
      <c r="AV203" s="99"/>
      <c r="AW203" s="99"/>
      <c r="BF203" s="99"/>
      <c r="BG203" s="99"/>
    </row>
    <row r="204" spans="4:59">
      <c r="D204" s="45"/>
      <c r="E204" s="45"/>
      <c r="F204" s="45"/>
      <c r="G204" s="45"/>
      <c r="H204" s="45"/>
      <c r="I204" s="45"/>
      <c r="J204" s="45"/>
      <c r="K204" s="45"/>
      <c r="L204" s="45"/>
      <c r="M204" s="45"/>
      <c r="N204" s="45"/>
      <c r="O204" s="45"/>
      <c r="AN204" s="82"/>
      <c r="AO204" s="99"/>
      <c r="AP204" s="61"/>
      <c r="AQ204" s="99"/>
      <c r="AV204" s="99"/>
      <c r="AW204" s="99"/>
      <c r="BF204" s="99"/>
      <c r="BG204" s="99"/>
    </row>
    <row r="205" spans="4:59">
      <c r="D205" s="45"/>
      <c r="E205" s="45"/>
      <c r="F205" s="45"/>
      <c r="G205" s="45"/>
      <c r="H205" s="45"/>
      <c r="I205" s="45"/>
      <c r="J205" s="45"/>
      <c r="K205" s="45"/>
      <c r="L205" s="45"/>
      <c r="M205" s="45"/>
      <c r="N205" s="45"/>
      <c r="O205" s="45"/>
      <c r="AN205" s="82"/>
      <c r="AO205" s="99"/>
      <c r="AP205" s="61"/>
      <c r="AQ205" s="99"/>
      <c r="AV205" s="99"/>
      <c r="AW205" s="99"/>
      <c r="BF205" s="99"/>
      <c r="BG205" s="99"/>
    </row>
    <row r="206" spans="4:59">
      <c r="D206" s="45"/>
      <c r="E206" s="45"/>
      <c r="F206" s="45"/>
      <c r="G206" s="45"/>
      <c r="H206" s="45"/>
      <c r="I206" s="45"/>
      <c r="J206" s="45"/>
      <c r="K206" s="45"/>
      <c r="L206" s="45"/>
      <c r="M206" s="45"/>
      <c r="N206" s="45"/>
      <c r="O206" s="45"/>
      <c r="AN206" s="82"/>
      <c r="AO206" s="99"/>
      <c r="AP206" s="61"/>
      <c r="AQ206" s="99"/>
      <c r="AV206" s="99"/>
      <c r="AW206" s="99"/>
      <c r="BF206" s="99"/>
      <c r="BG206" s="99"/>
    </row>
    <row r="207" spans="4:59">
      <c r="D207" s="45"/>
      <c r="E207" s="45"/>
      <c r="F207" s="45"/>
      <c r="G207" s="45"/>
      <c r="H207" s="45"/>
      <c r="I207" s="45"/>
      <c r="J207" s="45"/>
      <c r="K207" s="45"/>
      <c r="L207" s="45"/>
      <c r="M207" s="45"/>
      <c r="N207" s="45"/>
      <c r="O207" s="45"/>
      <c r="AN207" s="82"/>
      <c r="AO207" s="99"/>
      <c r="AP207" s="61"/>
      <c r="AQ207" s="99"/>
      <c r="AV207" s="99"/>
      <c r="AW207" s="99"/>
      <c r="BF207" s="99"/>
      <c r="BG207" s="99"/>
    </row>
    <row r="208" spans="4:59">
      <c r="D208" s="45"/>
      <c r="E208" s="45"/>
      <c r="F208" s="45"/>
      <c r="G208" s="45"/>
      <c r="H208" s="45"/>
      <c r="I208" s="45"/>
      <c r="J208" s="45"/>
      <c r="K208" s="45"/>
      <c r="L208" s="45"/>
      <c r="M208" s="45"/>
      <c r="N208" s="45"/>
      <c r="O208" s="45"/>
      <c r="AN208" s="82"/>
      <c r="AO208" s="99"/>
      <c r="AP208" s="61"/>
      <c r="AQ208" s="99"/>
      <c r="AV208" s="99"/>
      <c r="AW208" s="99"/>
      <c r="BF208" s="99"/>
      <c r="BG208" s="99"/>
    </row>
    <row r="209" spans="4:59">
      <c r="D209" s="45"/>
      <c r="E209" s="45"/>
      <c r="F209" s="45"/>
      <c r="G209" s="45"/>
      <c r="H209" s="45"/>
      <c r="I209" s="45"/>
      <c r="J209" s="45"/>
      <c r="K209" s="45"/>
      <c r="L209" s="45"/>
      <c r="M209" s="45"/>
      <c r="N209" s="45"/>
      <c r="O209" s="45"/>
      <c r="AN209" s="82"/>
      <c r="AO209" s="99"/>
      <c r="AP209" s="61"/>
      <c r="AQ209" s="99"/>
      <c r="AV209" s="99"/>
      <c r="AW209" s="99"/>
      <c r="BF209" s="99"/>
      <c r="BG209" s="99"/>
    </row>
    <row r="210" spans="4:59">
      <c r="D210" s="45"/>
      <c r="E210" s="45"/>
      <c r="F210" s="45"/>
      <c r="G210" s="45"/>
      <c r="H210" s="45"/>
      <c r="I210" s="45"/>
      <c r="J210" s="45"/>
      <c r="K210" s="45"/>
      <c r="L210" s="45"/>
      <c r="M210" s="45"/>
      <c r="N210" s="45"/>
      <c r="O210" s="45"/>
      <c r="AN210" s="82"/>
      <c r="AO210" s="99"/>
      <c r="AP210" s="61"/>
      <c r="AQ210" s="99"/>
      <c r="AV210" s="99"/>
      <c r="AW210" s="99"/>
      <c r="BF210" s="99"/>
      <c r="BG210" s="99"/>
    </row>
    <row r="211" spans="4:59">
      <c r="D211" s="45"/>
      <c r="E211" s="45"/>
      <c r="F211" s="45"/>
      <c r="G211" s="45"/>
      <c r="H211" s="45"/>
      <c r="I211" s="45"/>
      <c r="J211" s="45"/>
      <c r="K211" s="45"/>
      <c r="L211" s="45"/>
      <c r="M211" s="45"/>
      <c r="N211" s="45"/>
      <c r="O211" s="45"/>
      <c r="AN211" s="82"/>
      <c r="AO211" s="99"/>
      <c r="AP211" s="61"/>
      <c r="AQ211" s="99"/>
      <c r="AV211" s="99"/>
      <c r="AW211" s="99"/>
      <c r="BF211" s="99"/>
      <c r="BG211" s="99"/>
    </row>
    <row r="212" spans="4:59">
      <c r="D212" s="45"/>
      <c r="E212" s="45"/>
      <c r="F212" s="45"/>
      <c r="G212" s="45"/>
      <c r="H212" s="45"/>
      <c r="I212" s="45"/>
      <c r="J212" s="45"/>
      <c r="K212" s="45"/>
      <c r="L212" s="45"/>
      <c r="M212" s="45"/>
      <c r="N212" s="45"/>
      <c r="O212" s="45"/>
      <c r="AN212" s="82"/>
      <c r="AO212" s="99"/>
      <c r="AP212" s="61"/>
      <c r="AQ212" s="99"/>
      <c r="AV212" s="99"/>
      <c r="AW212" s="99"/>
      <c r="BF212" s="99"/>
      <c r="BG212" s="99"/>
    </row>
    <row r="213" spans="4:59">
      <c r="D213" s="45"/>
      <c r="E213" s="45"/>
      <c r="F213" s="45"/>
      <c r="G213" s="45"/>
      <c r="H213" s="45"/>
      <c r="I213" s="45"/>
      <c r="J213" s="45"/>
      <c r="K213" s="45"/>
      <c r="L213" s="45"/>
      <c r="M213" s="45"/>
      <c r="N213" s="45"/>
      <c r="O213" s="45"/>
      <c r="AN213" s="82"/>
      <c r="AO213" s="99"/>
      <c r="AP213" s="61"/>
      <c r="AQ213" s="99"/>
      <c r="AV213" s="99"/>
      <c r="AW213" s="99"/>
      <c r="BF213" s="99"/>
      <c r="BG213" s="99"/>
    </row>
    <row r="214" spans="4:59">
      <c r="D214" s="45"/>
      <c r="E214" s="45"/>
      <c r="F214" s="45"/>
      <c r="G214" s="45"/>
      <c r="H214" s="45"/>
      <c r="I214" s="45"/>
      <c r="J214" s="45"/>
      <c r="K214" s="45"/>
      <c r="L214" s="45"/>
      <c r="M214" s="45"/>
      <c r="N214" s="45"/>
      <c r="O214" s="45"/>
      <c r="AN214" s="82"/>
      <c r="AO214" s="99"/>
      <c r="AP214" s="61"/>
      <c r="AQ214" s="99"/>
      <c r="AV214" s="99"/>
      <c r="AW214" s="99"/>
      <c r="BF214" s="99"/>
      <c r="BG214" s="99"/>
    </row>
    <row r="215" spans="4:59">
      <c r="D215" s="45"/>
      <c r="E215" s="45"/>
      <c r="F215" s="45"/>
      <c r="G215" s="45"/>
      <c r="H215" s="45"/>
      <c r="I215" s="45"/>
      <c r="J215" s="45"/>
      <c r="K215" s="45"/>
      <c r="L215" s="45"/>
      <c r="M215" s="45"/>
      <c r="N215" s="45"/>
      <c r="O215" s="45"/>
      <c r="AN215" s="82"/>
      <c r="AO215" s="99"/>
      <c r="AP215" s="61"/>
      <c r="AQ215" s="99"/>
      <c r="AV215" s="99"/>
      <c r="AW215" s="99"/>
      <c r="BF215" s="99"/>
      <c r="BG215" s="99"/>
    </row>
    <row r="216" spans="4:59">
      <c r="D216" s="45"/>
      <c r="E216" s="45"/>
      <c r="F216" s="45"/>
      <c r="G216" s="45"/>
      <c r="H216" s="45"/>
      <c r="I216" s="45"/>
      <c r="J216" s="45"/>
      <c r="K216" s="45"/>
      <c r="L216" s="45"/>
      <c r="M216" s="45"/>
      <c r="N216" s="45"/>
      <c r="O216" s="45"/>
      <c r="AN216" s="82"/>
      <c r="AO216" s="99"/>
      <c r="AP216" s="61"/>
      <c r="AQ216" s="99"/>
      <c r="AV216" s="99"/>
      <c r="AW216" s="99"/>
      <c r="BF216" s="99"/>
      <c r="BG216" s="99"/>
    </row>
    <row r="217" spans="4:59">
      <c r="D217" s="45"/>
      <c r="E217" s="45"/>
      <c r="F217" s="45"/>
      <c r="G217" s="45"/>
      <c r="H217" s="45"/>
      <c r="I217" s="45"/>
      <c r="J217" s="45"/>
      <c r="K217" s="45"/>
      <c r="L217" s="45"/>
      <c r="M217" s="45"/>
      <c r="N217" s="45"/>
      <c r="O217" s="45"/>
      <c r="AN217" s="82"/>
      <c r="AO217" s="99"/>
      <c r="AP217" s="61"/>
      <c r="AQ217" s="99"/>
      <c r="AV217" s="99"/>
      <c r="AW217" s="99"/>
      <c r="BF217" s="99"/>
      <c r="BG217" s="99"/>
    </row>
    <row r="218" spans="4:59">
      <c r="D218" s="45"/>
      <c r="E218" s="45"/>
      <c r="F218" s="45"/>
      <c r="G218" s="45"/>
      <c r="H218" s="45"/>
      <c r="I218" s="45"/>
      <c r="J218" s="45"/>
      <c r="K218" s="45"/>
      <c r="L218" s="45"/>
      <c r="M218" s="45"/>
      <c r="N218" s="45"/>
      <c r="O218" s="45"/>
      <c r="AN218" s="82"/>
      <c r="AO218" s="99"/>
      <c r="AP218" s="61"/>
      <c r="AQ218" s="99"/>
      <c r="AV218" s="99"/>
      <c r="AW218" s="99"/>
      <c r="BF218" s="99"/>
      <c r="BG218" s="99"/>
    </row>
    <row r="219" spans="4:59">
      <c r="D219" s="45"/>
      <c r="E219" s="45"/>
      <c r="F219" s="45"/>
      <c r="G219" s="45"/>
      <c r="H219" s="45"/>
      <c r="I219" s="45"/>
      <c r="J219" s="45"/>
      <c r="K219" s="45"/>
      <c r="L219" s="45"/>
      <c r="M219" s="45"/>
      <c r="N219" s="45"/>
      <c r="O219" s="45"/>
      <c r="AN219" s="82"/>
      <c r="AO219" s="99"/>
      <c r="AP219" s="61"/>
      <c r="AQ219" s="99"/>
      <c r="AV219" s="99"/>
      <c r="AW219" s="99"/>
      <c r="BF219" s="99"/>
      <c r="BG219" s="99"/>
    </row>
    <row r="220" spans="4:59">
      <c r="D220" s="45"/>
      <c r="E220" s="45"/>
      <c r="F220" s="45"/>
      <c r="G220" s="45"/>
      <c r="H220" s="45"/>
      <c r="I220" s="45"/>
      <c r="J220" s="45"/>
      <c r="K220" s="45"/>
      <c r="L220" s="45"/>
      <c r="M220" s="45"/>
      <c r="N220" s="45"/>
      <c r="O220" s="45"/>
      <c r="AN220" s="82"/>
      <c r="AO220" s="99"/>
      <c r="AP220" s="61"/>
      <c r="AQ220" s="99"/>
      <c r="AV220" s="99"/>
      <c r="AW220" s="99"/>
      <c r="BF220" s="99"/>
      <c r="BG220" s="99"/>
    </row>
    <row r="221" spans="4:59">
      <c r="D221" s="45"/>
      <c r="E221" s="45"/>
      <c r="F221" s="45"/>
      <c r="G221" s="45"/>
      <c r="H221" s="45"/>
      <c r="I221" s="45"/>
      <c r="J221" s="45"/>
      <c r="K221" s="45"/>
      <c r="L221" s="45"/>
      <c r="M221" s="45"/>
      <c r="N221" s="45"/>
      <c r="O221" s="45"/>
    </row>
    <row r="222" spans="4:59">
      <c r="D222" s="45"/>
      <c r="E222" s="45"/>
      <c r="F222" s="45"/>
      <c r="G222" s="45"/>
      <c r="H222" s="45"/>
      <c r="I222" s="45"/>
      <c r="J222" s="45"/>
      <c r="K222" s="45"/>
      <c r="L222" s="45"/>
      <c r="M222" s="45"/>
      <c r="N222" s="45"/>
      <c r="O222" s="45"/>
    </row>
    <row r="223" spans="4:59">
      <c r="D223" s="45"/>
      <c r="E223" s="45"/>
      <c r="F223" s="45"/>
      <c r="G223" s="45"/>
      <c r="H223" s="45"/>
      <c r="I223" s="45"/>
      <c r="J223" s="45"/>
      <c r="K223" s="45"/>
      <c r="L223" s="45"/>
      <c r="M223" s="45"/>
      <c r="N223" s="45"/>
      <c r="O223" s="45"/>
    </row>
    <row r="224" spans="4:59">
      <c r="D224" s="45"/>
      <c r="E224" s="45"/>
      <c r="F224" s="45"/>
      <c r="G224" s="45"/>
      <c r="H224" s="45"/>
      <c r="I224" s="45"/>
      <c r="J224" s="45"/>
      <c r="K224" s="45"/>
      <c r="L224" s="45"/>
      <c r="M224" s="45"/>
      <c r="N224" s="45"/>
      <c r="O224" s="45"/>
    </row>
    <row r="225" spans="4:15">
      <c r="D225" s="45"/>
      <c r="E225" s="45"/>
      <c r="F225" s="45"/>
      <c r="G225" s="45"/>
      <c r="H225" s="45"/>
      <c r="I225" s="45"/>
      <c r="J225" s="45"/>
      <c r="K225" s="45"/>
      <c r="L225" s="45"/>
      <c r="M225" s="45"/>
      <c r="N225" s="45"/>
      <c r="O225" s="45"/>
    </row>
    <row r="226" spans="4:15">
      <c r="D226" s="45"/>
      <c r="E226" s="45"/>
      <c r="F226" s="45"/>
      <c r="G226" s="45"/>
      <c r="H226" s="45"/>
      <c r="I226" s="45"/>
      <c r="J226" s="45"/>
      <c r="K226" s="45"/>
      <c r="L226" s="45"/>
      <c r="M226" s="45"/>
      <c r="N226" s="45"/>
      <c r="O226" s="45"/>
    </row>
    <row r="227" spans="4:15">
      <c r="D227" s="45"/>
      <c r="E227" s="45"/>
      <c r="F227" s="45"/>
      <c r="G227" s="45"/>
      <c r="H227" s="45"/>
      <c r="I227" s="45"/>
      <c r="J227" s="45"/>
      <c r="K227" s="45"/>
      <c r="L227" s="45"/>
      <c r="M227" s="45"/>
      <c r="N227" s="45"/>
      <c r="O227" s="45"/>
    </row>
    <row r="228" spans="4:15">
      <c r="D228" s="45"/>
      <c r="E228" s="45"/>
      <c r="F228" s="45"/>
      <c r="G228" s="45"/>
      <c r="H228" s="45"/>
      <c r="I228" s="45"/>
      <c r="J228" s="45"/>
      <c r="K228" s="45"/>
      <c r="L228" s="45"/>
      <c r="M228" s="45"/>
      <c r="N228" s="45"/>
      <c r="O228" s="45"/>
    </row>
    <row r="229" spans="4:15">
      <c r="D229" s="45"/>
      <c r="E229" s="45"/>
      <c r="F229" s="45"/>
      <c r="G229" s="45"/>
      <c r="H229" s="45"/>
      <c r="I229" s="45"/>
      <c r="J229" s="45"/>
      <c r="K229" s="45"/>
      <c r="L229" s="45"/>
      <c r="M229" s="45"/>
      <c r="N229" s="45"/>
      <c r="O229" s="45"/>
    </row>
    <row r="230" spans="4:15">
      <c r="D230" s="45"/>
      <c r="E230" s="45"/>
      <c r="F230" s="45"/>
      <c r="G230" s="45"/>
      <c r="H230" s="45"/>
      <c r="I230" s="45"/>
      <c r="J230" s="45"/>
      <c r="K230" s="45"/>
      <c r="L230" s="45"/>
      <c r="M230" s="45"/>
      <c r="N230" s="45"/>
      <c r="O230" s="45"/>
    </row>
    <row r="231" spans="4:15">
      <c r="D231" s="45"/>
      <c r="E231" s="45"/>
      <c r="F231" s="45"/>
      <c r="G231" s="45"/>
      <c r="H231" s="45"/>
      <c r="I231" s="45"/>
      <c r="J231" s="45"/>
      <c r="K231" s="45"/>
      <c r="L231" s="45"/>
      <c r="M231" s="45"/>
      <c r="N231" s="45"/>
      <c r="O231" s="45"/>
    </row>
    <row r="232" spans="4:15">
      <c r="D232" s="45"/>
      <c r="E232" s="45"/>
      <c r="F232" s="45"/>
      <c r="G232" s="45"/>
      <c r="H232" s="45"/>
      <c r="I232" s="45"/>
      <c r="J232" s="45"/>
      <c r="K232" s="45"/>
      <c r="L232" s="45"/>
      <c r="M232" s="45"/>
      <c r="N232" s="45"/>
      <c r="O232" s="45"/>
    </row>
    <row r="233" spans="4:15">
      <c r="D233" s="45"/>
      <c r="E233" s="45"/>
      <c r="F233" s="45"/>
      <c r="G233" s="45"/>
      <c r="H233" s="45"/>
      <c r="I233" s="45"/>
      <c r="J233" s="45"/>
      <c r="K233" s="45"/>
      <c r="L233" s="45"/>
      <c r="M233" s="45"/>
      <c r="N233" s="45"/>
      <c r="O233" s="45"/>
    </row>
    <row r="234" spans="4:15">
      <c r="D234" s="45"/>
      <c r="E234" s="45"/>
      <c r="F234" s="45"/>
      <c r="G234" s="45"/>
      <c r="H234" s="45"/>
      <c r="I234" s="45"/>
      <c r="J234" s="45"/>
      <c r="K234" s="45"/>
      <c r="L234" s="45"/>
      <c r="M234" s="45"/>
      <c r="N234" s="45"/>
      <c r="O234" s="45"/>
    </row>
    <row r="235" spans="4:15">
      <c r="D235" s="45"/>
      <c r="E235" s="45"/>
      <c r="F235" s="45"/>
      <c r="G235" s="45"/>
      <c r="H235" s="45"/>
      <c r="I235" s="45"/>
      <c r="J235" s="45"/>
      <c r="K235" s="45"/>
      <c r="L235" s="45"/>
      <c r="M235" s="45"/>
      <c r="N235" s="45"/>
      <c r="O235" s="45"/>
    </row>
    <row r="236" spans="4:15">
      <c r="D236" s="45"/>
      <c r="E236" s="45"/>
      <c r="F236" s="45"/>
      <c r="G236" s="45"/>
      <c r="H236" s="45"/>
      <c r="I236" s="45"/>
      <c r="J236" s="45"/>
      <c r="K236" s="45"/>
      <c r="L236" s="45"/>
      <c r="M236" s="45"/>
      <c r="N236" s="45"/>
      <c r="O236" s="45"/>
    </row>
    <row r="237" spans="4:15">
      <c r="D237" s="45"/>
      <c r="E237" s="45"/>
      <c r="F237" s="45"/>
      <c r="G237" s="45"/>
      <c r="H237" s="45"/>
      <c r="I237" s="45"/>
      <c r="J237" s="45"/>
      <c r="K237" s="45"/>
      <c r="L237" s="45"/>
      <c r="M237" s="45"/>
      <c r="N237" s="45"/>
      <c r="O237" s="45"/>
    </row>
    <row r="238" spans="4:15">
      <c r="D238" s="45"/>
      <c r="E238" s="45"/>
      <c r="F238" s="45"/>
      <c r="G238" s="45"/>
      <c r="H238" s="45"/>
      <c r="I238" s="45"/>
      <c r="J238" s="45"/>
      <c r="K238" s="45"/>
      <c r="L238" s="45"/>
      <c r="M238" s="45"/>
      <c r="N238" s="45"/>
      <c r="O238" s="45"/>
    </row>
    <row r="239" spans="4:15">
      <c r="D239" s="45"/>
      <c r="E239" s="45"/>
      <c r="F239" s="45"/>
      <c r="G239" s="45"/>
      <c r="H239" s="45"/>
      <c r="I239" s="45"/>
      <c r="J239" s="45"/>
      <c r="K239" s="45"/>
      <c r="L239" s="45"/>
      <c r="M239" s="45"/>
      <c r="N239" s="45"/>
      <c r="O239" s="45"/>
    </row>
    <row r="240" spans="4:15">
      <c r="D240" s="45"/>
      <c r="E240" s="45"/>
      <c r="F240" s="45"/>
      <c r="G240" s="45"/>
      <c r="H240" s="45"/>
      <c r="I240" s="45"/>
      <c r="J240" s="45"/>
      <c r="K240" s="45"/>
      <c r="L240" s="45"/>
      <c r="M240" s="45"/>
      <c r="N240" s="45"/>
      <c r="O240" s="45"/>
    </row>
    <row r="241" spans="4:15">
      <c r="D241" s="45"/>
      <c r="E241" s="45"/>
      <c r="F241" s="45"/>
      <c r="G241" s="45"/>
      <c r="H241" s="45"/>
      <c r="I241" s="45"/>
      <c r="J241" s="45"/>
      <c r="K241" s="45"/>
      <c r="L241" s="45"/>
      <c r="M241" s="45"/>
      <c r="N241" s="45"/>
      <c r="O241" s="45"/>
    </row>
    <row r="242" spans="4:15">
      <c r="D242" s="45"/>
      <c r="E242" s="45"/>
      <c r="F242" s="45"/>
      <c r="G242" s="45"/>
      <c r="H242" s="45"/>
      <c r="I242" s="45"/>
      <c r="J242" s="45"/>
      <c r="K242" s="45"/>
      <c r="L242" s="45"/>
      <c r="M242" s="45"/>
      <c r="N242" s="45"/>
      <c r="O242" s="45"/>
    </row>
    <row r="243" spans="4:15">
      <c r="D243" s="45"/>
      <c r="E243" s="45"/>
      <c r="F243" s="45"/>
      <c r="G243" s="45"/>
      <c r="H243" s="45"/>
      <c r="I243" s="45"/>
      <c r="J243" s="45"/>
      <c r="K243" s="45"/>
      <c r="L243" s="45"/>
      <c r="M243" s="45"/>
      <c r="N243" s="45"/>
      <c r="O243" s="45"/>
    </row>
    <row r="244" spans="4:15">
      <c r="D244" s="45"/>
      <c r="E244" s="45"/>
      <c r="F244" s="45"/>
      <c r="G244" s="45"/>
      <c r="H244" s="45"/>
      <c r="I244" s="45"/>
      <c r="J244" s="45"/>
      <c r="K244" s="45"/>
      <c r="L244" s="45"/>
      <c r="M244" s="45"/>
      <c r="N244" s="45"/>
      <c r="O244" s="45"/>
    </row>
    <row r="245" spans="4:15">
      <c r="D245" s="45"/>
      <c r="E245" s="45"/>
      <c r="F245" s="45"/>
      <c r="G245" s="45"/>
      <c r="H245" s="45"/>
      <c r="I245" s="45"/>
      <c r="J245" s="45"/>
      <c r="K245" s="45"/>
      <c r="L245" s="45"/>
      <c r="M245" s="45"/>
      <c r="N245" s="45"/>
      <c r="O245" s="45"/>
    </row>
    <row r="246" spans="4:15">
      <c r="D246" s="45"/>
      <c r="E246" s="45"/>
      <c r="F246" s="45"/>
      <c r="G246" s="45"/>
      <c r="H246" s="45"/>
      <c r="I246" s="45"/>
      <c r="J246" s="45"/>
      <c r="K246" s="45"/>
      <c r="L246" s="45"/>
      <c r="M246" s="45"/>
      <c r="N246" s="45"/>
      <c r="O246" s="45"/>
    </row>
    <row r="247" spans="4:15">
      <c r="D247" s="45"/>
      <c r="E247" s="45"/>
      <c r="F247" s="45"/>
      <c r="G247" s="45"/>
      <c r="H247" s="45"/>
      <c r="I247" s="45"/>
      <c r="J247" s="45"/>
      <c r="K247" s="45"/>
      <c r="L247" s="45"/>
      <c r="M247" s="45"/>
      <c r="N247" s="45"/>
      <c r="O247" s="45"/>
    </row>
    <row r="248" spans="4:15">
      <c r="D248" s="45"/>
      <c r="E248" s="45"/>
      <c r="F248" s="45"/>
      <c r="G248" s="45"/>
      <c r="H248" s="45"/>
      <c r="I248" s="45"/>
      <c r="J248" s="45"/>
      <c r="K248" s="45"/>
      <c r="L248" s="45"/>
      <c r="M248" s="45"/>
      <c r="N248" s="45"/>
      <c r="O248" s="45"/>
    </row>
    <row r="249" spans="4:15">
      <c r="D249" s="45"/>
      <c r="E249" s="45"/>
      <c r="F249" s="45"/>
      <c r="G249" s="45"/>
      <c r="H249" s="45"/>
      <c r="I249" s="45"/>
      <c r="J249" s="45"/>
      <c r="K249" s="45"/>
      <c r="L249" s="45"/>
      <c r="M249" s="45"/>
      <c r="N249" s="45"/>
      <c r="O249" s="45"/>
    </row>
    <row r="250" spans="4:15">
      <c r="D250" s="45"/>
      <c r="E250" s="45"/>
      <c r="F250" s="45"/>
      <c r="G250" s="45"/>
      <c r="H250" s="45"/>
      <c r="I250" s="45"/>
      <c r="J250" s="45"/>
      <c r="K250" s="45"/>
      <c r="L250" s="45"/>
      <c r="M250" s="45"/>
      <c r="N250" s="45"/>
      <c r="O250" s="45"/>
    </row>
    <row r="251" spans="4:15">
      <c r="D251" s="45"/>
      <c r="E251" s="45"/>
      <c r="F251" s="45"/>
      <c r="G251" s="45"/>
      <c r="H251" s="45"/>
      <c r="I251" s="45"/>
      <c r="J251" s="45"/>
      <c r="K251" s="45"/>
      <c r="L251" s="45"/>
      <c r="M251" s="45"/>
      <c r="N251" s="45"/>
      <c r="O251" s="45"/>
    </row>
    <row r="252" spans="4:15">
      <c r="D252" s="45"/>
      <c r="E252" s="45"/>
      <c r="F252" s="45"/>
      <c r="G252" s="45"/>
      <c r="H252" s="45"/>
      <c r="I252" s="45"/>
      <c r="J252" s="45"/>
      <c r="K252" s="45"/>
      <c r="L252" s="45"/>
      <c r="M252" s="45"/>
      <c r="N252" s="45"/>
      <c r="O252" s="45"/>
    </row>
    <row r="253" spans="4:15">
      <c r="D253" s="45"/>
      <c r="E253" s="45"/>
      <c r="F253" s="45"/>
      <c r="G253" s="45"/>
      <c r="H253" s="45"/>
      <c r="I253" s="45"/>
      <c r="J253" s="45"/>
      <c r="K253" s="45"/>
      <c r="L253" s="45"/>
      <c r="M253" s="45"/>
      <c r="N253" s="45"/>
      <c r="O253" s="45"/>
    </row>
    <row r="254" spans="4:15">
      <c r="D254" s="45"/>
      <c r="E254" s="45"/>
      <c r="F254" s="45"/>
      <c r="G254" s="45"/>
      <c r="H254" s="45"/>
      <c r="I254" s="45"/>
      <c r="J254" s="45"/>
      <c r="K254" s="45"/>
      <c r="L254" s="45"/>
      <c r="M254" s="45"/>
      <c r="N254" s="45"/>
      <c r="O254" s="45"/>
    </row>
    <row r="255" spans="4:15">
      <c r="D255" s="45"/>
      <c r="E255" s="45"/>
      <c r="F255" s="45"/>
      <c r="G255" s="45"/>
      <c r="H255" s="45"/>
      <c r="I255" s="45"/>
      <c r="J255" s="45"/>
      <c r="K255" s="45"/>
      <c r="L255" s="45"/>
      <c r="M255" s="45"/>
      <c r="N255" s="45"/>
      <c r="O255" s="45"/>
    </row>
    <row r="256" spans="4:15">
      <c r="D256" s="45"/>
      <c r="E256" s="45"/>
      <c r="F256" s="45"/>
      <c r="G256" s="45"/>
      <c r="H256" s="45"/>
      <c r="I256" s="45"/>
      <c r="J256" s="45"/>
      <c r="K256" s="45"/>
      <c r="L256" s="45"/>
      <c r="M256" s="45"/>
      <c r="N256" s="45"/>
      <c r="O256" s="45"/>
    </row>
    <row r="257" spans="4:15">
      <c r="D257" s="45"/>
      <c r="E257" s="45"/>
      <c r="F257" s="45"/>
      <c r="G257" s="45"/>
      <c r="H257" s="45"/>
      <c r="I257" s="45"/>
      <c r="J257" s="45"/>
      <c r="K257" s="45"/>
      <c r="L257" s="45"/>
      <c r="M257" s="45"/>
      <c r="N257" s="45"/>
      <c r="O257" s="45"/>
    </row>
    <row r="258" spans="4:15">
      <c r="D258" s="45"/>
      <c r="E258" s="45"/>
      <c r="F258" s="45"/>
      <c r="G258" s="45"/>
      <c r="H258" s="45"/>
      <c r="I258" s="45"/>
      <c r="J258" s="45"/>
      <c r="K258" s="45"/>
      <c r="L258" s="45"/>
      <c r="M258" s="45"/>
      <c r="N258" s="45"/>
      <c r="O258" s="45"/>
    </row>
    <row r="259" spans="4:15">
      <c r="D259" s="45"/>
      <c r="E259" s="45"/>
      <c r="F259" s="45"/>
      <c r="G259" s="45"/>
      <c r="H259" s="45"/>
      <c r="I259" s="45"/>
      <c r="J259" s="45"/>
      <c r="K259" s="45"/>
      <c r="L259" s="45"/>
      <c r="M259" s="45"/>
      <c r="N259" s="45"/>
      <c r="O259" s="45"/>
    </row>
    <row r="260" spans="4:15">
      <c r="D260" s="45"/>
      <c r="E260" s="45"/>
      <c r="F260" s="45"/>
      <c r="G260" s="45"/>
      <c r="H260" s="45"/>
      <c r="I260" s="45"/>
      <c r="J260" s="45"/>
      <c r="K260" s="45"/>
      <c r="L260" s="45"/>
      <c r="M260" s="45"/>
      <c r="N260" s="45"/>
      <c r="O260" s="45"/>
    </row>
    <row r="261" spans="4:15">
      <c r="D261" s="45"/>
      <c r="E261" s="45"/>
      <c r="F261" s="45"/>
      <c r="G261" s="45"/>
      <c r="H261" s="45"/>
      <c r="I261" s="45"/>
      <c r="J261" s="45"/>
      <c r="K261" s="45"/>
      <c r="L261" s="45"/>
      <c r="M261" s="45"/>
      <c r="N261" s="45"/>
      <c r="O261" s="45"/>
    </row>
    <row r="262" spans="4:15">
      <c r="D262" s="45"/>
      <c r="E262" s="45"/>
      <c r="F262" s="45"/>
      <c r="G262" s="45"/>
      <c r="H262" s="45"/>
      <c r="I262" s="45"/>
      <c r="J262" s="45"/>
      <c r="K262" s="45"/>
      <c r="L262" s="45"/>
      <c r="M262" s="45"/>
      <c r="N262" s="45"/>
      <c r="O262" s="45"/>
    </row>
    <row r="263" spans="4:15">
      <c r="D263" s="45"/>
      <c r="E263" s="45"/>
      <c r="F263" s="45"/>
      <c r="G263" s="45"/>
      <c r="H263" s="45"/>
      <c r="I263" s="45"/>
      <c r="J263" s="45"/>
      <c r="K263" s="45"/>
      <c r="L263" s="45"/>
      <c r="M263" s="45"/>
      <c r="N263" s="45"/>
      <c r="O263" s="45"/>
    </row>
    <row r="264" spans="4:15">
      <c r="D264" s="45"/>
      <c r="E264" s="45"/>
      <c r="F264" s="45"/>
      <c r="G264" s="45"/>
      <c r="H264" s="45"/>
      <c r="I264" s="45"/>
      <c r="J264" s="45"/>
      <c r="K264" s="45"/>
      <c r="L264" s="45"/>
      <c r="M264" s="45"/>
      <c r="N264" s="45"/>
      <c r="O264" s="45"/>
    </row>
    <row r="265" spans="4:15">
      <c r="D265" s="45"/>
      <c r="E265" s="45"/>
      <c r="F265" s="45"/>
      <c r="G265" s="45"/>
      <c r="H265" s="45"/>
      <c r="I265" s="45"/>
      <c r="J265" s="45"/>
      <c r="K265" s="45"/>
      <c r="L265" s="45"/>
      <c r="M265" s="45"/>
      <c r="N265" s="45"/>
      <c r="O265" s="45"/>
    </row>
    <row r="266" spans="4:15">
      <c r="D266" s="45"/>
      <c r="E266" s="45"/>
      <c r="F266" s="45"/>
      <c r="G266" s="45"/>
      <c r="H266" s="45"/>
      <c r="I266" s="45"/>
      <c r="J266" s="45"/>
      <c r="K266" s="45"/>
      <c r="L266" s="45"/>
      <c r="M266" s="45"/>
      <c r="N266" s="45"/>
      <c r="O266" s="45"/>
    </row>
    <row r="267" spans="4:15">
      <c r="D267" s="45"/>
      <c r="E267" s="45"/>
      <c r="F267" s="45"/>
      <c r="G267" s="45"/>
      <c r="H267" s="45"/>
      <c r="I267" s="45"/>
      <c r="J267" s="45"/>
      <c r="K267" s="45"/>
      <c r="L267" s="45"/>
      <c r="M267" s="45"/>
      <c r="N267" s="45"/>
      <c r="O267" s="45"/>
    </row>
    <row r="268" spans="4:15">
      <c r="D268" s="45"/>
      <c r="E268" s="45"/>
      <c r="F268" s="45"/>
      <c r="G268" s="45"/>
      <c r="H268" s="45"/>
      <c r="I268" s="45"/>
      <c r="J268" s="45"/>
      <c r="K268" s="45"/>
      <c r="L268" s="45"/>
      <c r="M268" s="45"/>
      <c r="N268" s="45"/>
      <c r="O268" s="45"/>
    </row>
    <row r="269" spans="4:15">
      <c r="D269" s="45"/>
      <c r="E269" s="45"/>
      <c r="F269" s="45"/>
      <c r="G269" s="45"/>
      <c r="H269" s="45"/>
      <c r="I269" s="45"/>
      <c r="J269" s="45"/>
      <c r="K269" s="45"/>
      <c r="L269" s="45"/>
      <c r="M269" s="45"/>
      <c r="N269" s="45"/>
      <c r="O269" s="45"/>
    </row>
    <row r="270" spans="4:15">
      <c r="D270" s="45"/>
      <c r="E270" s="45"/>
      <c r="F270" s="45"/>
      <c r="G270" s="45"/>
      <c r="H270" s="45"/>
      <c r="I270" s="45"/>
      <c r="J270" s="45"/>
      <c r="K270" s="45"/>
      <c r="L270" s="45"/>
      <c r="M270" s="45"/>
      <c r="N270" s="45"/>
      <c r="O270" s="45"/>
    </row>
    <row r="271" spans="4:15">
      <c r="D271" s="45"/>
      <c r="E271" s="45"/>
      <c r="F271" s="45"/>
      <c r="G271" s="45"/>
      <c r="H271" s="45"/>
      <c r="I271" s="45"/>
      <c r="J271" s="45"/>
      <c r="K271" s="45"/>
      <c r="L271" s="45"/>
      <c r="M271" s="45"/>
      <c r="N271" s="45"/>
      <c r="O271" s="45"/>
    </row>
    <row r="272" spans="4:15">
      <c r="D272" s="45"/>
      <c r="E272" s="45"/>
      <c r="F272" s="45"/>
      <c r="G272" s="45"/>
      <c r="H272" s="45"/>
      <c r="I272" s="45"/>
      <c r="J272" s="45"/>
      <c r="K272" s="45"/>
      <c r="L272" s="45"/>
      <c r="M272" s="45"/>
      <c r="N272" s="45"/>
      <c r="O272" s="45"/>
    </row>
    <row r="273" spans="4:15">
      <c r="D273" s="45"/>
      <c r="E273" s="45"/>
      <c r="F273" s="45"/>
      <c r="G273" s="45"/>
      <c r="H273" s="45"/>
      <c r="I273" s="45"/>
      <c r="J273" s="45"/>
      <c r="K273" s="45"/>
      <c r="L273" s="45"/>
      <c r="M273" s="45"/>
      <c r="N273" s="45"/>
      <c r="O273" s="45"/>
    </row>
    <row r="274" spans="4:15">
      <c r="D274" s="45"/>
      <c r="E274" s="45"/>
      <c r="F274" s="45"/>
      <c r="G274" s="45"/>
      <c r="H274" s="45"/>
      <c r="I274" s="45"/>
      <c r="J274" s="45"/>
      <c r="K274" s="45"/>
      <c r="L274" s="45"/>
      <c r="M274" s="45"/>
      <c r="N274" s="45"/>
      <c r="O274" s="45"/>
    </row>
    <row r="275" spans="4:15">
      <c r="D275" s="45"/>
      <c r="E275" s="45"/>
      <c r="F275" s="45"/>
      <c r="G275" s="45"/>
      <c r="H275" s="45"/>
      <c r="I275" s="45"/>
      <c r="J275" s="45"/>
      <c r="K275" s="45"/>
      <c r="L275" s="45"/>
      <c r="M275" s="45"/>
      <c r="N275" s="45"/>
      <c r="O275" s="45"/>
    </row>
    <row r="276" spans="4:15">
      <c r="D276" s="45"/>
      <c r="E276" s="45"/>
      <c r="F276" s="45"/>
      <c r="G276" s="45"/>
      <c r="H276" s="45"/>
      <c r="I276" s="45"/>
      <c r="J276" s="45"/>
      <c r="K276" s="45"/>
      <c r="L276" s="45"/>
      <c r="M276" s="45"/>
      <c r="N276" s="45"/>
      <c r="O276" s="45"/>
    </row>
    <row r="277" spans="4:15">
      <c r="D277" s="45"/>
      <c r="E277" s="45"/>
      <c r="F277" s="45"/>
      <c r="G277" s="45"/>
      <c r="H277" s="45"/>
      <c r="I277" s="45"/>
      <c r="J277" s="45"/>
      <c r="K277" s="45"/>
      <c r="L277" s="45"/>
      <c r="M277" s="45"/>
      <c r="N277" s="45"/>
      <c r="O277" s="45"/>
    </row>
    <row r="278" spans="4:15">
      <c r="D278" s="45"/>
      <c r="E278" s="45"/>
      <c r="F278" s="45"/>
      <c r="G278" s="45"/>
      <c r="H278" s="45"/>
      <c r="I278" s="45"/>
      <c r="J278" s="45"/>
      <c r="K278" s="45"/>
      <c r="L278" s="45"/>
      <c r="M278" s="45"/>
      <c r="N278" s="45"/>
      <c r="O278" s="45"/>
    </row>
    <row r="279" spans="4:15">
      <c r="D279" s="45"/>
      <c r="E279" s="45"/>
      <c r="F279" s="45"/>
      <c r="G279" s="45"/>
      <c r="H279" s="45"/>
      <c r="I279" s="45"/>
      <c r="J279" s="45"/>
      <c r="K279" s="45"/>
      <c r="L279" s="45"/>
      <c r="M279" s="45"/>
      <c r="N279" s="45"/>
      <c r="O279" s="45"/>
    </row>
    <row r="280" spans="4:15">
      <c r="D280" s="45"/>
      <c r="E280" s="45"/>
      <c r="F280" s="45"/>
      <c r="G280" s="45"/>
      <c r="H280" s="45"/>
      <c r="I280" s="45"/>
      <c r="J280" s="45"/>
      <c r="K280" s="45"/>
      <c r="L280" s="45"/>
      <c r="M280" s="45"/>
      <c r="N280" s="45"/>
      <c r="O280" s="45"/>
    </row>
    <row r="281" spans="4:15">
      <c r="D281" s="45"/>
      <c r="E281" s="45"/>
      <c r="F281" s="45"/>
      <c r="G281" s="45"/>
      <c r="H281" s="45"/>
      <c r="I281" s="45"/>
      <c r="J281" s="45"/>
      <c r="K281" s="45"/>
      <c r="L281" s="45"/>
      <c r="M281" s="45"/>
      <c r="N281" s="45"/>
      <c r="O281" s="45"/>
    </row>
    <row r="282" spans="4:15">
      <c r="D282" s="45"/>
      <c r="E282" s="45"/>
      <c r="F282" s="45"/>
      <c r="G282" s="45"/>
      <c r="H282" s="45"/>
      <c r="I282" s="45"/>
      <c r="J282" s="45"/>
      <c r="K282" s="45"/>
      <c r="L282" s="45"/>
      <c r="M282" s="45"/>
      <c r="N282" s="45"/>
      <c r="O282" s="45"/>
    </row>
    <row r="283" spans="4:15">
      <c r="D283" s="45"/>
      <c r="E283" s="45"/>
      <c r="F283" s="45"/>
      <c r="G283" s="45"/>
      <c r="H283" s="45"/>
      <c r="I283" s="45"/>
      <c r="J283" s="45"/>
      <c r="K283" s="45"/>
      <c r="L283" s="45"/>
      <c r="M283" s="45"/>
      <c r="N283" s="45"/>
      <c r="O283" s="45"/>
    </row>
    <row r="284" spans="4:15">
      <c r="D284" s="45"/>
      <c r="E284" s="45"/>
      <c r="F284" s="45"/>
      <c r="G284" s="45"/>
      <c r="H284" s="45"/>
      <c r="I284" s="45"/>
      <c r="J284" s="45"/>
      <c r="K284" s="45"/>
      <c r="L284" s="45"/>
      <c r="M284" s="45"/>
      <c r="N284" s="45"/>
      <c r="O284" s="45"/>
    </row>
    <row r="285" spans="4:15">
      <c r="D285" s="45"/>
      <c r="E285" s="45"/>
      <c r="F285" s="45"/>
      <c r="G285" s="45"/>
      <c r="H285" s="45"/>
      <c r="I285" s="45"/>
      <c r="J285" s="45"/>
      <c r="K285" s="45"/>
      <c r="L285" s="45"/>
      <c r="M285" s="45"/>
      <c r="N285" s="45"/>
      <c r="O285" s="45"/>
    </row>
    <row r="286" spans="4:15">
      <c r="D286" s="45"/>
      <c r="E286" s="45"/>
      <c r="F286" s="45"/>
      <c r="G286" s="45"/>
      <c r="H286" s="45"/>
      <c r="I286" s="45"/>
      <c r="J286" s="45"/>
      <c r="K286" s="45"/>
      <c r="L286" s="45"/>
      <c r="M286" s="45"/>
      <c r="N286" s="45"/>
      <c r="O286" s="45"/>
    </row>
    <row r="287" spans="4:15">
      <c r="D287" s="45"/>
      <c r="E287" s="45"/>
      <c r="F287" s="45"/>
      <c r="G287" s="45"/>
      <c r="H287" s="45"/>
      <c r="I287" s="45"/>
      <c r="J287" s="45"/>
      <c r="K287" s="45"/>
      <c r="L287" s="45"/>
      <c r="M287" s="45"/>
      <c r="N287" s="45"/>
      <c r="O287" s="45"/>
    </row>
    <row r="288" spans="4:15">
      <c r="D288" s="45"/>
      <c r="E288" s="45"/>
      <c r="F288" s="45"/>
      <c r="G288" s="45"/>
      <c r="H288" s="45"/>
      <c r="I288" s="45"/>
      <c r="J288" s="45"/>
      <c r="K288" s="45"/>
      <c r="L288" s="45"/>
      <c r="M288" s="45"/>
      <c r="N288" s="45"/>
      <c r="O288" s="45"/>
    </row>
    <row r="289" spans="4:15">
      <c r="D289" s="45"/>
      <c r="E289" s="45"/>
      <c r="F289" s="45"/>
      <c r="G289" s="45"/>
      <c r="H289" s="45"/>
      <c r="I289" s="45"/>
      <c r="J289" s="45"/>
      <c r="K289" s="45"/>
      <c r="L289" s="45"/>
      <c r="M289" s="45"/>
      <c r="N289" s="45"/>
      <c r="O289" s="45"/>
    </row>
    <row r="290" spans="4:15">
      <c r="D290" s="45"/>
      <c r="E290" s="45"/>
      <c r="F290" s="45"/>
      <c r="G290" s="45"/>
      <c r="H290" s="45"/>
      <c r="I290" s="45"/>
      <c r="J290" s="45"/>
      <c r="K290" s="45"/>
      <c r="L290" s="45"/>
      <c r="M290" s="45"/>
      <c r="N290" s="45"/>
      <c r="O290" s="45"/>
    </row>
    <row r="291" spans="4:15">
      <c r="D291" s="45"/>
      <c r="E291" s="45"/>
      <c r="F291" s="45"/>
      <c r="G291" s="45"/>
      <c r="H291" s="45"/>
      <c r="I291" s="45"/>
      <c r="J291" s="45"/>
      <c r="K291" s="45"/>
      <c r="L291" s="45"/>
      <c r="M291" s="45"/>
      <c r="N291" s="45"/>
      <c r="O291" s="45"/>
    </row>
    <row r="292" spans="4:15">
      <c r="D292" s="45"/>
      <c r="E292" s="45"/>
      <c r="F292" s="45"/>
      <c r="G292" s="45"/>
      <c r="H292" s="45"/>
      <c r="I292" s="45"/>
      <c r="J292" s="45"/>
      <c r="K292" s="45"/>
      <c r="L292" s="45"/>
      <c r="M292" s="45"/>
      <c r="N292" s="45"/>
      <c r="O292" s="45"/>
    </row>
    <row r="293" spans="4:15">
      <c r="D293" s="45"/>
      <c r="E293" s="45"/>
      <c r="F293" s="45"/>
      <c r="G293" s="45"/>
      <c r="H293" s="45"/>
      <c r="I293" s="45"/>
      <c r="J293" s="45"/>
      <c r="K293" s="45"/>
      <c r="L293" s="45"/>
      <c r="M293" s="45"/>
      <c r="N293" s="45"/>
      <c r="O293" s="45"/>
    </row>
    <row r="294" spans="4:15">
      <c r="D294" s="45"/>
      <c r="E294" s="45"/>
      <c r="F294" s="45"/>
      <c r="G294" s="45"/>
      <c r="H294" s="45"/>
      <c r="I294" s="45"/>
      <c r="J294" s="45"/>
      <c r="K294" s="45"/>
      <c r="L294" s="45"/>
      <c r="M294" s="45"/>
      <c r="N294" s="45"/>
      <c r="O294" s="45"/>
    </row>
    <row r="295" spans="4:15">
      <c r="D295" s="45"/>
      <c r="E295" s="45"/>
      <c r="F295" s="45"/>
      <c r="G295" s="45"/>
      <c r="H295" s="45"/>
      <c r="I295" s="45"/>
      <c r="J295" s="45"/>
      <c r="K295" s="45"/>
      <c r="L295" s="45"/>
      <c r="M295" s="45"/>
      <c r="N295" s="45"/>
      <c r="O295" s="45"/>
    </row>
    <row r="296" spans="4:15">
      <c r="D296" s="45"/>
      <c r="E296" s="45"/>
      <c r="F296" s="45"/>
      <c r="G296" s="45"/>
      <c r="H296" s="45"/>
      <c r="I296" s="45"/>
      <c r="J296" s="45"/>
      <c r="K296" s="45"/>
      <c r="L296" s="45"/>
      <c r="M296" s="45"/>
      <c r="N296" s="45"/>
      <c r="O296" s="45"/>
    </row>
    <row r="297" spans="4:15">
      <c r="D297" s="45"/>
      <c r="E297" s="45"/>
      <c r="F297" s="45"/>
      <c r="G297" s="45"/>
      <c r="H297" s="45"/>
      <c r="I297" s="45"/>
      <c r="J297" s="45"/>
      <c r="K297" s="45"/>
      <c r="L297" s="45"/>
      <c r="M297" s="45"/>
      <c r="N297" s="45"/>
      <c r="O297" s="45"/>
    </row>
    <row r="298" spans="4:15">
      <c r="D298" s="45"/>
      <c r="E298" s="45"/>
      <c r="F298" s="45"/>
      <c r="G298" s="45"/>
      <c r="H298" s="45"/>
      <c r="I298" s="45"/>
      <c r="J298" s="45"/>
      <c r="K298" s="45"/>
      <c r="L298" s="45"/>
      <c r="M298" s="45"/>
      <c r="N298" s="45"/>
      <c r="O298" s="45"/>
    </row>
    <row r="299" spans="4:15">
      <c r="D299" s="45"/>
      <c r="E299" s="45"/>
      <c r="F299" s="45"/>
      <c r="G299" s="45"/>
      <c r="H299" s="45"/>
      <c r="I299" s="45"/>
      <c r="J299" s="45"/>
      <c r="K299" s="45"/>
      <c r="L299" s="45"/>
      <c r="M299" s="45"/>
      <c r="N299" s="45"/>
      <c r="O299" s="45"/>
    </row>
    <row r="300" spans="4:15">
      <c r="D300" s="45"/>
      <c r="E300" s="45"/>
      <c r="F300" s="45"/>
      <c r="G300" s="45"/>
      <c r="H300" s="45"/>
      <c r="I300" s="45"/>
      <c r="J300" s="45"/>
      <c r="K300" s="45"/>
      <c r="L300" s="45"/>
      <c r="M300" s="45"/>
      <c r="N300" s="45"/>
      <c r="O300" s="45"/>
    </row>
    <row r="301" spans="4:15">
      <c r="D301" s="45"/>
      <c r="E301" s="45"/>
      <c r="F301" s="45"/>
      <c r="G301" s="45"/>
      <c r="H301" s="45"/>
      <c r="I301" s="45"/>
      <c r="J301" s="45"/>
      <c r="K301" s="45"/>
      <c r="L301" s="45"/>
      <c r="M301" s="45"/>
      <c r="N301" s="45"/>
      <c r="O301" s="45"/>
    </row>
    <row r="302" spans="4:15">
      <c r="D302" s="45"/>
      <c r="E302" s="45"/>
      <c r="F302" s="45"/>
      <c r="G302" s="45"/>
      <c r="H302" s="45"/>
      <c r="I302" s="45"/>
      <c r="J302" s="45"/>
      <c r="K302" s="45"/>
      <c r="L302" s="45"/>
      <c r="M302" s="45"/>
      <c r="N302" s="45"/>
      <c r="O302" s="45"/>
    </row>
    <row r="303" spans="4:15">
      <c r="D303" s="45"/>
      <c r="E303" s="45"/>
      <c r="F303" s="45"/>
      <c r="G303" s="45"/>
      <c r="H303" s="45"/>
      <c r="I303" s="45"/>
      <c r="J303" s="45"/>
      <c r="K303" s="45"/>
      <c r="L303" s="45"/>
      <c r="M303" s="45"/>
      <c r="N303" s="45"/>
      <c r="O303" s="45"/>
    </row>
    <row r="304" spans="4:15">
      <c r="D304" s="45"/>
      <c r="E304" s="45"/>
      <c r="F304" s="45"/>
      <c r="G304" s="45"/>
      <c r="H304" s="45"/>
      <c r="I304" s="45"/>
      <c r="J304" s="45"/>
      <c r="K304" s="45"/>
      <c r="L304" s="45"/>
      <c r="M304" s="45"/>
      <c r="N304" s="45"/>
      <c r="O304" s="45"/>
    </row>
    <row r="305" spans="4:15">
      <c r="D305" s="45"/>
      <c r="E305" s="45"/>
      <c r="F305" s="45"/>
      <c r="G305" s="45"/>
      <c r="H305" s="45"/>
      <c r="I305" s="45"/>
      <c r="J305" s="45"/>
      <c r="K305" s="45"/>
      <c r="L305" s="45"/>
      <c r="M305" s="45"/>
      <c r="N305" s="45"/>
      <c r="O305" s="45"/>
    </row>
    <row r="306" spans="4:15">
      <c r="D306" s="45"/>
      <c r="E306" s="45"/>
      <c r="F306" s="45"/>
      <c r="G306" s="45"/>
      <c r="H306" s="45"/>
      <c r="I306" s="45"/>
      <c r="J306" s="45"/>
      <c r="K306" s="45"/>
      <c r="L306" s="45"/>
      <c r="M306" s="45"/>
      <c r="N306" s="45"/>
      <c r="O306" s="45"/>
    </row>
    <row r="307" spans="4:15">
      <c r="D307" s="45"/>
      <c r="E307" s="45"/>
      <c r="F307" s="45"/>
      <c r="G307" s="45"/>
      <c r="H307" s="45"/>
      <c r="I307" s="45"/>
      <c r="J307" s="45"/>
      <c r="K307" s="45"/>
      <c r="L307" s="45"/>
      <c r="M307" s="45"/>
      <c r="N307" s="45"/>
      <c r="O307" s="45"/>
    </row>
    <row r="308" spans="4:15">
      <c r="D308" s="45"/>
      <c r="E308" s="45"/>
      <c r="F308" s="45"/>
      <c r="G308" s="45"/>
      <c r="H308" s="45"/>
      <c r="I308" s="45"/>
      <c r="J308" s="45"/>
      <c r="K308" s="45"/>
      <c r="L308" s="45"/>
      <c r="M308" s="45"/>
      <c r="N308" s="45"/>
      <c r="O308" s="45"/>
    </row>
    <row r="309" spans="4:15">
      <c r="D309" s="45"/>
      <c r="E309" s="45"/>
      <c r="F309" s="45"/>
      <c r="G309" s="45"/>
      <c r="H309" s="45"/>
      <c r="I309" s="45"/>
      <c r="J309" s="45"/>
      <c r="K309" s="45"/>
      <c r="L309" s="45"/>
      <c r="M309" s="45"/>
      <c r="N309" s="45"/>
      <c r="O309" s="45"/>
    </row>
    <row r="310" spans="4:15">
      <c r="D310" s="45"/>
      <c r="E310" s="45"/>
      <c r="F310" s="45"/>
      <c r="G310" s="45"/>
      <c r="H310" s="45"/>
      <c r="I310" s="45"/>
      <c r="J310" s="45"/>
      <c r="K310" s="45"/>
      <c r="L310" s="45"/>
      <c r="M310" s="45"/>
      <c r="N310" s="45"/>
      <c r="O310" s="45"/>
    </row>
    <row r="311" spans="4:15">
      <c r="D311" s="45"/>
      <c r="E311" s="45"/>
      <c r="F311" s="45"/>
      <c r="G311" s="45"/>
      <c r="H311" s="45"/>
      <c r="I311" s="45"/>
      <c r="J311" s="45"/>
      <c r="K311" s="45"/>
      <c r="L311" s="45"/>
      <c r="M311" s="45"/>
      <c r="N311" s="45"/>
      <c r="O311" s="45"/>
    </row>
    <row r="312" spans="4:15">
      <c r="D312" s="45"/>
      <c r="E312" s="45"/>
      <c r="F312" s="45"/>
      <c r="G312" s="45"/>
      <c r="H312" s="45"/>
      <c r="I312" s="45"/>
      <c r="J312" s="45"/>
      <c r="K312" s="45"/>
      <c r="L312" s="45"/>
      <c r="M312" s="45"/>
      <c r="N312" s="45"/>
      <c r="O312" s="45"/>
    </row>
    <row r="313" spans="4:15">
      <c r="D313" s="45"/>
      <c r="E313" s="45"/>
      <c r="F313" s="45"/>
      <c r="G313" s="45"/>
      <c r="H313" s="45"/>
      <c r="I313" s="45"/>
      <c r="J313" s="45"/>
      <c r="K313" s="45"/>
      <c r="L313" s="45"/>
      <c r="M313" s="45"/>
      <c r="N313" s="45"/>
      <c r="O313" s="45"/>
    </row>
    <row r="314" spans="4:15">
      <c r="D314" s="45"/>
      <c r="E314" s="45"/>
      <c r="F314" s="45"/>
      <c r="G314" s="45"/>
      <c r="H314" s="45"/>
      <c r="I314" s="45"/>
      <c r="J314" s="45"/>
      <c r="K314" s="45"/>
      <c r="L314" s="45"/>
      <c r="M314" s="45"/>
      <c r="N314" s="45"/>
      <c r="O314" s="45"/>
    </row>
    <row r="315" spans="4:15">
      <c r="D315" s="45"/>
      <c r="E315" s="45"/>
      <c r="F315" s="45"/>
      <c r="G315" s="45"/>
      <c r="H315" s="45"/>
      <c r="I315" s="45"/>
      <c r="J315" s="45"/>
      <c r="K315" s="45"/>
      <c r="L315" s="45"/>
      <c r="M315" s="45"/>
      <c r="N315" s="45"/>
      <c r="O315" s="45"/>
    </row>
    <row r="316" spans="4:15">
      <c r="D316" s="45"/>
      <c r="E316" s="45"/>
      <c r="F316" s="45"/>
      <c r="G316" s="45"/>
      <c r="H316" s="45"/>
      <c r="I316" s="45"/>
      <c r="J316" s="45"/>
      <c r="K316" s="45"/>
      <c r="L316" s="45"/>
      <c r="M316" s="45"/>
      <c r="N316" s="45"/>
      <c r="O316" s="45"/>
    </row>
    <row r="317" spans="4:15">
      <c r="D317" s="45"/>
      <c r="E317" s="45"/>
      <c r="F317" s="45"/>
      <c r="G317" s="45"/>
      <c r="H317" s="45"/>
      <c r="I317" s="45"/>
      <c r="J317" s="45"/>
      <c r="K317" s="45"/>
      <c r="L317" s="45"/>
      <c r="M317" s="45"/>
      <c r="N317" s="45"/>
      <c r="O317" s="45"/>
    </row>
    <row r="318" spans="4:15">
      <c r="D318" s="45"/>
      <c r="E318" s="45"/>
      <c r="F318" s="45"/>
      <c r="G318" s="45"/>
      <c r="H318" s="45"/>
      <c r="I318" s="45"/>
      <c r="J318" s="45"/>
      <c r="K318" s="45"/>
      <c r="L318" s="45"/>
      <c r="M318" s="45"/>
      <c r="N318" s="45"/>
      <c r="O318" s="45"/>
    </row>
    <row r="319" spans="4:15">
      <c r="D319" s="45"/>
      <c r="E319" s="45"/>
      <c r="F319" s="45"/>
      <c r="G319" s="45"/>
      <c r="H319" s="45"/>
      <c r="I319" s="45"/>
      <c r="J319" s="45"/>
      <c r="K319" s="45"/>
      <c r="L319" s="45"/>
      <c r="M319" s="45"/>
      <c r="N319" s="45"/>
      <c r="O319" s="45"/>
    </row>
    <row r="320" spans="4:15">
      <c r="D320" s="45"/>
      <c r="E320" s="45"/>
      <c r="F320" s="45"/>
      <c r="G320" s="45"/>
      <c r="H320" s="45"/>
      <c r="I320" s="45"/>
      <c r="J320" s="45"/>
      <c r="K320" s="45"/>
      <c r="L320" s="45"/>
      <c r="M320" s="45"/>
      <c r="N320" s="45"/>
      <c r="O320" s="45"/>
    </row>
    <row r="321" spans="4:15">
      <c r="D321" s="45"/>
      <c r="E321" s="45"/>
      <c r="F321" s="45"/>
      <c r="G321" s="45"/>
      <c r="H321" s="45"/>
      <c r="I321" s="45"/>
      <c r="J321" s="45"/>
      <c r="K321" s="45"/>
      <c r="L321" s="45"/>
      <c r="M321" s="45"/>
      <c r="N321" s="45"/>
      <c r="O321" s="45"/>
    </row>
    <row r="322" spans="4:15">
      <c r="D322" s="45"/>
      <c r="E322" s="45"/>
      <c r="F322" s="45"/>
      <c r="G322" s="45"/>
      <c r="H322" s="45"/>
      <c r="I322" s="45"/>
      <c r="J322" s="45"/>
      <c r="K322" s="45"/>
      <c r="L322" s="45"/>
      <c r="M322" s="45"/>
      <c r="N322" s="45"/>
      <c r="O322" s="45"/>
    </row>
    <row r="323" spans="4:15">
      <c r="D323" s="45"/>
      <c r="E323" s="45"/>
      <c r="F323" s="45"/>
      <c r="G323" s="45"/>
      <c r="H323" s="45"/>
      <c r="I323" s="45"/>
      <c r="J323" s="45"/>
      <c r="K323" s="45"/>
      <c r="L323" s="45"/>
      <c r="M323" s="45"/>
      <c r="N323" s="45"/>
      <c r="O323" s="45"/>
    </row>
    <row r="324" spans="4:15">
      <c r="D324" s="45"/>
      <c r="E324" s="45"/>
      <c r="F324" s="45"/>
      <c r="G324" s="45"/>
      <c r="H324" s="45"/>
      <c r="I324" s="45"/>
      <c r="J324" s="45"/>
      <c r="K324" s="45"/>
      <c r="L324" s="45"/>
      <c r="M324" s="45"/>
      <c r="N324" s="45"/>
      <c r="O324" s="45"/>
    </row>
    <row r="325" spans="4:15">
      <c r="D325" s="45"/>
      <c r="E325" s="45"/>
      <c r="F325" s="45"/>
      <c r="G325" s="45"/>
      <c r="H325" s="45"/>
      <c r="I325" s="45"/>
      <c r="J325" s="45"/>
      <c r="K325" s="45"/>
      <c r="L325" s="45"/>
      <c r="M325" s="45"/>
      <c r="N325" s="45"/>
      <c r="O325" s="45"/>
    </row>
    <row r="326" spans="4:15">
      <c r="D326" s="45"/>
      <c r="E326" s="45"/>
      <c r="F326" s="45"/>
      <c r="G326" s="45"/>
      <c r="H326" s="45"/>
      <c r="I326" s="45"/>
      <c r="J326" s="45"/>
      <c r="K326" s="45"/>
      <c r="L326" s="45"/>
      <c r="M326" s="45"/>
      <c r="N326" s="45"/>
      <c r="O326" s="45"/>
    </row>
    <row r="327" spans="4:15">
      <c r="D327" s="45"/>
      <c r="E327" s="45"/>
      <c r="F327" s="45"/>
      <c r="G327" s="45"/>
      <c r="H327" s="45"/>
      <c r="I327" s="45"/>
      <c r="J327" s="45"/>
      <c r="K327" s="45"/>
      <c r="L327" s="45"/>
      <c r="M327" s="45"/>
      <c r="N327" s="45"/>
      <c r="O327" s="45"/>
    </row>
    <row r="328" spans="4:15">
      <c r="D328" s="45"/>
      <c r="E328" s="45"/>
      <c r="F328" s="45"/>
      <c r="G328" s="45"/>
      <c r="H328" s="45"/>
      <c r="I328" s="45"/>
      <c r="J328" s="45"/>
      <c r="K328" s="45"/>
      <c r="L328" s="45"/>
      <c r="M328" s="45"/>
      <c r="N328" s="45"/>
      <c r="O328" s="45"/>
    </row>
  </sheetData>
  <sortState caseSensitive="1" ref="AA3:AD50">
    <sortCondition descending="1" ref="AC3:AC50"/>
    <sortCondition descending="1" ref="AD3:AD50"/>
  </sortState>
  <mergeCells count="4">
    <mergeCell ref="AF12:AH12"/>
    <mergeCell ref="Z1:AD1"/>
    <mergeCell ref="BH1:BI1"/>
    <mergeCell ref="AH1:AI1"/>
  </mergeCells>
  <dataValidations disablePrompts="1" count="7">
    <dataValidation operator="greaterThan" allowBlank="1" showInputMessage="1" showErrorMessage="1" errorTitle="stop" error="retour" sqref="BH1:BJ2 Y1:Y1048576 Z1:Z131 AA131:AD1048576 AA1:AD2 AE1:AE1048576 Z133:Z1048576"/>
    <dataValidation type="whole" operator="greaterThan" allowBlank="1" showInputMessage="1" showErrorMessage="1" errorTitle="stop" error="retour" promptTitle="cellule protégée" prompt="stop" sqref="BH3:BJ35 AA3:AD112 BH36:BI36">
      <formula1>99999999</formula1>
    </dataValidation>
    <dataValidation type="whole" operator="greaterThan" allowBlank="1" showInputMessage="1" showErrorMessage="1" errorTitle="stop" error="stop" promptTitle="cellule protégée" prompt="stop" sqref="P137:Q1048576 P1:Q128">
      <formula1>999999999</formula1>
    </dataValidation>
    <dataValidation type="custom" operator="greaterThan" allowBlank="1" showInputMessage="1" showErrorMessage="1" errorTitle="stop" error="stop" promptTitle="cellule protégée" prompt="stop" sqref="D132:Q136">
      <formula1>"zzz;;;zzzz"</formula1>
    </dataValidation>
    <dataValidation type="custom" allowBlank="1" showInputMessage="1" showErrorMessage="1" sqref="D129:I129">
      <formula1>"zzzzz,,,zzz"</formula1>
    </dataValidation>
    <dataValidation type="custom" allowBlank="1" showInputMessage="1" showErrorMessage="1" sqref="R130">
      <formula1>"zzz,,,"</formula1>
    </dataValidation>
    <dataValidation operator="greaterThan" allowBlank="1" showInputMessage="1" showErrorMessage="1" errorTitle="stop" error="stop" promptTitle="cellule protégée" prompt="stop" sqref="G130:I130 D130:F131 H131 J131"/>
  </dataValidations>
  <pageMargins left="0.23622047244094491" right="0.23622047244094491" top="0.15748031496062992" bottom="0.35433070866141736" header="0" footer="0"/>
  <pageSetup paperSize="9" scale="68" orientation="portrait" blackAndWhite="1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7030A0"/>
  </sheetPr>
  <dimension ref="A1:AB1051"/>
  <sheetViews>
    <sheetView topLeftCell="A946" zoomScale="110" zoomScaleNormal="110" workbookViewId="0">
      <selection activeCell="N1001" sqref="N1001"/>
    </sheetView>
  </sheetViews>
  <sheetFormatPr baseColWidth="10" defaultRowHeight="12.75"/>
  <cols>
    <col min="1" max="12" width="7.140625" customWidth="1"/>
    <col min="13" max="13" width="3.5703125" customWidth="1"/>
    <col min="14" max="14" width="18.28515625" customWidth="1"/>
    <col min="15" max="15" width="8.85546875" customWidth="1"/>
    <col min="16" max="17" width="14.85546875" customWidth="1"/>
    <col min="18" max="18" width="9.5703125" customWidth="1"/>
    <col min="20" max="20" width="8.5703125" customWidth="1"/>
  </cols>
  <sheetData>
    <row r="1" spans="1:26" ht="25.5" customHeight="1" thickTop="1" thickBot="1">
      <c r="N1" s="7"/>
      <c r="P1" s="133" t="s">
        <v>16</v>
      </c>
      <c r="Q1" s="134"/>
      <c r="R1" s="81">
        <v>48</v>
      </c>
      <c r="S1" s="136" t="s">
        <v>17</v>
      </c>
      <c r="T1" s="108">
        <f>resultat!AI2</f>
        <v>48</v>
      </c>
    </row>
    <row r="2" spans="1:26" ht="25.5" customHeight="1" thickTop="1" thickBot="1">
      <c r="E2" s="128" t="s">
        <v>6</v>
      </c>
      <c r="F2" s="128"/>
      <c r="G2" s="128"/>
      <c r="H2" s="128"/>
      <c r="I2" s="128"/>
      <c r="N2" s="7"/>
      <c r="P2" s="143" t="s">
        <v>18</v>
      </c>
      <c r="Q2" s="144"/>
      <c r="R2" s="81">
        <v>24</v>
      </c>
      <c r="S2" s="146" t="s">
        <v>17</v>
      </c>
      <c r="T2" s="108">
        <f>resultat!AI3</f>
        <v>24</v>
      </c>
    </row>
    <row r="3" spans="1:26" ht="25.5" customHeight="1" thickTop="1" thickBot="1">
      <c r="F3" s="12"/>
      <c r="G3" s="12"/>
      <c r="H3" s="12"/>
      <c r="I3" s="12"/>
      <c r="J3" s="12"/>
      <c r="N3" s="7"/>
      <c r="P3" s="143" t="s">
        <v>19</v>
      </c>
      <c r="Q3" s="144"/>
      <c r="R3" s="81">
        <v>24</v>
      </c>
      <c r="S3" s="146" t="s">
        <v>17</v>
      </c>
      <c r="T3" s="108">
        <f>resultat!AI4</f>
        <v>24</v>
      </c>
    </row>
    <row r="4" spans="1:26" ht="25.5" customHeight="1" thickTop="1" thickBot="1">
      <c r="F4" s="12"/>
      <c r="G4" s="12"/>
      <c r="H4" s="12"/>
      <c r="I4" s="12"/>
      <c r="J4" s="12"/>
      <c r="N4" s="7"/>
      <c r="P4" s="147" t="s">
        <v>21</v>
      </c>
      <c r="Q4" s="148"/>
      <c r="R4" s="81">
        <v>12</v>
      </c>
      <c r="S4" s="150" t="s">
        <v>17</v>
      </c>
      <c r="T4" s="108">
        <f>resultat!AI5</f>
        <v>12</v>
      </c>
      <c r="V4" s="12"/>
      <c r="W4" s="12"/>
      <c r="X4" s="12"/>
    </row>
    <row r="5" spans="1:26" ht="25.5" customHeight="1" thickTop="1" thickBot="1">
      <c r="F5" s="12"/>
      <c r="G5" s="12"/>
      <c r="H5" s="12"/>
      <c r="I5" s="12"/>
      <c r="N5" s="7"/>
      <c r="P5" s="147" t="s">
        <v>22</v>
      </c>
      <c r="Q5" s="148"/>
      <c r="R5" s="81">
        <v>24</v>
      </c>
      <c r="S5" s="150" t="s">
        <v>17</v>
      </c>
      <c r="T5" s="108">
        <f>resultat!AI6</f>
        <v>24</v>
      </c>
      <c r="V5" s="102" t="s">
        <v>34</v>
      </c>
      <c r="W5" s="100"/>
      <c r="X5" s="12"/>
    </row>
    <row r="6" spans="1:26" ht="25.5" customHeight="1" thickTop="1" thickBot="1">
      <c r="F6" s="12"/>
      <c r="G6" s="12"/>
      <c r="H6" s="12"/>
      <c r="N6" s="7"/>
      <c r="P6" s="147" t="s">
        <v>20</v>
      </c>
      <c r="Q6" s="148"/>
      <c r="R6" s="81">
        <v>12</v>
      </c>
      <c r="S6" s="150" t="s">
        <v>17</v>
      </c>
      <c r="T6" s="108">
        <f>resultat!AI7</f>
        <v>12</v>
      </c>
      <c r="V6" s="12"/>
      <c r="W6" s="12"/>
      <c r="X6" s="12"/>
    </row>
    <row r="7" spans="1:26" ht="25.5" customHeight="1" thickTop="1" thickBot="1">
      <c r="A7" s="62"/>
      <c r="B7" s="63"/>
      <c r="C7" s="62"/>
      <c r="D7" s="62"/>
      <c r="E7" s="62"/>
      <c r="F7" s="62"/>
      <c r="G7" s="62"/>
      <c r="H7" s="62"/>
      <c r="I7" s="62"/>
      <c r="J7" s="62"/>
      <c r="K7" s="62"/>
      <c r="L7" s="62"/>
      <c r="P7" s="133" t="s">
        <v>23</v>
      </c>
      <c r="Q7" s="134"/>
      <c r="R7" s="81">
        <v>6</v>
      </c>
      <c r="S7" s="136" t="s">
        <v>17</v>
      </c>
      <c r="T7" s="108">
        <f>resultat!AI8</f>
        <v>6</v>
      </c>
      <c r="V7" s="12"/>
      <c r="W7" s="12"/>
    </row>
    <row r="8" spans="1:26" ht="25.5" customHeight="1" thickTop="1" thickBot="1">
      <c r="A8" s="62"/>
      <c r="B8" s="94"/>
      <c r="C8" s="62"/>
      <c r="D8" s="62"/>
      <c r="E8" s="62"/>
      <c r="F8" s="62"/>
      <c r="G8" s="62"/>
      <c r="H8" s="62"/>
      <c r="I8" s="62"/>
      <c r="J8" s="62"/>
      <c r="K8" s="62"/>
      <c r="L8" s="62"/>
      <c r="P8" s="133" t="s">
        <v>24</v>
      </c>
      <c r="Q8" s="134"/>
      <c r="R8" s="81">
        <v>18</v>
      </c>
      <c r="S8" s="136" t="s">
        <v>17</v>
      </c>
      <c r="T8" s="108">
        <f>resultat!AI9</f>
        <v>18</v>
      </c>
    </row>
    <row r="9" spans="1:26" ht="25.5" customHeight="1" thickTop="1" thickBot="1">
      <c r="A9" s="62"/>
      <c r="B9" s="66"/>
      <c r="C9" s="62"/>
      <c r="D9" s="62"/>
      <c r="E9" s="62"/>
      <c r="F9" s="62"/>
      <c r="G9" s="62"/>
      <c r="H9" s="62"/>
      <c r="I9" s="62"/>
      <c r="J9" s="62"/>
      <c r="K9" s="62"/>
      <c r="L9" s="62"/>
      <c r="P9" s="133" t="s">
        <v>39</v>
      </c>
      <c r="Q9" s="134"/>
      <c r="R9" s="81">
        <v>18</v>
      </c>
      <c r="S9" s="136" t="s">
        <v>17</v>
      </c>
      <c r="T9" s="108">
        <f>resultat!AI10</f>
        <v>18</v>
      </c>
    </row>
    <row r="10" spans="1:26" ht="25.5" customHeight="1" thickTop="1" thickBot="1">
      <c r="A10" s="62"/>
      <c r="B10" s="66"/>
      <c r="C10" s="62"/>
      <c r="D10" s="62"/>
      <c r="E10" s="62"/>
      <c r="F10" s="62"/>
      <c r="G10" s="62"/>
      <c r="H10" s="62"/>
      <c r="I10" s="62"/>
      <c r="J10" s="62"/>
      <c r="K10" s="62"/>
      <c r="L10" s="62"/>
      <c r="N10" s="126" t="s">
        <v>42</v>
      </c>
      <c r="P10" s="133" t="s">
        <v>43</v>
      </c>
      <c r="Q10" s="134"/>
      <c r="R10" s="81">
        <v>6</v>
      </c>
      <c r="S10" s="136" t="s">
        <v>17</v>
      </c>
      <c r="T10" s="108">
        <f>resultat!AI11</f>
        <v>6</v>
      </c>
    </row>
    <row r="11" spans="1:26" ht="22.5" customHeight="1" thickTop="1" thickBot="1">
      <c r="T11" s="108">
        <f>resultat!AI12</f>
        <v>4</v>
      </c>
    </row>
    <row r="12" spans="1:26" ht="11.25" customHeight="1" thickTop="1"/>
    <row r="13" spans="1:26" ht="11.25" customHeight="1"/>
    <row r="14" spans="1:26" ht="11.25" customHeight="1"/>
    <row r="15" spans="1:26" ht="20.25" customHeight="1" thickBot="1">
      <c r="F15" s="127"/>
      <c r="G15" s="127"/>
      <c r="H15" s="127"/>
    </row>
    <row r="16" spans="1:26" ht="20.25" customHeight="1" thickTop="1" thickBot="1">
      <c r="E16" s="80" t="s">
        <v>7</v>
      </c>
      <c r="F16" s="127"/>
      <c r="G16" s="81">
        <v>48</v>
      </c>
      <c r="H16" s="127"/>
      <c r="Z16">
        <f>G16/2</f>
        <v>24</v>
      </c>
    </row>
    <row r="17" spans="1:28" ht="20.25" customHeight="1" thickTop="1">
      <c r="F17" s="127"/>
      <c r="G17" s="127"/>
      <c r="H17" s="127"/>
    </row>
    <row r="18" spans="1:28" ht="15" customHeight="1" thickBot="1"/>
    <row r="19" spans="1:28" ht="20.25" customHeight="1">
      <c r="A19" s="197" t="s">
        <v>1</v>
      </c>
      <c r="B19" s="198"/>
      <c r="C19" s="199" t="s">
        <v>0</v>
      </c>
      <c r="D19" s="200"/>
      <c r="E19" s="201" t="s">
        <v>2</v>
      </c>
      <c r="F19" s="202"/>
      <c r="G19" s="203" t="s">
        <v>3</v>
      </c>
      <c r="H19" s="204"/>
      <c r="I19" s="205" t="s">
        <v>4</v>
      </c>
      <c r="J19" s="206"/>
      <c r="K19" s="195" t="s">
        <v>5</v>
      </c>
      <c r="L19" s="196"/>
    </row>
    <row r="20" spans="1:28" ht="15" customHeight="1">
      <c r="A20" s="1">
        <v>27</v>
      </c>
      <c r="B20" s="5">
        <v>5</v>
      </c>
      <c r="C20" s="1"/>
      <c r="D20" s="5"/>
      <c r="E20" s="1"/>
      <c r="F20" s="5"/>
      <c r="G20" s="1"/>
      <c r="H20" s="5"/>
      <c r="I20" s="1"/>
      <c r="J20" s="5"/>
      <c r="K20" s="1"/>
      <c r="L20" s="2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</row>
    <row r="21" spans="1:28" ht="15" customHeight="1">
      <c r="A21" s="1">
        <v>24</v>
      </c>
      <c r="B21" s="5">
        <v>33</v>
      </c>
      <c r="C21" s="1"/>
      <c r="D21" s="5"/>
      <c r="E21" s="1"/>
      <c r="F21" s="5"/>
      <c r="G21" s="1"/>
      <c r="H21" s="5"/>
      <c r="I21" s="1"/>
      <c r="J21" s="5"/>
      <c r="K21" s="1"/>
      <c r="L21" s="2"/>
      <c r="AB21">
        <v>44</v>
      </c>
    </row>
    <row r="22" spans="1:28" ht="15" customHeight="1">
      <c r="A22" s="1">
        <v>38</v>
      </c>
      <c r="B22" s="5">
        <v>22</v>
      </c>
      <c r="C22" s="1"/>
      <c r="D22" s="5"/>
      <c r="E22" s="1"/>
      <c r="F22" s="5"/>
      <c r="G22" s="1"/>
      <c r="H22" s="5"/>
      <c r="I22" s="1"/>
      <c r="J22" s="5"/>
      <c r="K22" s="1"/>
      <c r="L22" s="2"/>
      <c r="AB22">
        <v>5</v>
      </c>
    </row>
    <row r="23" spans="1:28" ht="15" customHeight="1">
      <c r="A23" s="1">
        <v>31</v>
      </c>
      <c r="B23" s="5">
        <v>1</v>
      </c>
      <c r="C23" s="1"/>
      <c r="D23" s="5"/>
      <c r="E23" s="1"/>
      <c r="F23" s="5"/>
      <c r="G23" s="1"/>
      <c r="H23" s="5"/>
      <c r="I23" s="1"/>
      <c r="J23" s="5"/>
      <c r="K23" s="1"/>
      <c r="L23" s="2"/>
    </row>
    <row r="24" spans="1:28" ht="15" customHeight="1">
      <c r="A24" s="1">
        <v>35</v>
      </c>
      <c r="B24" s="5">
        <v>7</v>
      </c>
      <c r="C24" s="1"/>
      <c r="D24" s="5"/>
      <c r="E24" s="1"/>
      <c r="F24" s="5"/>
      <c r="G24" s="1"/>
      <c r="H24" s="5"/>
      <c r="I24" s="1"/>
      <c r="J24" s="5"/>
      <c r="K24" s="1"/>
      <c r="L24" s="2"/>
    </row>
    <row r="25" spans="1:28" ht="15" customHeight="1">
      <c r="A25" s="1">
        <v>21</v>
      </c>
      <c r="B25" s="5">
        <v>23</v>
      </c>
      <c r="C25" s="1"/>
      <c r="D25" s="5"/>
      <c r="E25" s="1"/>
      <c r="F25" s="5"/>
      <c r="G25" s="1"/>
      <c r="H25" s="5"/>
      <c r="I25" s="1"/>
      <c r="J25" s="5"/>
      <c r="K25" s="1"/>
      <c r="L25" s="2"/>
    </row>
    <row r="26" spans="1:28" ht="15" customHeight="1">
      <c r="A26" s="1">
        <v>6</v>
      </c>
      <c r="B26" s="5">
        <v>2</v>
      </c>
      <c r="C26" s="1"/>
      <c r="D26" s="5"/>
      <c r="E26" s="1"/>
      <c r="F26" s="5"/>
      <c r="G26" s="1"/>
      <c r="H26" s="5"/>
      <c r="I26" s="1"/>
      <c r="J26" s="5"/>
      <c r="K26" s="1"/>
      <c r="L26" s="2"/>
    </row>
    <row r="27" spans="1:28" ht="15" customHeight="1">
      <c r="A27" s="1">
        <v>46</v>
      </c>
      <c r="B27" s="5">
        <v>44</v>
      </c>
      <c r="C27" s="1"/>
      <c r="D27" s="5"/>
      <c r="E27" s="1"/>
      <c r="F27" s="5"/>
      <c r="G27" s="1"/>
      <c r="H27" s="5"/>
      <c r="I27" s="1"/>
      <c r="J27" s="5"/>
      <c r="K27" s="1"/>
      <c r="L27" s="2"/>
    </row>
    <row r="28" spans="1:28" ht="15" customHeight="1">
      <c r="A28" s="1">
        <v>18</v>
      </c>
      <c r="B28" s="5">
        <v>19</v>
      </c>
      <c r="C28" s="1"/>
      <c r="D28" s="5"/>
      <c r="E28" s="1"/>
      <c r="F28" s="5"/>
      <c r="G28" s="1"/>
      <c r="H28" s="5"/>
      <c r="I28" s="1"/>
      <c r="J28" s="5"/>
      <c r="K28" s="1"/>
      <c r="L28" s="2"/>
    </row>
    <row r="29" spans="1:28" ht="15" customHeight="1">
      <c r="A29" s="1">
        <v>41</v>
      </c>
      <c r="B29" s="5">
        <v>17</v>
      </c>
      <c r="C29" s="1"/>
      <c r="D29" s="5"/>
      <c r="E29" s="1"/>
      <c r="F29" s="5"/>
      <c r="G29" s="1"/>
      <c r="H29" s="5"/>
      <c r="I29" s="1"/>
      <c r="J29" s="5"/>
      <c r="K29" s="1"/>
      <c r="L29" s="2"/>
    </row>
    <row r="30" spans="1:28" ht="15" customHeight="1">
      <c r="A30" s="1">
        <v>14</v>
      </c>
      <c r="B30" s="5">
        <v>39</v>
      </c>
      <c r="C30" s="1"/>
      <c r="D30" s="5"/>
      <c r="E30" s="1"/>
      <c r="F30" s="5"/>
      <c r="G30" s="1"/>
      <c r="H30" s="5"/>
      <c r="I30" s="1"/>
      <c r="J30" s="5"/>
      <c r="K30" s="1"/>
      <c r="L30" s="2"/>
    </row>
    <row r="31" spans="1:28" ht="15" customHeight="1">
      <c r="A31" s="1">
        <v>43</v>
      </c>
      <c r="B31" s="5">
        <v>37</v>
      </c>
      <c r="C31" s="1"/>
      <c r="D31" s="5"/>
      <c r="E31" s="1"/>
      <c r="F31" s="5"/>
      <c r="G31" s="1"/>
      <c r="H31" s="5"/>
      <c r="I31" s="1"/>
      <c r="J31" s="5"/>
      <c r="K31" s="1"/>
      <c r="L31" s="2"/>
    </row>
    <row r="32" spans="1:28" ht="15" customHeight="1">
      <c r="A32" s="1">
        <v>34</v>
      </c>
      <c r="B32" s="5">
        <v>20</v>
      </c>
      <c r="C32" s="1"/>
      <c r="D32" s="5"/>
      <c r="E32" s="1"/>
      <c r="F32" s="5"/>
      <c r="G32" s="1"/>
      <c r="H32" s="5"/>
      <c r="I32" s="1"/>
      <c r="J32" s="5"/>
      <c r="K32" s="1"/>
      <c r="L32" s="2"/>
    </row>
    <row r="33" spans="1:12" ht="15" customHeight="1">
      <c r="A33" s="1">
        <v>42</v>
      </c>
      <c r="B33" s="5">
        <v>3</v>
      </c>
      <c r="C33" s="1"/>
      <c r="D33" s="5"/>
      <c r="E33" s="1"/>
      <c r="F33" s="5"/>
      <c r="G33" s="1"/>
      <c r="H33" s="5"/>
      <c r="I33" s="1"/>
      <c r="J33" s="5"/>
      <c r="K33" s="1"/>
      <c r="L33" s="2"/>
    </row>
    <row r="34" spans="1:12" ht="15" customHeight="1">
      <c r="A34" s="1">
        <v>16</v>
      </c>
      <c r="B34" s="5">
        <v>4</v>
      </c>
      <c r="C34" s="1"/>
      <c r="D34" s="5"/>
      <c r="E34" s="1"/>
      <c r="F34" s="5"/>
      <c r="G34" s="1"/>
      <c r="H34" s="5"/>
      <c r="I34" s="1"/>
      <c r="J34" s="5"/>
      <c r="K34" s="1"/>
      <c r="L34" s="2"/>
    </row>
    <row r="35" spans="1:12" ht="15" customHeight="1">
      <c r="A35" s="1">
        <v>48</v>
      </c>
      <c r="B35" s="5">
        <v>40</v>
      </c>
      <c r="C35" s="1"/>
      <c r="D35" s="5"/>
      <c r="E35" s="1"/>
      <c r="F35" s="5"/>
      <c r="G35" s="1"/>
      <c r="H35" s="5"/>
      <c r="I35" s="1"/>
      <c r="J35" s="5"/>
      <c r="K35" s="1"/>
      <c r="L35" s="2"/>
    </row>
    <row r="36" spans="1:12" ht="15" customHeight="1">
      <c r="A36" s="1">
        <v>29</v>
      </c>
      <c r="B36" s="5">
        <v>32</v>
      </c>
      <c r="C36" s="1"/>
      <c r="D36" s="5"/>
      <c r="E36" s="1"/>
      <c r="F36" s="5"/>
      <c r="G36" s="1"/>
      <c r="H36" s="5"/>
      <c r="I36" s="1"/>
      <c r="J36" s="5"/>
      <c r="K36" s="1"/>
      <c r="L36" s="2"/>
    </row>
    <row r="37" spans="1:12" ht="15" customHeight="1">
      <c r="A37" s="1">
        <v>13</v>
      </c>
      <c r="B37" s="5">
        <v>47</v>
      </c>
      <c r="C37" s="1"/>
      <c r="D37" s="5"/>
      <c r="E37" s="1"/>
      <c r="F37" s="5"/>
      <c r="G37" s="1"/>
      <c r="H37" s="5"/>
      <c r="I37" s="1"/>
      <c r="J37" s="5"/>
      <c r="K37" s="1"/>
      <c r="L37" s="2"/>
    </row>
    <row r="38" spans="1:12" ht="15" customHeight="1">
      <c r="A38" s="1">
        <v>10</v>
      </c>
      <c r="B38" s="5">
        <v>26</v>
      </c>
      <c r="C38" s="1"/>
      <c r="D38" s="5"/>
      <c r="E38" s="1"/>
      <c r="F38" s="5"/>
      <c r="G38" s="1"/>
      <c r="H38" s="5"/>
      <c r="I38" s="1"/>
      <c r="J38" s="5"/>
      <c r="K38" s="1"/>
      <c r="L38" s="2"/>
    </row>
    <row r="39" spans="1:12" ht="15" customHeight="1">
      <c r="A39" s="1">
        <v>36</v>
      </c>
      <c r="B39" s="5">
        <v>15</v>
      </c>
      <c r="C39" s="1"/>
      <c r="D39" s="5"/>
      <c r="E39" s="1"/>
      <c r="F39" s="5"/>
      <c r="G39" s="1"/>
      <c r="H39" s="5"/>
      <c r="I39" s="1"/>
      <c r="J39" s="5"/>
      <c r="K39" s="1"/>
      <c r="L39" s="2"/>
    </row>
    <row r="40" spans="1:12" ht="15" customHeight="1">
      <c r="A40" s="1">
        <v>45</v>
      </c>
      <c r="B40" s="5">
        <v>11</v>
      </c>
      <c r="C40" s="1"/>
      <c r="D40" s="5"/>
      <c r="E40" s="1"/>
      <c r="F40" s="5"/>
      <c r="G40" s="1"/>
      <c r="H40" s="5"/>
      <c r="I40" s="1"/>
      <c r="J40" s="5"/>
      <c r="K40" s="1"/>
      <c r="L40" s="2"/>
    </row>
    <row r="41" spans="1:12" ht="15" customHeight="1">
      <c r="A41" s="1">
        <v>28</v>
      </c>
      <c r="B41" s="5">
        <v>25</v>
      </c>
      <c r="C41" s="1"/>
      <c r="D41" s="5"/>
      <c r="E41" s="1"/>
      <c r="F41" s="5"/>
      <c r="G41" s="1"/>
      <c r="H41" s="5"/>
      <c r="I41" s="1"/>
      <c r="J41" s="5"/>
      <c r="K41" s="1"/>
      <c r="L41" s="2"/>
    </row>
    <row r="42" spans="1:12" ht="15" customHeight="1">
      <c r="A42" s="1">
        <v>8</v>
      </c>
      <c r="B42" s="5">
        <v>30</v>
      </c>
      <c r="C42" s="1"/>
      <c r="D42" s="5"/>
      <c r="E42" s="1"/>
      <c r="F42" s="5"/>
      <c r="G42" s="1"/>
      <c r="H42" s="5"/>
      <c r="I42" s="1"/>
      <c r="J42" s="5"/>
      <c r="K42" s="1"/>
      <c r="L42" s="2"/>
    </row>
    <row r="43" spans="1:12" ht="15" customHeight="1" thickBot="1">
      <c r="A43" s="3">
        <v>12</v>
      </c>
      <c r="B43" s="6">
        <v>9</v>
      </c>
      <c r="C43" s="3"/>
      <c r="D43" s="6"/>
      <c r="E43" s="3"/>
      <c r="F43" s="6"/>
      <c r="G43" s="3"/>
      <c r="H43" s="6"/>
      <c r="I43" s="3"/>
      <c r="J43" s="6"/>
      <c r="K43" s="3"/>
      <c r="L43" s="4"/>
    </row>
    <row r="44" spans="1:12" ht="15" customHeight="1"/>
    <row r="45" spans="1:12" ht="15" customHeight="1"/>
    <row r="46" spans="1:12" ht="15" customHeight="1"/>
    <row r="47" spans="1:12" ht="15" customHeight="1"/>
    <row r="48" spans="1:12" ht="15" customHeight="1"/>
    <row r="49" ht="15" customHeight="1"/>
    <row r="50" ht="15" customHeight="1"/>
    <row r="51" ht="15" customHeight="1"/>
    <row r="52" ht="15" customHeight="1"/>
    <row r="53" ht="15" customHeight="1"/>
    <row r="54" ht="15" customHeight="1"/>
    <row r="55" ht="15" customHeight="1"/>
    <row r="56" ht="15" customHeight="1"/>
    <row r="57" ht="15" customHeight="1"/>
    <row r="58" ht="15" customHeight="1"/>
    <row r="59" ht="15" customHeight="1"/>
    <row r="60" ht="15" customHeight="1"/>
    <row r="61" ht="15" customHeight="1"/>
    <row r="62" ht="15" customHeight="1"/>
    <row r="63" ht="15" customHeight="1"/>
    <row r="64" ht="15" customHeight="1"/>
    <row r="65" ht="15" customHeight="1"/>
    <row r="66" ht="15" customHeight="1"/>
    <row r="67" ht="15" customHeight="1"/>
    <row r="68" ht="15" customHeight="1"/>
    <row r="69" ht="15" customHeight="1"/>
    <row r="70" ht="15" customHeight="1"/>
    <row r="71" ht="15" customHeight="1"/>
    <row r="72" ht="15" customHeight="1"/>
    <row r="73" ht="15" customHeight="1"/>
    <row r="74" ht="15" customHeight="1"/>
    <row r="75" ht="15" customHeight="1"/>
    <row r="76" ht="15" customHeight="1"/>
    <row r="77" ht="15" customHeight="1"/>
    <row r="78" ht="15" customHeight="1"/>
    <row r="79" ht="15" customHeight="1"/>
    <row r="80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  <row r="90" ht="15" customHeight="1"/>
    <row r="91" ht="15" customHeight="1"/>
    <row r="92" ht="15" customHeight="1"/>
    <row r="93" ht="15" customHeight="1"/>
    <row r="94" ht="15" customHeight="1"/>
    <row r="95" ht="15" customHeight="1"/>
    <row r="96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01" spans="14:16">
      <c r="N1001">
        <f>resultat!AT1</f>
        <v>21</v>
      </c>
      <c r="O1001">
        <f>resultat!AZ1</f>
        <v>41</v>
      </c>
      <c r="P1001">
        <f>resultat!BB1</f>
        <v>17</v>
      </c>
    </row>
    <row r="1002" spans="14:16">
      <c r="N1002">
        <f>resultat!AT2</f>
        <v>41</v>
      </c>
      <c r="O1002">
        <f>resultat!AZ2</f>
        <v>30</v>
      </c>
      <c r="P1002">
        <f>resultat!BB2</f>
        <v>21</v>
      </c>
    </row>
    <row r="1003" spans="14:16">
      <c r="N1003">
        <f>resultat!AT3</f>
        <v>44</v>
      </c>
      <c r="O1003">
        <f>resultat!AZ3</f>
        <v>29</v>
      </c>
      <c r="P1003">
        <f>resultat!BB3</f>
        <v>31</v>
      </c>
    </row>
    <row r="1004" spans="14:16">
      <c r="N1004">
        <f>resultat!AT4</f>
        <v>17</v>
      </c>
      <c r="O1004">
        <f>resultat!AZ4</f>
        <v>36</v>
      </c>
      <c r="P1004">
        <f>resultat!BB4</f>
        <v>34</v>
      </c>
    </row>
    <row r="1005" spans="14:16">
      <c r="N1005">
        <f>resultat!AT5</f>
        <v>32</v>
      </c>
      <c r="O1005">
        <f>resultat!AZ5</f>
        <v>43</v>
      </c>
      <c r="P1005">
        <f>resultat!BB5</f>
        <v>8</v>
      </c>
    </row>
    <row r="1006" spans="14:16">
      <c r="N1006">
        <f>resultat!AT6</f>
        <v>30</v>
      </c>
      <c r="O1006">
        <f>resultat!AZ6</f>
        <v>4</v>
      </c>
      <c r="P1006">
        <f>resultat!BB6</f>
        <v>33</v>
      </c>
    </row>
    <row r="1007" spans="14:16">
      <c r="N1007">
        <f>resultat!AT7</f>
        <v>33</v>
      </c>
      <c r="O1007">
        <f>resultat!AZ7</f>
        <v>11</v>
      </c>
      <c r="P1007">
        <f>resultat!BB7</f>
        <v>44</v>
      </c>
    </row>
    <row r="1008" spans="14:16">
      <c r="N1008">
        <f>resultat!AT8</f>
        <v>25</v>
      </c>
      <c r="O1008">
        <f>resultat!AZ8</f>
        <v>10</v>
      </c>
      <c r="P1008">
        <f>resultat!BB8</f>
        <v>32</v>
      </c>
    </row>
    <row r="1009" spans="14:16">
      <c r="N1009">
        <f>resultat!AT9</f>
        <v>36</v>
      </c>
      <c r="O1009">
        <f>resultat!AZ9</f>
        <v>22</v>
      </c>
      <c r="P1009">
        <f>resultat!BB9</f>
        <v>3</v>
      </c>
    </row>
    <row r="1010" spans="14:16">
      <c r="N1010">
        <f>resultat!AT10</f>
        <v>29</v>
      </c>
      <c r="O1010">
        <f>resultat!AZ10</f>
        <v>42</v>
      </c>
      <c r="P1010">
        <f>resultat!BB10</f>
        <v>18</v>
      </c>
    </row>
    <row r="1011" spans="14:16">
      <c r="N1011">
        <f>resultat!AT11</f>
        <v>4</v>
      </c>
      <c r="O1011">
        <f>resultat!AZ11</f>
        <v>25</v>
      </c>
      <c r="P1011">
        <f>resultat!BB11</f>
        <v>24</v>
      </c>
    </row>
    <row r="1012" spans="14:16">
      <c r="N1012">
        <f>resultat!AT12</f>
        <v>11</v>
      </c>
      <c r="O1012">
        <f>resultat!AZ12</f>
        <v>26</v>
      </c>
      <c r="P1012">
        <f>resultat!BB12</f>
        <v>5</v>
      </c>
    </row>
    <row r="1013" spans="14:16">
      <c r="N1013">
        <f>resultat!AT13</f>
        <v>3</v>
      </c>
      <c r="O1013">
        <f>resultat!AZ13</f>
        <v>16</v>
      </c>
      <c r="P1013">
        <f>resultat!BB13</f>
        <v>45</v>
      </c>
    </row>
    <row r="1014" spans="14:16">
      <c r="N1014">
        <f>resultat!AT14</f>
        <v>2</v>
      </c>
      <c r="O1014">
        <f>resultat!AZ14</f>
        <v>19</v>
      </c>
      <c r="P1014">
        <f>resultat!BB14</f>
        <v>2</v>
      </c>
    </row>
    <row r="1015" spans="14:16">
      <c r="N1015">
        <f>resultat!AT15</f>
        <v>13</v>
      </c>
      <c r="O1015">
        <f>resultat!AZ15</f>
        <v>9</v>
      </c>
      <c r="P1015">
        <f>resultat!BB15</f>
        <v>13</v>
      </c>
    </row>
    <row r="1016" spans="14:16">
      <c r="N1016">
        <f>resultat!AT16</f>
        <v>5</v>
      </c>
      <c r="O1016">
        <f>resultat!AZ16</f>
        <v>35</v>
      </c>
      <c r="P1016">
        <f>resultat!BB16</f>
        <v>27</v>
      </c>
    </row>
    <row r="1017" spans="14:16">
      <c r="N1017">
        <f>resultat!AT17</f>
        <v>27</v>
      </c>
      <c r="O1017">
        <f>resultat!AZ17</f>
        <v>48</v>
      </c>
      <c r="P1017">
        <f>resultat!BB17</f>
        <v>28</v>
      </c>
    </row>
    <row r="1018" spans="14:16">
      <c r="N1018">
        <f>resultat!AT18</f>
        <v>9</v>
      </c>
      <c r="O1018">
        <f>resultat!AZ18</f>
        <v>46</v>
      </c>
      <c r="P1018">
        <f>resultat!BB18</f>
        <v>15</v>
      </c>
    </row>
    <row r="1019" spans="14:16">
      <c r="N1019">
        <f>resultat!AT19</f>
        <v>26</v>
      </c>
      <c r="O1019">
        <f>resultat!AZ19</f>
        <v>0</v>
      </c>
      <c r="P1019">
        <f>resultat!BB19</f>
        <v>0</v>
      </c>
    </row>
    <row r="1020" spans="14:16">
      <c r="N1020">
        <f>resultat!AT20</f>
        <v>10</v>
      </c>
      <c r="O1020">
        <f>resultat!AZ20</f>
        <v>0</v>
      </c>
      <c r="P1020">
        <f>resultat!BB20</f>
        <v>0</v>
      </c>
    </row>
    <row r="1021" spans="14:16">
      <c r="N1021">
        <f>resultat!AT21</f>
        <v>28</v>
      </c>
      <c r="O1021">
        <f>resultat!AZ21</f>
        <v>0</v>
      </c>
      <c r="P1021">
        <f>resultat!BB21</f>
        <v>0</v>
      </c>
    </row>
    <row r="1022" spans="14:16">
      <c r="N1022">
        <f>resultat!AT22</f>
        <v>46</v>
      </c>
      <c r="O1022">
        <f>resultat!AZ22</f>
        <v>0</v>
      </c>
      <c r="P1022">
        <f>resultat!BB22</f>
        <v>0</v>
      </c>
    </row>
    <row r="1023" spans="14:16">
      <c r="N1023">
        <f>resultat!AT23</f>
        <v>35</v>
      </c>
      <c r="O1023">
        <f>resultat!AZ23</f>
        <v>0</v>
      </c>
      <c r="P1023">
        <f>resultat!BB23</f>
        <v>0</v>
      </c>
    </row>
    <row r="1024" spans="14:16">
      <c r="N1024">
        <f>resultat!AT24</f>
        <v>15</v>
      </c>
      <c r="O1024">
        <f>resultat!AZ24</f>
        <v>0</v>
      </c>
      <c r="P1024">
        <f>resultat!BB24</f>
        <v>0</v>
      </c>
    </row>
    <row r="1025" spans="14:16">
      <c r="N1025">
        <f>resultat!AT25</f>
        <v>0</v>
      </c>
      <c r="O1025">
        <f>resultat!AZ25</f>
        <v>0</v>
      </c>
      <c r="P1025">
        <f>resultat!BB25</f>
        <v>0</v>
      </c>
    </row>
    <row r="1026" spans="14:16">
      <c r="N1026">
        <f>resultat!AT26</f>
        <v>0</v>
      </c>
      <c r="O1026">
        <f>resultat!AZ26</f>
        <v>0</v>
      </c>
      <c r="P1026">
        <f>resultat!BB26</f>
        <v>0</v>
      </c>
    </row>
    <row r="1027" spans="14:16">
      <c r="N1027">
        <f>resultat!AT27</f>
        <v>0</v>
      </c>
      <c r="O1027">
        <f>resultat!AZ27</f>
        <v>0</v>
      </c>
      <c r="P1027">
        <f>resultat!BB27</f>
        <v>0</v>
      </c>
    </row>
    <row r="1028" spans="14:16">
      <c r="N1028">
        <f>resultat!AT28</f>
        <v>0</v>
      </c>
      <c r="O1028">
        <f>resultat!AZ28</f>
        <v>0</v>
      </c>
      <c r="P1028">
        <f>resultat!BB28</f>
        <v>0</v>
      </c>
    </row>
    <row r="1029" spans="14:16">
      <c r="N1029">
        <f>resultat!AT29</f>
        <v>0</v>
      </c>
      <c r="O1029">
        <f>resultat!AZ29</f>
        <v>0</v>
      </c>
      <c r="P1029">
        <f>resultat!BB29</f>
        <v>0</v>
      </c>
    </row>
    <row r="1030" spans="14:16">
      <c r="N1030">
        <f>resultat!AT30</f>
        <v>0</v>
      </c>
      <c r="O1030">
        <f>resultat!AZ30</f>
        <v>0</v>
      </c>
      <c r="P1030">
        <f>resultat!BB30</f>
        <v>0</v>
      </c>
    </row>
    <row r="1031" spans="14:16">
      <c r="N1031">
        <f>resultat!AT31</f>
        <v>0</v>
      </c>
      <c r="O1031">
        <f>resultat!AZ31</f>
        <v>0</v>
      </c>
      <c r="P1031">
        <f>resultat!BB31</f>
        <v>0</v>
      </c>
    </row>
    <row r="1032" spans="14:16">
      <c r="N1032">
        <f>resultat!AT32</f>
        <v>0</v>
      </c>
      <c r="O1032">
        <f>resultat!AZ32</f>
        <v>0</v>
      </c>
      <c r="P1032">
        <f>resultat!BB32</f>
        <v>0</v>
      </c>
    </row>
    <row r="1033" spans="14:16">
      <c r="N1033">
        <f>resultat!AT33</f>
        <v>0</v>
      </c>
      <c r="O1033">
        <f>resultat!AZ33</f>
        <v>0</v>
      </c>
      <c r="P1033">
        <f>resultat!BB33</f>
        <v>0</v>
      </c>
    </row>
    <row r="1034" spans="14:16">
      <c r="N1034">
        <f>resultat!AT34</f>
        <v>0</v>
      </c>
      <c r="O1034">
        <f>resultat!AZ34</f>
        <v>0</v>
      </c>
      <c r="P1034">
        <f>resultat!BB34</f>
        <v>0</v>
      </c>
    </row>
    <row r="1035" spans="14:16">
      <c r="N1035">
        <f>resultat!AT35</f>
        <v>0</v>
      </c>
      <c r="O1035">
        <f>resultat!AZ35</f>
        <v>0</v>
      </c>
      <c r="P1035">
        <f>resultat!BB35</f>
        <v>0</v>
      </c>
    </row>
    <row r="1036" spans="14:16">
      <c r="N1036">
        <f>resultat!AT36</f>
        <v>0</v>
      </c>
      <c r="O1036">
        <f>resultat!AZ36</f>
        <v>0</v>
      </c>
      <c r="P1036">
        <f>resultat!BB36</f>
        <v>0</v>
      </c>
    </row>
    <row r="1037" spans="14:16">
      <c r="N1037">
        <f>resultat!AT37</f>
        <v>0</v>
      </c>
      <c r="O1037">
        <f>resultat!AZ37</f>
        <v>0</v>
      </c>
      <c r="P1037">
        <f>resultat!BB37</f>
        <v>0</v>
      </c>
    </row>
    <row r="1038" spans="14:16">
      <c r="N1038">
        <f>resultat!AT38</f>
        <v>0</v>
      </c>
      <c r="O1038">
        <f>resultat!AZ38</f>
        <v>0</v>
      </c>
      <c r="P1038">
        <f>resultat!BB38</f>
        <v>0</v>
      </c>
    </row>
    <row r="1039" spans="14:16">
      <c r="N1039">
        <f>resultat!AT39</f>
        <v>0</v>
      </c>
      <c r="O1039">
        <f>resultat!AZ39</f>
        <v>0</v>
      </c>
      <c r="P1039">
        <f>resultat!BB39</f>
        <v>0</v>
      </c>
    </row>
    <row r="1040" spans="14:16">
      <c r="N1040">
        <f>resultat!AT40</f>
        <v>0</v>
      </c>
      <c r="O1040">
        <f>resultat!AZ40</f>
        <v>0</v>
      </c>
      <c r="P1040">
        <f>resultat!BB40</f>
        <v>0</v>
      </c>
    </row>
    <row r="1041" spans="14:16">
      <c r="N1041">
        <f>resultat!AT41</f>
        <v>0</v>
      </c>
      <c r="O1041">
        <f>resultat!AZ41</f>
        <v>0</v>
      </c>
      <c r="P1041">
        <f>resultat!BB41</f>
        <v>0</v>
      </c>
    </row>
    <row r="1042" spans="14:16">
      <c r="N1042">
        <f>resultat!AT42</f>
        <v>0</v>
      </c>
      <c r="O1042">
        <f>resultat!AZ42</f>
        <v>0</v>
      </c>
      <c r="P1042">
        <f>resultat!BB42</f>
        <v>0</v>
      </c>
    </row>
    <row r="1043" spans="14:16">
      <c r="N1043">
        <f>resultat!AT43</f>
        <v>0</v>
      </c>
      <c r="O1043">
        <f>resultat!AZ43</f>
        <v>0</v>
      </c>
      <c r="P1043">
        <f>resultat!BB43</f>
        <v>0</v>
      </c>
    </row>
    <row r="1044" spans="14:16">
      <c r="N1044">
        <f>resultat!AT44</f>
        <v>0</v>
      </c>
      <c r="O1044">
        <f>resultat!AZ44</f>
        <v>0</v>
      </c>
      <c r="P1044">
        <f>resultat!BB44</f>
        <v>0</v>
      </c>
    </row>
    <row r="1045" spans="14:16">
      <c r="N1045">
        <f>resultat!AT45</f>
        <v>0</v>
      </c>
      <c r="O1045">
        <f>resultat!AZ45</f>
        <v>0</v>
      </c>
      <c r="P1045">
        <f>resultat!BB45</f>
        <v>0</v>
      </c>
    </row>
    <row r="1046" spans="14:16">
      <c r="N1046">
        <f>resultat!AT46</f>
        <v>0</v>
      </c>
      <c r="O1046">
        <f>resultat!AZ46</f>
        <v>0</v>
      </c>
      <c r="P1046">
        <f>resultat!BB46</f>
        <v>0</v>
      </c>
    </row>
    <row r="1047" spans="14:16">
      <c r="N1047">
        <f>resultat!AT47</f>
        <v>0</v>
      </c>
      <c r="O1047">
        <f>resultat!AZ47</f>
        <v>0</v>
      </c>
      <c r="P1047">
        <f>resultat!BB47</f>
        <v>0</v>
      </c>
    </row>
    <row r="1048" spans="14:16">
      <c r="N1048">
        <f>resultat!AT48</f>
        <v>0</v>
      </c>
      <c r="O1048">
        <f>resultat!AZ48</f>
        <v>0</v>
      </c>
      <c r="P1048">
        <f>resultat!BB48</f>
        <v>0</v>
      </c>
    </row>
    <row r="1049" spans="14:16">
      <c r="N1049">
        <f>resultat!AT49</f>
        <v>0</v>
      </c>
      <c r="O1049">
        <f>resultat!AZ49</f>
        <v>0</v>
      </c>
      <c r="P1049">
        <f>resultat!BB49</f>
        <v>0</v>
      </c>
    </row>
    <row r="1050" spans="14:16">
      <c r="N1050">
        <f>resultat!AT50</f>
        <v>0</v>
      </c>
      <c r="O1050">
        <f>resultat!AZ50</f>
        <v>0</v>
      </c>
      <c r="P1050">
        <f>resultat!BB50</f>
        <v>0</v>
      </c>
    </row>
    <row r="1051" spans="14:16">
      <c r="N1051">
        <f>resultat!AT51</f>
        <v>0</v>
      </c>
      <c r="O1051">
        <f>resultat!AZ51</f>
        <v>0</v>
      </c>
      <c r="P1051">
        <f>resultat!BB51</f>
        <v>0</v>
      </c>
    </row>
  </sheetData>
  <mergeCells count="6">
    <mergeCell ref="K19:L19"/>
    <mergeCell ref="A19:B19"/>
    <mergeCell ref="C19:D19"/>
    <mergeCell ref="E19:F19"/>
    <mergeCell ref="G19:H19"/>
    <mergeCell ref="I19:J19"/>
  </mergeCells>
  <phoneticPr fontId="1" type="noConversion"/>
  <dataValidations count="2">
    <dataValidation type="custom" allowBlank="1" showInputMessage="1" showErrorMessage="1" sqref="T1:T11">
      <formula1>"zzzz;;;;;"</formula1>
    </dataValidation>
    <dataValidation type="custom" allowBlank="1" showInputMessage="1" showErrorMessage="1" sqref="P1:Q9 S1:S9">
      <formula1>"zzzz,,,"</formula1>
    </dataValidation>
  </dataValidations>
  <pageMargins left="0.28000000000000003" right="0.33" top="0.24" bottom="0.2" header="0.18" footer="0.18"/>
  <pageSetup paperSize="9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3"/>
  <dimension ref="A1:Q553"/>
  <sheetViews>
    <sheetView workbookViewId="0">
      <selection activeCell="M1" sqref="M1"/>
    </sheetView>
  </sheetViews>
  <sheetFormatPr baseColWidth="10" defaultRowHeight="12.75"/>
  <cols>
    <col min="1" max="14" width="11.42578125" style="84"/>
    <col min="15" max="15" width="17.28515625" style="84" customWidth="1"/>
    <col min="16" max="16" width="5.5703125" style="84" customWidth="1"/>
    <col min="17" max="16384" width="11.42578125" style="84"/>
  </cols>
  <sheetData>
    <row r="1" spans="1:17" ht="21.75" thickTop="1" thickBot="1">
      <c r="A1" s="1">
        <v>27</v>
      </c>
      <c r="B1" s="5">
        <v>5</v>
      </c>
      <c r="C1" s="1"/>
      <c r="D1" s="5"/>
      <c r="E1" s="1"/>
      <c r="F1" s="5"/>
      <c r="G1" s="1"/>
      <c r="H1" s="5"/>
      <c r="I1" s="1"/>
      <c r="J1" s="5"/>
      <c r="K1" s="1"/>
      <c r="L1" s="2"/>
      <c r="M1" s="81">
        <v>48</v>
      </c>
    </row>
    <row r="2" spans="1:17" ht="14.25" thickTop="1" thickBot="1">
      <c r="A2" s="1">
        <v>24</v>
      </c>
      <c r="B2" s="5">
        <v>33</v>
      </c>
      <c r="C2" s="1"/>
      <c r="D2" s="5"/>
      <c r="E2" s="1"/>
      <c r="F2" s="5"/>
      <c r="G2" s="1"/>
      <c r="H2" s="5"/>
      <c r="I2" s="1"/>
      <c r="J2" s="5"/>
      <c r="K2" s="1"/>
      <c r="L2" s="2"/>
      <c r="N2" s="132"/>
    </row>
    <row r="3" spans="1:17" ht="21.75" customHeight="1" thickTop="1" thickBot="1">
      <c r="A3" s="1">
        <v>38</v>
      </c>
      <c r="B3" s="5">
        <v>22</v>
      </c>
      <c r="C3" s="1"/>
      <c r="D3" s="5"/>
      <c r="E3" s="1"/>
      <c r="F3" s="5"/>
      <c r="G3" s="1"/>
      <c r="H3" s="5"/>
      <c r="I3" s="1"/>
      <c r="J3" s="5"/>
      <c r="K3" s="1"/>
      <c r="L3" s="2"/>
      <c r="N3" s="133" t="s">
        <v>16</v>
      </c>
      <c r="O3" s="134"/>
      <c r="P3" s="135"/>
      <c r="Q3" s="136" t="s">
        <v>17</v>
      </c>
    </row>
    <row r="4" spans="1:17" ht="13.5" thickTop="1">
      <c r="A4" s="1">
        <v>31</v>
      </c>
      <c r="B4" s="5">
        <v>1</v>
      </c>
      <c r="C4" s="1"/>
      <c r="D4" s="5"/>
      <c r="E4" s="1"/>
      <c r="F4" s="5"/>
      <c r="G4" s="1"/>
      <c r="H4" s="5"/>
      <c r="I4" s="1"/>
      <c r="J4" s="5"/>
      <c r="K4" s="1"/>
      <c r="L4" s="2"/>
    </row>
    <row r="5" spans="1:17">
      <c r="A5" s="1">
        <v>35</v>
      </c>
      <c r="B5" s="5">
        <v>7</v>
      </c>
      <c r="C5" s="1"/>
      <c r="D5" s="5"/>
      <c r="E5" s="1"/>
      <c r="F5" s="5"/>
      <c r="G5" s="1"/>
      <c r="H5" s="5"/>
      <c r="I5" s="1"/>
      <c r="J5" s="5"/>
      <c r="K5" s="1"/>
      <c r="L5" s="2"/>
    </row>
    <row r="6" spans="1:17">
      <c r="A6" s="1">
        <v>21</v>
      </c>
      <c r="B6" s="5">
        <v>23</v>
      </c>
      <c r="C6" s="1"/>
      <c r="D6" s="5"/>
      <c r="E6" s="1"/>
      <c r="F6" s="5"/>
      <c r="G6" s="1"/>
      <c r="H6" s="5"/>
      <c r="I6" s="1"/>
      <c r="J6" s="5"/>
      <c r="K6" s="1"/>
      <c r="L6" s="2"/>
    </row>
    <row r="7" spans="1:17">
      <c r="A7" s="1">
        <v>6</v>
      </c>
      <c r="B7" s="5">
        <v>2</v>
      </c>
      <c r="C7" s="1"/>
      <c r="D7" s="5"/>
      <c r="E7" s="1"/>
      <c r="F7" s="5"/>
      <c r="G7" s="1"/>
      <c r="H7" s="5"/>
      <c r="I7" s="1"/>
      <c r="J7" s="5"/>
      <c r="K7" s="1"/>
      <c r="L7" s="2"/>
    </row>
    <row r="8" spans="1:17">
      <c r="A8" s="1">
        <v>46</v>
      </c>
      <c r="B8" s="5">
        <v>44</v>
      </c>
      <c r="C8" s="1"/>
      <c r="D8" s="5"/>
      <c r="E8" s="1"/>
      <c r="F8" s="5"/>
      <c r="G8" s="1"/>
      <c r="H8" s="5"/>
      <c r="I8" s="1"/>
      <c r="J8" s="5"/>
      <c r="K8" s="1"/>
      <c r="L8" s="2"/>
    </row>
    <row r="9" spans="1:17" ht="15">
      <c r="A9" s="1">
        <v>18</v>
      </c>
      <c r="B9" s="5">
        <v>19</v>
      </c>
      <c r="C9" s="1"/>
      <c r="D9" s="5"/>
      <c r="E9" s="1"/>
      <c r="F9" s="5"/>
      <c r="G9" s="1"/>
      <c r="H9" s="5"/>
      <c r="I9" s="1"/>
      <c r="J9" s="5"/>
      <c r="K9" s="1"/>
      <c r="L9" s="2"/>
      <c r="N9" s="137"/>
      <c r="O9" s="137"/>
      <c r="P9" s="137"/>
    </row>
    <row r="10" spans="1:17" ht="15">
      <c r="A10" s="1">
        <v>41</v>
      </c>
      <c r="B10" s="5">
        <v>17</v>
      </c>
      <c r="C10" s="1"/>
      <c r="D10" s="5"/>
      <c r="E10" s="1"/>
      <c r="F10" s="5"/>
      <c r="G10" s="1"/>
      <c r="H10" s="5"/>
      <c r="I10" s="1"/>
      <c r="J10" s="5"/>
      <c r="K10" s="1"/>
      <c r="L10" s="2"/>
      <c r="N10" s="137"/>
      <c r="O10" s="137"/>
      <c r="P10" s="137"/>
    </row>
    <row r="11" spans="1:17">
      <c r="A11" s="1">
        <v>14</v>
      </c>
      <c r="B11" s="5">
        <v>39</v>
      </c>
      <c r="C11" s="1"/>
      <c r="D11" s="5"/>
      <c r="E11" s="1"/>
      <c r="F11" s="5"/>
      <c r="G11" s="1"/>
      <c r="H11" s="5"/>
      <c r="I11" s="1"/>
      <c r="J11" s="5"/>
      <c r="K11" s="1"/>
      <c r="L11" s="2"/>
    </row>
    <row r="12" spans="1:17">
      <c r="A12" s="1">
        <v>43</v>
      </c>
      <c r="B12" s="5">
        <v>37</v>
      </c>
      <c r="C12" s="1"/>
      <c r="D12" s="5"/>
      <c r="E12" s="1"/>
      <c r="F12" s="5"/>
      <c r="G12" s="1"/>
      <c r="H12" s="5"/>
      <c r="I12" s="1"/>
      <c r="J12" s="5"/>
      <c r="K12" s="1"/>
      <c r="L12" s="2"/>
    </row>
    <row r="13" spans="1:17">
      <c r="A13" s="1">
        <v>34</v>
      </c>
      <c r="B13" s="5">
        <v>20</v>
      </c>
      <c r="C13" s="1"/>
      <c r="D13" s="5"/>
      <c r="E13" s="1"/>
      <c r="F13" s="5"/>
      <c r="G13" s="1"/>
      <c r="H13" s="5"/>
      <c r="I13" s="1"/>
      <c r="J13" s="5"/>
      <c r="K13" s="1"/>
      <c r="L13" s="2"/>
    </row>
    <row r="14" spans="1:17">
      <c r="A14" s="1">
        <v>42</v>
      </c>
      <c r="B14" s="5">
        <v>3</v>
      </c>
      <c r="C14" s="1"/>
      <c r="D14" s="5"/>
      <c r="E14" s="1"/>
      <c r="F14" s="5"/>
      <c r="G14" s="1"/>
      <c r="H14" s="5"/>
      <c r="I14" s="1"/>
      <c r="J14" s="5"/>
      <c r="K14" s="1"/>
      <c r="L14" s="2"/>
    </row>
    <row r="15" spans="1:17">
      <c r="A15" s="1">
        <v>16</v>
      </c>
      <c r="B15" s="5">
        <v>4</v>
      </c>
      <c r="C15" s="1"/>
      <c r="D15" s="5"/>
      <c r="E15" s="1"/>
      <c r="F15" s="5"/>
      <c r="G15" s="1"/>
      <c r="H15" s="5"/>
      <c r="I15" s="1"/>
      <c r="J15" s="5"/>
      <c r="K15" s="1"/>
      <c r="L15" s="2"/>
    </row>
    <row r="16" spans="1:17">
      <c r="A16" s="1">
        <v>48</v>
      </c>
      <c r="B16" s="5">
        <v>40</v>
      </c>
      <c r="C16" s="1"/>
      <c r="D16" s="5"/>
      <c r="E16" s="1"/>
      <c r="F16" s="5"/>
      <c r="G16" s="1"/>
      <c r="H16" s="5"/>
      <c r="I16" s="1"/>
      <c r="J16" s="5"/>
      <c r="K16" s="1"/>
      <c r="L16" s="2"/>
    </row>
    <row r="17" spans="1:12">
      <c r="A17" s="1">
        <v>29</v>
      </c>
      <c r="B17" s="5">
        <v>32</v>
      </c>
      <c r="C17" s="1"/>
      <c r="D17" s="5"/>
      <c r="E17" s="1"/>
      <c r="F17" s="5"/>
      <c r="G17" s="1"/>
      <c r="H17" s="5"/>
      <c r="I17" s="1"/>
      <c r="J17" s="5"/>
      <c r="K17" s="1"/>
      <c r="L17" s="2"/>
    </row>
    <row r="18" spans="1:12">
      <c r="A18" s="1">
        <v>13</v>
      </c>
      <c r="B18" s="5">
        <v>47</v>
      </c>
      <c r="C18" s="1"/>
      <c r="D18" s="5"/>
      <c r="E18" s="1"/>
      <c r="F18" s="5"/>
      <c r="G18" s="1"/>
      <c r="H18" s="5"/>
      <c r="I18" s="1"/>
      <c r="J18" s="5"/>
      <c r="K18" s="1"/>
      <c r="L18" s="2"/>
    </row>
    <row r="19" spans="1:12">
      <c r="A19" s="1">
        <v>10</v>
      </c>
      <c r="B19" s="5">
        <v>26</v>
      </c>
      <c r="C19" s="1"/>
      <c r="D19" s="5"/>
      <c r="E19" s="1"/>
      <c r="F19" s="5"/>
      <c r="G19" s="1"/>
      <c r="H19" s="5"/>
      <c r="I19" s="1"/>
      <c r="J19" s="5"/>
      <c r="K19" s="1"/>
      <c r="L19" s="2"/>
    </row>
    <row r="20" spans="1:12">
      <c r="A20" s="1">
        <v>36</v>
      </c>
      <c r="B20" s="5">
        <v>15</v>
      </c>
      <c r="C20" s="1"/>
      <c r="D20" s="5"/>
      <c r="E20" s="1"/>
      <c r="F20" s="5"/>
      <c r="G20" s="1"/>
      <c r="H20" s="5"/>
      <c r="I20" s="1"/>
      <c r="J20" s="5"/>
      <c r="K20" s="1"/>
      <c r="L20" s="2"/>
    </row>
    <row r="21" spans="1:12">
      <c r="A21" s="1">
        <v>45</v>
      </c>
      <c r="B21" s="5">
        <v>11</v>
      </c>
      <c r="C21" s="1"/>
      <c r="D21" s="5"/>
      <c r="E21" s="1"/>
      <c r="F21" s="5"/>
      <c r="G21" s="1"/>
      <c r="H21" s="5"/>
      <c r="I21" s="1"/>
      <c r="J21" s="5"/>
      <c r="K21" s="1"/>
      <c r="L21" s="2"/>
    </row>
    <row r="22" spans="1:12">
      <c r="A22" s="1">
        <v>28</v>
      </c>
      <c r="B22" s="5">
        <v>25</v>
      </c>
      <c r="C22" s="1"/>
      <c r="D22" s="5"/>
      <c r="E22" s="1"/>
      <c r="F22" s="5"/>
      <c r="G22" s="1"/>
      <c r="H22" s="5"/>
      <c r="I22" s="1"/>
      <c r="J22" s="5"/>
      <c r="K22" s="1"/>
      <c r="L22" s="2"/>
    </row>
    <row r="23" spans="1:12">
      <c r="A23" s="1">
        <v>8</v>
      </c>
      <c r="B23" s="5">
        <v>30</v>
      </c>
      <c r="C23" s="1"/>
      <c r="D23" s="5"/>
      <c r="E23" s="1"/>
      <c r="F23" s="5"/>
      <c r="G23" s="1"/>
      <c r="H23" s="5"/>
      <c r="I23" s="1"/>
      <c r="J23" s="5"/>
      <c r="K23" s="1"/>
      <c r="L23" s="2"/>
    </row>
    <row r="24" spans="1:12" ht="13.5" thickBot="1">
      <c r="A24" s="3">
        <v>12</v>
      </c>
      <c r="B24" s="6">
        <v>9</v>
      </c>
      <c r="C24" s="3"/>
      <c r="D24" s="6"/>
      <c r="E24" s="3"/>
      <c r="F24" s="6"/>
      <c r="G24" s="3"/>
      <c r="H24" s="6"/>
      <c r="I24" s="3"/>
      <c r="J24" s="6"/>
      <c r="K24" s="3"/>
      <c r="L24" s="4"/>
    </row>
    <row r="25" spans="1:12" ht="13.5" thickBot="1">
      <c r="A25" s="3"/>
      <c r="B25" s="6"/>
      <c r="C25" s="3"/>
      <c r="D25" s="6"/>
      <c r="E25" s="3"/>
      <c r="F25" s="6"/>
      <c r="G25" s="3"/>
      <c r="H25" s="6"/>
      <c r="I25" s="3"/>
      <c r="J25" s="6"/>
      <c r="K25" s="3"/>
      <c r="L25" s="4"/>
    </row>
    <row r="26" spans="1:12" ht="13.5" thickBot="1">
      <c r="A26" s="3"/>
      <c r="B26" s="6"/>
      <c r="C26" s="3"/>
      <c r="D26" s="6"/>
      <c r="E26" s="3"/>
      <c r="F26" s="6"/>
      <c r="G26" s="3"/>
      <c r="H26" s="6"/>
      <c r="I26" s="3"/>
      <c r="J26" s="6"/>
      <c r="K26" s="3"/>
      <c r="L26" s="4"/>
    </row>
    <row r="27" spans="1:12">
      <c r="A27" s="129"/>
      <c r="B27" s="130"/>
      <c r="C27" s="129"/>
      <c r="D27" s="130"/>
      <c r="E27" s="129"/>
      <c r="F27" s="130"/>
      <c r="G27" s="129"/>
      <c r="H27" s="130"/>
      <c r="I27" s="129"/>
      <c r="J27" s="130"/>
      <c r="K27" s="129"/>
      <c r="L27" s="131"/>
    </row>
    <row r="28" spans="1:12">
      <c r="A28" s="129"/>
      <c r="B28" s="130"/>
      <c r="C28" s="129"/>
      <c r="D28" s="130"/>
      <c r="E28" s="129"/>
      <c r="F28" s="130"/>
      <c r="G28" s="129"/>
      <c r="H28" s="130"/>
      <c r="I28" s="129"/>
      <c r="J28" s="130"/>
      <c r="K28" s="129"/>
      <c r="L28" s="131"/>
    </row>
    <row r="29" spans="1:12">
      <c r="A29" s="129"/>
      <c r="B29" s="130"/>
      <c r="C29" s="129"/>
      <c r="D29" s="130"/>
      <c r="E29" s="129"/>
      <c r="F29" s="130"/>
      <c r="G29" s="129"/>
      <c r="H29" s="130"/>
      <c r="I29" s="129"/>
      <c r="J29" s="130"/>
      <c r="K29" s="129"/>
      <c r="L29" s="131"/>
    </row>
    <row r="30" spans="1:12">
      <c r="A30" s="129"/>
      <c r="B30" s="130"/>
      <c r="C30" s="129"/>
      <c r="D30" s="130"/>
      <c r="E30" s="129"/>
      <c r="F30" s="130"/>
      <c r="G30" s="129"/>
      <c r="H30" s="130"/>
      <c r="I30" s="129"/>
      <c r="J30" s="130"/>
      <c r="K30" s="129"/>
      <c r="L30" s="131"/>
    </row>
    <row r="31" spans="1:12">
      <c r="A31" s="129"/>
      <c r="B31" s="130"/>
      <c r="C31" s="129"/>
      <c r="D31" s="130"/>
      <c r="E31" s="129"/>
      <c r="F31" s="130"/>
      <c r="G31" s="129"/>
      <c r="H31" s="130"/>
      <c r="I31" s="129"/>
      <c r="J31" s="130"/>
      <c r="K31" s="129"/>
      <c r="L31" s="131"/>
    </row>
    <row r="32" spans="1:12" ht="13.5" thickBot="1">
      <c r="A32" s="138"/>
      <c r="B32" s="139"/>
      <c r="C32" s="138"/>
      <c r="D32" s="139"/>
      <c r="E32" s="138"/>
      <c r="F32" s="139"/>
      <c r="G32" s="138"/>
      <c r="H32" s="139"/>
      <c r="I32" s="138"/>
      <c r="J32" s="139"/>
      <c r="K32" s="138"/>
      <c r="L32" s="140"/>
    </row>
    <row r="33" spans="1:12">
      <c r="A33" s="129"/>
      <c r="B33" s="130"/>
      <c r="C33" s="129"/>
      <c r="D33" s="130"/>
      <c r="E33" s="129"/>
      <c r="F33" s="130"/>
      <c r="G33" s="129"/>
      <c r="H33" s="130"/>
      <c r="I33" s="129"/>
      <c r="J33" s="130"/>
      <c r="K33" s="129"/>
      <c r="L33" s="131"/>
    </row>
    <row r="34" spans="1:12">
      <c r="A34" s="129"/>
      <c r="B34" s="130"/>
      <c r="C34" s="129"/>
      <c r="D34" s="130"/>
      <c r="E34" s="129"/>
      <c r="F34" s="130"/>
      <c r="G34" s="129"/>
      <c r="H34" s="130"/>
      <c r="I34" s="129"/>
      <c r="J34" s="130"/>
      <c r="K34" s="129"/>
      <c r="L34" s="131"/>
    </row>
    <row r="35" spans="1:12">
      <c r="A35" s="129"/>
      <c r="B35" s="130"/>
      <c r="C35" s="129"/>
      <c r="D35" s="130"/>
      <c r="E35" s="129"/>
      <c r="F35" s="130"/>
      <c r="G35" s="129"/>
      <c r="H35" s="130"/>
      <c r="I35" s="129"/>
      <c r="J35" s="130"/>
      <c r="K35" s="129"/>
      <c r="L35" s="131"/>
    </row>
    <row r="36" spans="1:12">
      <c r="A36" s="129"/>
      <c r="B36" s="130"/>
      <c r="C36" s="129"/>
      <c r="D36" s="130"/>
      <c r="E36" s="129"/>
      <c r="F36" s="130"/>
      <c r="G36" s="129"/>
      <c r="H36" s="130"/>
      <c r="I36" s="129"/>
      <c r="J36" s="130"/>
      <c r="K36" s="129"/>
      <c r="L36" s="131"/>
    </row>
    <row r="37" spans="1:12">
      <c r="A37" s="129"/>
      <c r="B37" s="130"/>
      <c r="C37" s="129"/>
      <c r="D37" s="130"/>
      <c r="E37" s="129"/>
      <c r="F37" s="130"/>
      <c r="G37" s="129"/>
      <c r="H37" s="130"/>
      <c r="I37" s="129"/>
      <c r="J37" s="130"/>
      <c r="K37" s="129"/>
      <c r="L37" s="131"/>
    </row>
    <row r="38" spans="1:12">
      <c r="A38" s="129"/>
      <c r="B38" s="130"/>
      <c r="C38" s="129"/>
      <c r="D38" s="130"/>
      <c r="E38" s="129"/>
      <c r="F38" s="130"/>
      <c r="G38" s="129"/>
      <c r="H38" s="130"/>
      <c r="I38" s="129"/>
      <c r="J38" s="130"/>
      <c r="K38" s="129"/>
      <c r="L38" s="131"/>
    </row>
    <row r="39" spans="1:12">
      <c r="A39" s="129"/>
      <c r="B39" s="130"/>
      <c r="C39" s="129"/>
      <c r="D39" s="130"/>
      <c r="E39" s="129"/>
      <c r="F39" s="130"/>
      <c r="G39" s="129"/>
      <c r="H39" s="130"/>
      <c r="I39" s="129"/>
      <c r="J39" s="130"/>
      <c r="K39" s="129"/>
      <c r="L39" s="131"/>
    </row>
    <row r="40" spans="1:12">
      <c r="A40" s="129"/>
      <c r="B40" s="130"/>
      <c r="C40" s="129"/>
      <c r="D40" s="130"/>
      <c r="E40" s="129"/>
      <c r="F40" s="130"/>
      <c r="G40" s="129"/>
      <c r="H40" s="130"/>
      <c r="I40" s="129"/>
      <c r="J40" s="130"/>
      <c r="K40" s="129"/>
      <c r="L40" s="131"/>
    </row>
    <row r="41" spans="1:12">
      <c r="A41" s="129"/>
      <c r="B41" s="130"/>
      <c r="C41" s="129"/>
      <c r="D41" s="130"/>
      <c r="E41" s="129"/>
      <c r="F41" s="130"/>
      <c r="G41" s="129"/>
      <c r="H41" s="130"/>
      <c r="I41" s="129"/>
      <c r="J41" s="130"/>
      <c r="K41" s="129"/>
      <c r="L41" s="131"/>
    </row>
    <row r="42" spans="1:12">
      <c r="A42" s="129"/>
      <c r="B42" s="130"/>
      <c r="C42" s="129"/>
      <c r="D42" s="130"/>
      <c r="E42" s="129"/>
      <c r="F42" s="130"/>
      <c r="G42" s="129"/>
      <c r="H42" s="130"/>
      <c r="I42" s="129"/>
      <c r="J42" s="130"/>
      <c r="K42" s="129"/>
      <c r="L42" s="131"/>
    </row>
    <row r="43" spans="1:12">
      <c r="A43" s="129"/>
      <c r="B43" s="130"/>
      <c r="C43" s="129"/>
      <c r="D43" s="130"/>
      <c r="E43" s="129"/>
      <c r="F43" s="130"/>
      <c r="G43" s="129"/>
      <c r="H43" s="130"/>
      <c r="I43" s="129"/>
      <c r="J43" s="130"/>
      <c r="K43" s="129"/>
      <c r="L43" s="131"/>
    </row>
    <row r="44" spans="1:12">
      <c r="A44" s="129"/>
      <c r="B44" s="130"/>
      <c r="C44" s="129"/>
      <c r="D44" s="130"/>
      <c r="E44" s="129"/>
      <c r="F44" s="130"/>
      <c r="G44" s="129"/>
      <c r="H44" s="130"/>
      <c r="I44" s="129"/>
      <c r="J44" s="130"/>
      <c r="K44" s="129"/>
      <c r="L44" s="131"/>
    </row>
    <row r="45" spans="1:12">
      <c r="A45" s="129"/>
      <c r="B45" s="130"/>
      <c r="C45" s="129"/>
      <c r="D45" s="130"/>
      <c r="E45" s="129"/>
      <c r="F45" s="130"/>
      <c r="G45" s="129"/>
      <c r="H45" s="130"/>
      <c r="I45" s="129"/>
      <c r="J45" s="130"/>
      <c r="K45" s="129"/>
      <c r="L45" s="131"/>
    </row>
    <row r="46" spans="1:12">
      <c r="A46" s="129"/>
      <c r="B46" s="130"/>
      <c r="C46" s="129"/>
      <c r="D46" s="130"/>
      <c r="E46" s="129"/>
      <c r="F46" s="130"/>
      <c r="G46" s="129"/>
      <c r="H46" s="130"/>
      <c r="I46" s="129"/>
      <c r="J46" s="130"/>
      <c r="K46" s="129"/>
      <c r="L46" s="131"/>
    </row>
    <row r="47" spans="1:12">
      <c r="A47" s="129"/>
      <c r="B47" s="130"/>
      <c r="C47" s="129"/>
      <c r="D47" s="130"/>
      <c r="E47" s="129"/>
      <c r="F47" s="130"/>
      <c r="G47" s="129"/>
      <c r="H47" s="130"/>
      <c r="I47" s="129"/>
      <c r="J47" s="130"/>
      <c r="K47" s="129"/>
      <c r="L47" s="131"/>
    </row>
    <row r="48" spans="1:12" ht="13.5" thickBot="1">
      <c r="A48" s="138"/>
      <c r="B48" s="139"/>
      <c r="C48" s="138"/>
      <c r="D48" s="139"/>
      <c r="E48" s="138"/>
      <c r="F48" s="139"/>
      <c r="G48" s="138"/>
      <c r="H48" s="139"/>
      <c r="I48" s="138"/>
      <c r="J48" s="139"/>
      <c r="K48" s="138"/>
      <c r="L48" s="140"/>
    </row>
    <row r="49" spans="1:12">
      <c r="A49" s="129"/>
      <c r="B49" s="130"/>
      <c r="C49" s="129"/>
      <c r="D49" s="130"/>
      <c r="E49" s="129"/>
      <c r="F49" s="130"/>
      <c r="G49" s="129"/>
      <c r="H49" s="130"/>
      <c r="I49" s="129"/>
      <c r="J49" s="130"/>
      <c r="K49" s="129"/>
      <c r="L49" s="131"/>
    </row>
    <row r="50" spans="1:12">
      <c r="A50" s="129"/>
      <c r="B50" s="130"/>
      <c r="C50" s="129"/>
      <c r="D50" s="130"/>
      <c r="E50" s="129"/>
      <c r="F50" s="130"/>
      <c r="G50" s="129"/>
      <c r="H50" s="130"/>
      <c r="I50" s="129"/>
      <c r="J50" s="130"/>
      <c r="K50" s="129"/>
      <c r="L50" s="131"/>
    </row>
    <row r="51" spans="1:12">
      <c r="A51" s="129"/>
      <c r="B51" s="130"/>
      <c r="C51" s="129"/>
      <c r="D51" s="130"/>
      <c r="E51" s="129"/>
      <c r="F51" s="130"/>
      <c r="G51" s="129"/>
      <c r="H51" s="130"/>
      <c r="I51" s="129"/>
      <c r="J51" s="130"/>
      <c r="K51" s="129"/>
      <c r="L51" s="131"/>
    </row>
    <row r="52" spans="1:12">
      <c r="A52" s="129"/>
      <c r="B52" s="130"/>
      <c r="C52" s="129"/>
      <c r="D52" s="130"/>
      <c r="E52" s="129"/>
      <c r="F52" s="130"/>
      <c r="G52" s="129"/>
      <c r="H52" s="130"/>
      <c r="I52" s="129"/>
      <c r="J52" s="130"/>
      <c r="K52" s="129"/>
      <c r="L52" s="131"/>
    </row>
    <row r="53" spans="1:12">
      <c r="A53" s="129"/>
      <c r="B53" s="130"/>
      <c r="C53" s="129"/>
      <c r="D53" s="130"/>
      <c r="E53" s="129"/>
      <c r="F53" s="130"/>
      <c r="G53" s="129"/>
      <c r="H53" s="130"/>
      <c r="I53" s="129"/>
      <c r="J53" s="130"/>
      <c r="K53" s="129"/>
      <c r="L53" s="131"/>
    </row>
    <row r="54" spans="1:12">
      <c r="A54" s="129"/>
      <c r="B54" s="130"/>
      <c r="C54" s="129"/>
      <c r="D54" s="130"/>
      <c r="E54" s="129"/>
      <c r="F54" s="130"/>
      <c r="G54" s="129"/>
      <c r="H54" s="130"/>
      <c r="I54" s="129"/>
      <c r="J54" s="130"/>
      <c r="K54" s="129"/>
      <c r="L54" s="131"/>
    </row>
    <row r="55" spans="1:12">
      <c r="A55" s="129"/>
      <c r="B55" s="130"/>
      <c r="C55" s="129"/>
      <c r="D55" s="130"/>
      <c r="E55" s="129"/>
      <c r="F55" s="130"/>
      <c r="G55" s="129"/>
      <c r="H55" s="130"/>
      <c r="I55" s="129"/>
      <c r="J55" s="130"/>
      <c r="K55" s="129"/>
      <c r="L55" s="131"/>
    </row>
    <row r="56" spans="1:12">
      <c r="A56" s="129"/>
      <c r="B56" s="130"/>
      <c r="C56" s="129"/>
      <c r="D56" s="130"/>
      <c r="E56" s="129"/>
      <c r="F56" s="130"/>
      <c r="G56" s="129"/>
      <c r="H56" s="130"/>
      <c r="I56" s="129"/>
      <c r="J56" s="130"/>
      <c r="K56" s="129"/>
      <c r="L56" s="131"/>
    </row>
    <row r="57" spans="1:12">
      <c r="A57" s="129"/>
      <c r="B57" s="130"/>
      <c r="C57" s="129"/>
      <c r="D57" s="130"/>
      <c r="E57" s="129"/>
      <c r="F57" s="130"/>
      <c r="G57" s="129"/>
      <c r="H57" s="130"/>
      <c r="I57" s="129"/>
      <c r="J57" s="130"/>
      <c r="K57" s="129"/>
      <c r="L57" s="131"/>
    </row>
    <row r="58" spans="1:12">
      <c r="A58" s="129"/>
      <c r="B58" s="130"/>
      <c r="C58" s="129"/>
      <c r="D58" s="130"/>
      <c r="E58" s="129"/>
      <c r="F58" s="130"/>
      <c r="G58" s="129"/>
      <c r="H58" s="130"/>
      <c r="I58" s="129"/>
      <c r="J58" s="130"/>
      <c r="K58" s="129"/>
      <c r="L58" s="131"/>
    </row>
    <row r="59" spans="1:12">
      <c r="A59" s="129"/>
      <c r="B59" s="130"/>
      <c r="C59" s="129"/>
      <c r="D59" s="130"/>
      <c r="E59" s="129"/>
      <c r="F59" s="130"/>
      <c r="G59" s="129"/>
      <c r="H59" s="130"/>
      <c r="I59" s="129"/>
      <c r="J59" s="130"/>
      <c r="K59" s="129"/>
      <c r="L59" s="131"/>
    </row>
    <row r="60" spans="1:12">
      <c r="A60" s="129"/>
      <c r="B60" s="130"/>
      <c r="C60" s="129"/>
      <c r="D60" s="130"/>
      <c r="E60" s="129"/>
      <c r="F60" s="130"/>
      <c r="G60" s="129"/>
      <c r="H60" s="130"/>
      <c r="I60" s="129"/>
      <c r="J60" s="130"/>
      <c r="K60" s="129"/>
      <c r="L60" s="131"/>
    </row>
    <row r="61" spans="1:12">
      <c r="A61" s="129"/>
      <c r="B61" s="130"/>
      <c r="C61" s="129"/>
      <c r="D61" s="130"/>
      <c r="E61" s="129"/>
      <c r="F61" s="130"/>
      <c r="G61" s="129"/>
      <c r="H61" s="130"/>
      <c r="I61" s="129"/>
      <c r="J61" s="130"/>
      <c r="K61" s="129"/>
      <c r="L61" s="131"/>
    </row>
    <row r="62" spans="1:12">
      <c r="A62" s="129"/>
      <c r="B62" s="130"/>
      <c r="C62" s="129"/>
      <c r="D62" s="130"/>
      <c r="E62" s="129"/>
      <c r="F62" s="130"/>
      <c r="G62" s="129"/>
      <c r="H62" s="130"/>
      <c r="I62" s="129"/>
      <c r="J62" s="130"/>
      <c r="K62" s="129"/>
      <c r="L62" s="131"/>
    </row>
    <row r="63" spans="1:12">
      <c r="A63" s="129"/>
      <c r="B63" s="130"/>
      <c r="C63" s="129"/>
      <c r="D63" s="130"/>
      <c r="E63" s="129"/>
      <c r="F63" s="130"/>
      <c r="G63" s="129"/>
      <c r="H63" s="130"/>
      <c r="I63" s="129"/>
      <c r="J63" s="130"/>
      <c r="K63" s="129"/>
      <c r="L63" s="131"/>
    </row>
    <row r="64" spans="1:12" ht="13.5" thickBot="1">
      <c r="A64" s="138"/>
      <c r="B64" s="139"/>
      <c r="C64" s="138"/>
      <c r="D64" s="139"/>
      <c r="E64" s="138"/>
      <c r="F64" s="139"/>
      <c r="G64" s="138"/>
      <c r="H64" s="139"/>
      <c r="I64" s="138"/>
      <c r="J64" s="139"/>
      <c r="K64" s="138"/>
      <c r="L64" s="140"/>
    </row>
    <row r="73" spans="1:12" ht="13.5" thickBot="1"/>
    <row r="74" spans="1:12" ht="15.75">
      <c r="A74" s="209" t="s">
        <v>1</v>
      </c>
      <c r="B74" s="210"/>
      <c r="C74" s="211" t="s">
        <v>0</v>
      </c>
      <c r="D74" s="212"/>
      <c r="E74" s="213" t="s">
        <v>2</v>
      </c>
      <c r="F74" s="214"/>
      <c r="G74" s="215" t="s">
        <v>3</v>
      </c>
      <c r="H74" s="216"/>
      <c r="I74" s="217" t="s">
        <v>4</v>
      </c>
      <c r="J74" s="218"/>
      <c r="K74" s="207" t="s">
        <v>5</v>
      </c>
      <c r="L74" s="208"/>
    </row>
    <row r="90" spans="1:17" ht="15.75">
      <c r="A90" s="219"/>
      <c r="B90" s="219"/>
      <c r="C90" s="219"/>
      <c r="D90" s="219"/>
      <c r="E90" s="219"/>
      <c r="F90" s="219"/>
      <c r="G90" s="219"/>
      <c r="H90" s="219"/>
      <c r="I90" s="219"/>
      <c r="J90" s="219"/>
      <c r="K90" s="219"/>
      <c r="L90" s="219"/>
    </row>
    <row r="95" spans="1:17" ht="15">
      <c r="N95" s="141"/>
      <c r="O95" s="141"/>
      <c r="P95" s="142"/>
      <c r="Q95" s="141"/>
    </row>
    <row r="96" spans="1:17">
      <c r="N96" s="132"/>
      <c r="O96" s="132"/>
      <c r="P96" s="132"/>
      <c r="Q96" s="132"/>
    </row>
    <row r="97" spans="1:17" ht="15">
      <c r="N97" s="141"/>
      <c r="O97" s="141"/>
      <c r="P97" s="142"/>
      <c r="Q97" s="141"/>
    </row>
    <row r="99" spans="1:17" ht="13.5" thickBot="1"/>
    <row r="100" spans="1:17" ht="17.25" thickTop="1" thickBot="1">
      <c r="A100" s="209" t="s">
        <v>1</v>
      </c>
      <c r="B100" s="210"/>
      <c r="C100" s="211" t="s">
        <v>0</v>
      </c>
      <c r="D100" s="212"/>
      <c r="E100" s="213" t="s">
        <v>2</v>
      </c>
      <c r="F100" s="214"/>
      <c r="G100" s="215" t="s">
        <v>3</v>
      </c>
      <c r="H100" s="216"/>
      <c r="I100" s="217" t="s">
        <v>4</v>
      </c>
      <c r="J100" s="218"/>
      <c r="K100" s="207" t="s">
        <v>5</v>
      </c>
      <c r="L100" s="208"/>
      <c r="N100" s="133" t="s">
        <v>23</v>
      </c>
      <c r="O100" s="134"/>
      <c r="P100" s="135"/>
      <c r="Q100" s="136" t="s">
        <v>17</v>
      </c>
    </row>
    <row r="101" spans="1:17" ht="21.75" thickTop="1" thickBot="1">
      <c r="A101" s="1">
        <v>5</v>
      </c>
      <c r="B101" s="5">
        <v>24</v>
      </c>
      <c r="C101" s="1"/>
      <c r="D101" s="5"/>
      <c r="E101" s="1"/>
      <c r="F101" s="5"/>
      <c r="G101" s="1"/>
      <c r="H101" s="5"/>
      <c r="I101" s="1"/>
      <c r="J101" s="5"/>
      <c r="K101" s="1"/>
      <c r="L101" s="2"/>
      <c r="M101" s="81">
        <v>24</v>
      </c>
      <c r="N101" s="132"/>
      <c r="O101" s="132"/>
      <c r="P101" s="132"/>
      <c r="Q101" s="132"/>
    </row>
    <row r="102" spans="1:17" ht="14.25" thickTop="1" thickBot="1">
      <c r="A102" s="1">
        <v>20</v>
      </c>
      <c r="B102" s="5">
        <v>17</v>
      </c>
      <c r="C102" s="1"/>
      <c r="D102" s="5"/>
      <c r="E102" s="1"/>
      <c r="F102" s="5"/>
      <c r="G102" s="1"/>
      <c r="H102" s="5"/>
      <c r="I102" s="1"/>
      <c r="J102" s="5"/>
      <c r="K102" s="1"/>
      <c r="L102" s="2"/>
      <c r="N102" s="132"/>
      <c r="O102" s="132"/>
      <c r="P102" s="132"/>
      <c r="Q102" s="132"/>
    </row>
    <row r="103" spans="1:17" ht="16.5" thickTop="1" thickBot="1">
      <c r="A103" s="1">
        <v>11</v>
      </c>
      <c r="B103" s="5">
        <v>3</v>
      </c>
      <c r="C103" s="1"/>
      <c r="D103" s="5"/>
      <c r="E103" s="1"/>
      <c r="F103" s="5"/>
      <c r="G103" s="1"/>
      <c r="H103" s="5"/>
      <c r="I103" s="1"/>
      <c r="J103" s="5"/>
      <c r="K103" s="1"/>
      <c r="L103" s="2"/>
      <c r="N103" s="143" t="s">
        <v>18</v>
      </c>
      <c r="O103" s="144"/>
      <c r="P103" s="145"/>
      <c r="Q103" s="146" t="s">
        <v>17</v>
      </c>
    </row>
    <row r="104" spans="1:17" ht="13.5" thickTop="1">
      <c r="A104" s="1">
        <v>13</v>
      </c>
      <c r="B104" s="5">
        <v>6</v>
      </c>
      <c r="C104" s="1"/>
      <c r="D104" s="5"/>
      <c r="E104" s="1"/>
      <c r="F104" s="5"/>
      <c r="G104" s="1"/>
      <c r="H104" s="5"/>
      <c r="I104" s="1"/>
      <c r="J104" s="5"/>
      <c r="K104" s="1"/>
      <c r="L104" s="2"/>
    </row>
    <row r="105" spans="1:17">
      <c r="A105" s="1">
        <v>21</v>
      </c>
      <c r="B105" s="5">
        <v>8</v>
      </c>
      <c r="C105" s="1"/>
      <c r="D105" s="5"/>
      <c r="E105" s="1"/>
      <c r="F105" s="5"/>
      <c r="G105" s="1"/>
      <c r="H105" s="5"/>
      <c r="I105" s="1"/>
      <c r="J105" s="5"/>
      <c r="K105" s="1"/>
      <c r="L105" s="2"/>
    </row>
    <row r="106" spans="1:17">
      <c r="A106" s="1">
        <v>10</v>
      </c>
      <c r="B106" s="5">
        <v>23</v>
      </c>
      <c r="C106" s="1"/>
      <c r="D106" s="5"/>
      <c r="E106" s="1"/>
      <c r="F106" s="5"/>
      <c r="G106" s="1"/>
      <c r="H106" s="5"/>
      <c r="I106" s="1"/>
      <c r="J106" s="5"/>
      <c r="K106" s="1"/>
      <c r="L106" s="2"/>
    </row>
    <row r="107" spans="1:17">
      <c r="A107" s="1">
        <v>14</v>
      </c>
      <c r="B107" s="5">
        <v>18</v>
      </c>
      <c r="C107" s="1"/>
      <c r="D107" s="5"/>
      <c r="E107" s="1"/>
      <c r="F107" s="5"/>
      <c r="G107" s="1"/>
      <c r="H107" s="5"/>
      <c r="I107" s="1"/>
      <c r="J107" s="5"/>
      <c r="K107" s="1"/>
      <c r="L107" s="2"/>
    </row>
    <row r="108" spans="1:17">
      <c r="A108" s="1">
        <v>22</v>
      </c>
      <c r="B108" s="5">
        <v>19</v>
      </c>
      <c r="C108" s="1"/>
      <c r="D108" s="5"/>
      <c r="E108" s="1"/>
      <c r="F108" s="5"/>
      <c r="G108" s="1"/>
      <c r="H108" s="5"/>
      <c r="I108" s="1"/>
      <c r="J108" s="5"/>
      <c r="K108" s="1"/>
      <c r="L108" s="2"/>
    </row>
    <row r="109" spans="1:17">
      <c r="A109" s="1">
        <v>1</v>
      </c>
      <c r="B109" s="5">
        <v>7</v>
      </c>
      <c r="C109" s="1"/>
      <c r="D109" s="5"/>
      <c r="E109" s="1"/>
      <c r="F109" s="5"/>
      <c r="G109" s="1"/>
      <c r="H109" s="5"/>
      <c r="I109" s="1"/>
      <c r="J109" s="5"/>
      <c r="K109" s="1"/>
      <c r="L109" s="2"/>
    </row>
    <row r="110" spans="1:17">
      <c r="A110" s="1">
        <v>9</v>
      </c>
      <c r="B110" s="5">
        <v>15</v>
      </c>
      <c r="C110" s="1"/>
      <c r="D110" s="5"/>
      <c r="E110" s="1"/>
      <c r="F110" s="5"/>
      <c r="G110" s="1"/>
      <c r="H110" s="5"/>
      <c r="I110" s="1"/>
      <c r="J110" s="5"/>
      <c r="K110" s="1"/>
      <c r="L110" s="2"/>
    </row>
    <row r="111" spans="1:17">
      <c r="A111" s="1">
        <v>16</v>
      </c>
      <c r="B111" s="5">
        <v>12</v>
      </c>
      <c r="C111" s="1"/>
      <c r="D111" s="5"/>
      <c r="E111" s="1"/>
      <c r="F111" s="5"/>
      <c r="G111" s="1"/>
      <c r="H111" s="5"/>
      <c r="I111" s="1"/>
      <c r="J111" s="5"/>
      <c r="K111" s="1"/>
      <c r="L111" s="2"/>
    </row>
    <row r="112" spans="1:17" ht="13.5" thickBot="1">
      <c r="A112" s="3">
        <v>2</v>
      </c>
      <c r="B112" s="6">
        <v>4</v>
      </c>
      <c r="C112" s="3"/>
      <c r="D112" s="6"/>
      <c r="E112" s="3"/>
      <c r="F112" s="6"/>
      <c r="G112" s="3"/>
      <c r="H112" s="6"/>
      <c r="I112" s="3"/>
      <c r="J112" s="6"/>
      <c r="K112" s="3"/>
      <c r="L112" s="4"/>
    </row>
    <row r="113" spans="1:12" ht="13.5" thickBot="1">
      <c r="A113" s="3"/>
      <c r="B113" s="6"/>
      <c r="C113" s="3"/>
      <c r="D113" s="6"/>
      <c r="E113" s="3"/>
      <c r="F113" s="6"/>
      <c r="G113" s="3"/>
      <c r="H113" s="6"/>
      <c r="I113" s="3"/>
      <c r="J113" s="6"/>
      <c r="K113" s="3"/>
      <c r="L113" s="4"/>
    </row>
    <row r="114" spans="1:12">
      <c r="A114" s="129"/>
      <c r="B114" s="130"/>
      <c r="C114" s="129"/>
      <c r="D114" s="130"/>
      <c r="E114" s="129"/>
      <c r="F114" s="130"/>
      <c r="G114" s="129"/>
      <c r="H114" s="130"/>
      <c r="I114" s="129"/>
      <c r="J114" s="130"/>
      <c r="K114" s="129"/>
      <c r="L114" s="131"/>
    </row>
    <row r="115" spans="1:12">
      <c r="A115" s="129"/>
      <c r="B115" s="130"/>
      <c r="C115" s="129"/>
      <c r="D115" s="130"/>
      <c r="E115" s="129"/>
      <c r="F115" s="130"/>
      <c r="G115" s="129"/>
      <c r="H115" s="130"/>
      <c r="I115" s="129"/>
      <c r="J115" s="130"/>
      <c r="K115" s="129"/>
      <c r="L115" s="131"/>
    </row>
    <row r="116" spans="1:12" ht="13.5" thickBot="1">
      <c r="A116" s="138"/>
      <c r="B116" s="139"/>
      <c r="C116" s="138"/>
      <c r="D116" s="139"/>
      <c r="E116" s="138"/>
      <c r="F116" s="139"/>
      <c r="G116" s="138"/>
      <c r="H116" s="139"/>
      <c r="I116" s="138"/>
      <c r="J116" s="139"/>
      <c r="K116" s="138"/>
      <c r="L116" s="140"/>
    </row>
    <row r="117" spans="1:12">
      <c r="A117" s="129"/>
      <c r="B117" s="130"/>
      <c r="C117" s="129"/>
      <c r="D117" s="130"/>
      <c r="E117" s="129"/>
      <c r="F117" s="130"/>
      <c r="G117" s="129"/>
      <c r="H117" s="130"/>
      <c r="I117" s="129"/>
      <c r="J117" s="130"/>
      <c r="K117" s="129"/>
      <c r="L117" s="131"/>
    </row>
    <row r="118" spans="1:12">
      <c r="A118" s="129"/>
      <c r="B118" s="130"/>
      <c r="C118" s="129"/>
      <c r="D118" s="130"/>
      <c r="E118" s="129"/>
      <c r="F118" s="130"/>
      <c r="G118" s="129"/>
      <c r="H118" s="130"/>
      <c r="I118" s="129"/>
      <c r="J118" s="130"/>
      <c r="K118" s="129"/>
      <c r="L118" s="131"/>
    </row>
    <row r="119" spans="1:12">
      <c r="A119" s="129"/>
      <c r="B119" s="130"/>
      <c r="C119" s="129"/>
      <c r="D119" s="130"/>
      <c r="E119" s="129"/>
      <c r="F119" s="130"/>
      <c r="G119" s="129"/>
      <c r="H119" s="130"/>
      <c r="I119" s="129"/>
      <c r="J119" s="130"/>
      <c r="K119" s="129"/>
      <c r="L119" s="131"/>
    </row>
    <row r="120" spans="1:12">
      <c r="A120" s="129"/>
      <c r="B120" s="130"/>
      <c r="C120" s="129"/>
      <c r="D120" s="130"/>
      <c r="E120" s="129"/>
      <c r="F120" s="130"/>
      <c r="G120" s="129"/>
      <c r="H120" s="130"/>
      <c r="I120" s="129"/>
      <c r="J120" s="130"/>
      <c r="K120" s="129"/>
      <c r="L120" s="131"/>
    </row>
    <row r="121" spans="1:12">
      <c r="A121" s="129"/>
      <c r="B121" s="130"/>
      <c r="C121" s="129"/>
      <c r="D121" s="130"/>
      <c r="E121" s="129"/>
      <c r="F121" s="130"/>
      <c r="G121" s="129"/>
      <c r="H121" s="130"/>
      <c r="I121" s="129"/>
      <c r="J121" s="130"/>
      <c r="K121" s="129"/>
      <c r="L121" s="131"/>
    </row>
    <row r="122" spans="1:12">
      <c r="A122" s="129"/>
      <c r="B122" s="130"/>
      <c r="C122" s="129"/>
      <c r="D122" s="130"/>
      <c r="E122" s="129"/>
      <c r="F122" s="130"/>
      <c r="G122" s="129"/>
      <c r="H122" s="130"/>
      <c r="I122" s="129"/>
      <c r="J122" s="130"/>
      <c r="K122" s="129"/>
      <c r="L122" s="131"/>
    </row>
    <row r="123" spans="1:12">
      <c r="A123" s="129"/>
      <c r="B123" s="130"/>
      <c r="C123" s="129"/>
      <c r="D123" s="130"/>
      <c r="E123" s="129"/>
      <c r="F123" s="130"/>
      <c r="G123" s="129"/>
      <c r="H123" s="130"/>
      <c r="I123" s="129"/>
      <c r="J123" s="130"/>
      <c r="K123" s="129"/>
      <c r="L123" s="131"/>
    </row>
    <row r="124" spans="1:12" ht="13.5" thickBot="1">
      <c r="A124" s="138"/>
      <c r="B124" s="139"/>
      <c r="C124" s="138"/>
      <c r="D124" s="139"/>
      <c r="E124" s="138"/>
      <c r="F124" s="139"/>
      <c r="G124" s="138"/>
      <c r="H124" s="139"/>
      <c r="I124" s="138"/>
      <c r="J124" s="139"/>
      <c r="K124" s="138"/>
      <c r="L124" s="140"/>
    </row>
    <row r="125" spans="1:12">
      <c r="A125" s="129"/>
      <c r="B125" s="130"/>
      <c r="C125" s="129"/>
      <c r="D125" s="130"/>
      <c r="E125" s="129"/>
      <c r="F125" s="130"/>
      <c r="G125" s="129"/>
      <c r="H125" s="130"/>
      <c r="I125" s="129"/>
      <c r="J125" s="130"/>
      <c r="K125" s="129"/>
      <c r="L125" s="131"/>
    </row>
    <row r="126" spans="1:12">
      <c r="A126" s="129"/>
      <c r="B126" s="130"/>
      <c r="C126" s="129"/>
      <c r="D126" s="130"/>
      <c r="E126" s="129"/>
      <c r="F126" s="130"/>
      <c r="G126" s="129"/>
      <c r="H126" s="130"/>
      <c r="I126" s="129"/>
      <c r="J126" s="130"/>
      <c r="K126" s="129"/>
      <c r="L126" s="131"/>
    </row>
    <row r="127" spans="1:12">
      <c r="A127" s="129"/>
      <c r="B127" s="130"/>
      <c r="C127" s="129"/>
      <c r="D127" s="130"/>
      <c r="E127" s="129"/>
      <c r="F127" s="130"/>
      <c r="G127" s="129"/>
      <c r="H127" s="130"/>
      <c r="I127" s="129"/>
      <c r="J127" s="130"/>
      <c r="K127" s="129"/>
      <c r="L127" s="131"/>
    </row>
    <row r="128" spans="1:12">
      <c r="A128" s="129"/>
      <c r="B128" s="130"/>
      <c r="C128" s="129"/>
      <c r="D128" s="130"/>
      <c r="E128" s="129"/>
      <c r="F128" s="130"/>
      <c r="G128" s="129"/>
      <c r="H128" s="130"/>
      <c r="I128" s="129"/>
      <c r="J128" s="130"/>
      <c r="K128" s="129"/>
      <c r="L128" s="131"/>
    </row>
    <row r="129" spans="1:12">
      <c r="A129" s="129"/>
      <c r="B129" s="130"/>
      <c r="C129" s="129"/>
      <c r="D129" s="130"/>
      <c r="E129" s="129"/>
      <c r="F129" s="130"/>
      <c r="G129" s="129"/>
      <c r="H129" s="130"/>
      <c r="I129" s="129"/>
      <c r="J129" s="130"/>
      <c r="K129" s="129"/>
      <c r="L129" s="131"/>
    </row>
    <row r="130" spans="1:12">
      <c r="A130" s="129"/>
      <c r="B130" s="130"/>
      <c r="C130" s="129"/>
      <c r="D130" s="130"/>
      <c r="E130" s="129"/>
      <c r="F130" s="130"/>
      <c r="G130" s="129"/>
      <c r="H130" s="130"/>
      <c r="I130" s="129"/>
      <c r="J130" s="130"/>
      <c r="K130" s="129"/>
      <c r="L130" s="131"/>
    </row>
    <row r="131" spans="1:12">
      <c r="A131" s="129"/>
      <c r="B131" s="130"/>
      <c r="C131" s="129"/>
      <c r="D131" s="130"/>
      <c r="E131" s="129"/>
      <c r="F131" s="130"/>
      <c r="G131" s="129"/>
      <c r="H131" s="130"/>
      <c r="I131" s="129"/>
      <c r="J131" s="130"/>
      <c r="K131" s="129"/>
      <c r="L131" s="131"/>
    </row>
    <row r="132" spans="1:12" ht="13.5" thickBot="1">
      <c r="A132" s="138"/>
      <c r="B132" s="139"/>
      <c r="C132" s="138"/>
      <c r="D132" s="139"/>
      <c r="E132" s="138"/>
      <c r="F132" s="139"/>
      <c r="G132" s="138"/>
      <c r="H132" s="139"/>
      <c r="I132" s="138"/>
      <c r="J132" s="139"/>
      <c r="K132" s="138"/>
      <c r="L132" s="140"/>
    </row>
    <row r="149" spans="1:17" ht="13.5" thickBot="1"/>
    <row r="150" spans="1:17" ht="17.25" thickTop="1" thickBot="1">
      <c r="A150" s="209" t="s">
        <v>1</v>
      </c>
      <c r="B150" s="210"/>
      <c r="C150" s="211" t="s">
        <v>0</v>
      </c>
      <c r="D150" s="212"/>
      <c r="E150" s="213" t="s">
        <v>2</v>
      </c>
      <c r="F150" s="214"/>
      <c r="G150" s="215" t="s">
        <v>3</v>
      </c>
      <c r="H150" s="216"/>
      <c r="I150" s="217" t="s">
        <v>4</v>
      </c>
      <c r="J150" s="218"/>
      <c r="K150" s="207" t="s">
        <v>5</v>
      </c>
      <c r="L150" s="208"/>
      <c r="N150" s="133" t="s">
        <v>24</v>
      </c>
      <c r="O150" s="134"/>
      <c r="P150" s="135"/>
      <c r="Q150" s="136" t="s">
        <v>17</v>
      </c>
    </row>
    <row r="151" spans="1:17" ht="15" customHeight="1" thickTop="1" thickBot="1">
      <c r="A151" s="1">
        <v>20</v>
      </c>
      <c r="B151" s="5">
        <v>19</v>
      </c>
      <c r="C151" s="1"/>
      <c r="D151" s="5"/>
      <c r="E151" s="1"/>
      <c r="F151" s="5"/>
      <c r="G151" s="1"/>
      <c r="H151" s="5"/>
      <c r="I151" s="1"/>
      <c r="J151" s="5"/>
      <c r="K151" s="1"/>
      <c r="L151" s="2"/>
      <c r="M151" s="81">
        <v>24</v>
      </c>
    </row>
    <row r="152" spans="1:17" ht="14.25" thickTop="1" thickBot="1">
      <c r="A152" s="1">
        <v>3</v>
      </c>
      <c r="B152" s="5">
        <v>11</v>
      </c>
      <c r="C152" s="1"/>
      <c r="D152" s="5"/>
      <c r="E152" s="1"/>
      <c r="F152" s="5"/>
      <c r="G152" s="1"/>
      <c r="H152" s="5"/>
      <c r="I152" s="1"/>
      <c r="J152" s="5"/>
      <c r="K152" s="1"/>
      <c r="L152" s="2"/>
    </row>
    <row r="153" spans="1:17" ht="16.5" thickTop="1" thickBot="1">
      <c r="A153" s="1">
        <v>15</v>
      </c>
      <c r="B153" s="5">
        <v>17</v>
      </c>
      <c r="C153" s="1"/>
      <c r="D153" s="5"/>
      <c r="E153" s="1"/>
      <c r="F153" s="5"/>
      <c r="G153" s="1"/>
      <c r="H153" s="5"/>
      <c r="I153" s="1"/>
      <c r="J153" s="5"/>
      <c r="K153" s="1"/>
      <c r="L153" s="2"/>
      <c r="N153" s="143" t="s">
        <v>19</v>
      </c>
      <c r="O153" s="144"/>
      <c r="P153" s="145"/>
      <c r="Q153" s="146" t="s">
        <v>17</v>
      </c>
    </row>
    <row r="154" spans="1:17" ht="13.5" thickTop="1">
      <c r="A154" s="1">
        <v>23</v>
      </c>
      <c r="B154" s="5">
        <v>1</v>
      </c>
      <c r="C154" s="1"/>
      <c r="D154" s="5"/>
      <c r="E154" s="1"/>
      <c r="F154" s="5"/>
      <c r="G154" s="1"/>
      <c r="H154" s="5"/>
      <c r="I154" s="1"/>
      <c r="J154" s="5"/>
      <c r="K154" s="1"/>
      <c r="L154" s="2"/>
    </row>
    <row r="155" spans="1:17">
      <c r="A155" s="1">
        <v>9</v>
      </c>
      <c r="B155" s="5">
        <v>10</v>
      </c>
      <c r="C155" s="1"/>
      <c r="D155" s="5"/>
      <c r="E155" s="1"/>
      <c r="F155" s="5"/>
      <c r="G155" s="1"/>
      <c r="H155" s="5"/>
      <c r="I155" s="1"/>
      <c r="J155" s="5"/>
      <c r="K155" s="1"/>
      <c r="L155" s="2"/>
    </row>
    <row r="156" spans="1:17">
      <c r="A156" s="1">
        <v>6</v>
      </c>
      <c r="B156" s="5">
        <v>2</v>
      </c>
      <c r="C156" s="1"/>
      <c r="D156" s="5"/>
      <c r="E156" s="1"/>
      <c r="F156" s="5"/>
      <c r="G156" s="1"/>
      <c r="H156" s="5"/>
      <c r="I156" s="1"/>
      <c r="J156" s="5"/>
      <c r="K156" s="1"/>
      <c r="L156" s="2"/>
    </row>
    <row r="157" spans="1:17">
      <c r="A157" s="1">
        <v>13</v>
      </c>
      <c r="B157" s="5">
        <v>5</v>
      </c>
      <c r="C157" s="1"/>
      <c r="D157" s="5"/>
      <c r="E157" s="1"/>
      <c r="F157" s="5"/>
      <c r="G157" s="1"/>
      <c r="H157" s="5"/>
      <c r="I157" s="1"/>
      <c r="J157" s="5"/>
      <c r="K157" s="1"/>
      <c r="L157" s="2"/>
    </row>
    <row r="158" spans="1:17">
      <c r="A158" s="1">
        <v>12</v>
      </c>
      <c r="B158" s="5">
        <v>21</v>
      </c>
      <c r="C158" s="1"/>
      <c r="D158" s="5"/>
      <c r="E158" s="1"/>
      <c r="F158" s="5"/>
      <c r="G158" s="1"/>
      <c r="H158" s="5"/>
      <c r="I158" s="1"/>
      <c r="J158" s="5"/>
      <c r="K158" s="1"/>
      <c r="L158" s="2"/>
    </row>
    <row r="159" spans="1:17">
      <c r="A159" s="1">
        <v>14</v>
      </c>
      <c r="B159" s="5">
        <v>24</v>
      </c>
      <c r="C159" s="1"/>
      <c r="D159" s="5"/>
      <c r="E159" s="1"/>
      <c r="F159" s="5"/>
      <c r="G159" s="1"/>
      <c r="H159" s="5"/>
      <c r="I159" s="1"/>
      <c r="J159" s="5"/>
      <c r="K159" s="1"/>
      <c r="L159" s="2"/>
    </row>
    <row r="160" spans="1:17">
      <c r="A160" s="1">
        <v>7</v>
      </c>
      <c r="B160" s="5">
        <v>16</v>
      </c>
      <c r="C160" s="1"/>
      <c r="D160" s="5"/>
      <c r="E160" s="1"/>
      <c r="F160" s="5"/>
      <c r="G160" s="1"/>
      <c r="H160" s="5"/>
      <c r="I160" s="1"/>
      <c r="J160" s="5"/>
      <c r="K160" s="1"/>
      <c r="L160" s="2"/>
    </row>
    <row r="161" spans="1:12">
      <c r="A161" s="1">
        <v>8</v>
      </c>
      <c r="B161" s="5">
        <v>22</v>
      </c>
      <c r="C161" s="1"/>
      <c r="D161" s="5"/>
      <c r="E161" s="1"/>
      <c r="F161" s="5"/>
      <c r="G161" s="1"/>
      <c r="H161" s="5"/>
      <c r="I161" s="1"/>
      <c r="J161" s="5"/>
      <c r="K161" s="1"/>
      <c r="L161" s="2"/>
    </row>
    <row r="162" spans="1:12" ht="13.5" thickBot="1">
      <c r="A162" s="3">
        <v>18</v>
      </c>
      <c r="B162" s="6">
        <v>4</v>
      </c>
      <c r="C162" s="3"/>
      <c r="D162" s="6"/>
      <c r="E162" s="3"/>
      <c r="F162" s="6"/>
      <c r="G162" s="3"/>
      <c r="H162" s="6"/>
      <c r="I162" s="3"/>
      <c r="J162" s="6"/>
      <c r="K162" s="3"/>
      <c r="L162" s="4"/>
    </row>
    <row r="163" spans="1:12" ht="13.5" thickBot="1">
      <c r="A163" s="3"/>
      <c r="B163" s="6"/>
      <c r="C163" s="3"/>
      <c r="D163" s="6"/>
      <c r="E163" s="3"/>
      <c r="F163" s="6"/>
      <c r="G163" s="3"/>
      <c r="H163" s="6"/>
      <c r="I163" s="3"/>
      <c r="J163" s="6"/>
      <c r="K163" s="3"/>
      <c r="L163" s="4"/>
    </row>
    <row r="164" spans="1:12">
      <c r="A164" s="129"/>
      <c r="B164" s="130"/>
      <c r="C164" s="129"/>
      <c r="D164" s="130"/>
      <c r="E164" s="129"/>
      <c r="F164" s="130"/>
      <c r="G164" s="129"/>
      <c r="H164" s="130"/>
      <c r="I164" s="129"/>
      <c r="J164" s="130"/>
      <c r="K164" s="129"/>
      <c r="L164" s="131"/>
    </row>
    <row r="165" spans="1:12">
      <c r="A165" s="129"/>
      <c r="B165" s="130"/>
      <c r="C165" s="129"/>
      <c r="D165" s="130"/>
      <c r="E165" s="129"/>
      <c r="F165" s="130"/>
      <c r="G165" s="129"/>
      <c r="H165" s="130"/>
      <c r="I165" s="129"/>
      <c r="J165" s="130"/>
      <c r="K165" s="129"/>
      <c r="L165" s="131"/>
    </row>
    <row r="166" spans="1:12" ht="13.5" thickBot="1">
      <c r="A166" s="138"/>
      <c r="B166" s="139"/>
      <c r="C166" s="138"/>
      <c r="D166" s="139"/>
      <c r="E166" s="138"/>
      <c r="F166" s="139"/>
      <c r="G166" s="138"/>
      <c r="H166" s="139"/>
      <c r="I166" s="138"/>
      <c r="J166" s="139"/>
      <c r="K166" s="138"/>
      <c r="L166" s="140"/>
    </row>
    <row r="167" spans="1:12">
      <c r="A167" s="129"/>
      <c r="B167" s="130"/>
      <c r="C167" s="129"/>
      <c r="D167" s="130"/>
      <c r="E167" s="129"/>
      <c r="F167" s="130"/>
      <c r="G167" s="129"/>
      <c r="H167" s="130"/>
      <c r="I167" s="129"/>
      <c r="J167" s="130"/>
      <c r="K167" s="129"/>
      <c r="L167" s="131"/>
    </row>
    <row r="168" spans="1:12">
      <c r="A168" s="129"/>
      <c r="B168" s="130"/>
      <c r="C168" s="129"/>
      <c r="D168" s="130"/>
      <c r="E168" s="129"/>
      <c r="F168" s="130"/>
      <c r="G168" s="129"/>
      <c r="H168" s="130"/>
      <c r="I168" s="129"/>
      <c r="J168" s="130"/>
      <c r="K168" s="129"/>
      <c r="L168" s="131"/>
    </row>
    <row r="169" spans="1:12">
      <c r="A169" s="129"/>
      <c r="B169" s="130"/>
      <c r="C169" s="129"/>
      <c r="D169" s="130"/>
      <c r="E169" s="129"/>
      <c r="F169" s="130"/>
      <c r="G169" s="129"/>
      <c r="H169" s="130"/>
      <c r="I169" s="129"/>
      <c r="J169" s="130"/>
      <c r="K169" s="129"/>
      <c r="L169" s="131"/>
    </row>
    <row r="170" spans="1:12">
      <c r="A170" s="129"/>
      <c r="B170" s="130"/>
      <c r="C170" s="129"/>
      <c r="D170" s="130"/>
      <c r="E170" s="129"/>
      <c r="F170" s="130"/>
      <c r="G170" s="129"/>
      <c r="H170" s="130"/>
      <c r="I170" s="129"/>
      <c r="J170" s="130"/>
      <c r="K170" s="129"/>
      <c r="L170" s="131"/>
    </row>
    <row r="171" spans="1:12">
      <c r="A171" s="129"/>
      <c r="B171" s="130"/>
      <c r="C171" s="129"/>
      <c r="D171" s="130"/>
      <c r="E171" s="129"/>
      <c r="F171" s="130"/>
      <c r="G171" s="129"/>
      <c r="H171" s="130"/>
      <c r="I171" s="129"/>
      <c r="J171" s="130"/>
      <c r="K171" s="129"/>
      <c r="L171" s="131"/>
    </row>
    <row r="172" spans="1:12">
      <c r="A172" s="129"/>
      <c r="B172" s="130"/>
      <c r="C172" s="129"/>
      <c r="D172" s="130"/>
      <c r="E172" s="129"/>
      <c r="F172" s="130"/>
      <c r="G172" s="129"/>
      <c r="H172" s="130"/>
      <c r="I172" s="129"/>
      <c r="J172" s="130"/>
      <c r="K172" s="129"/>
      <c r="L172" s="131"/>
    </row>
    <row r="173" spans="1:12">
      <c r="A173" s="129"/>
      <c r="B173" s="130"/>
      <c r="C173" s="129"/>
      <c r="D173" s="130"/>
      <c r="E173" s="129"/>
      <c r="F173" s="130"/>
      <c r="G173" s="129"/>
      <c r="H173" s="130"/>
      <c r="I173" s="129"/>
      <c r="J173" s="130"/>
      <c r="K173" s="129"/>
      <c r="L173" s="131"/>
    </row>
    <row r="174" spans="1:12" ht="13.5" thickBot="1">
      <c r="A174" s="138"/>
      <c r="B174" s="139"/>
      <c r="C174" s="138"/>
      <c r="D174" s="139"/>
      <c r="E174" s="138"/>
      <c r="F174" s="139"/>
      <c r="G174" s="138"/>
      <c r="H174" s="139"/>
      <c r="I174" s="138"/>
      <c r="J174" s="139"/>
      <c r="K174" s="138"/>
      <c r="L174" s="140"/>
    </row>
    <row r="175" spans="1:12">
      <c r="A175" s="129"/>
      <c r="B175" s="130"/>
      <c r="C175" s="129"/>
      <c r="D175" s="130"/>
      <c r="E175" s="129"/>
      <c r="F175" s="130"/>
      <c r="G175" s="129"/>
      <c r="H175" s="130"/>
      <c r="I175" s="129"/>
      <c r="J175" s="130"/>
      <c r="K175" s="129"/>
      <c r="L175" s="131"/>
    </row>
    <row r="176" spans="1:12">
      <c r="A176" s="129"/>
      <c r="B176" s="130"/>
      <c r="C176" s="129"/>
      <c r="D176" s="130"/>
      <c r="E176" s="129"/>
      <c r="F176" s="130"/>
      <c r="G176" s="129"/>
      <c r="H176" s="130"/>
      <c r="I176" s="129"/>
      <c r="J176" s="130"/>
      <c r="K176" s="129"/>
      <c r="L176" s="131"/>
    </row>
    <row r="177" spans="1:12">
      <c r="A177" s="129"/>
      <c r="B177" s="130"/>
      <c r="C177" s="129"/>
      <c r="D177" s="130"/>
      <c r="E177" s="129"/>
      <c r="F177" s="130"/>
      <c r="G177" s="129"/>
      <c r="H177" s="130"/>
      <c r="I177" s="129"/>
      <c r="J177" s="130"/>
      <c r="K177" s="129"/>
      <c r="L177" s="131"/>
    </row>
    <row r="178" spans="1:12">
      <c r="A178" s="129"/>
      <c r="B178" s="130"/>
      <c r="C178" s="129"/>
      <c r="D178" s="130"/>
      <c r="E178" s="129"/>
      <c r="F178" s="130"/>
      <c r="G178" s="129"/>
      <c r="H178" s="130"/>
      <c r="I178" s="129"/>
      <c r="J178" s="130"/>
      <c r="K178" s="129"/>
      <c r="L178" s="131"/>
    </row>
    <row r="179" spans="1:12">
      <c r="A179" s="129"/>
      <c r="B179" s="130"/>
      <c r="C179" s="129"/>
      <c r="D179" s="130"/>
      <c r="E179" s="129"/>
      <c r="F179" s="130"/>
      <c r="G179" s="129"/>
      <c r="H179" s="130"/>
      <c r="I179" s="129"/>
      <c r="J179" s="130"/>
      <c r="K179" s="129"/>
      <c r="L179" s="131"/>
    </row>
    <row r="180" spans="1:12">
      <c r="A180" s="129"/>
      <c r="B180" s="130"/>
      <c r="C180" s="129"/>
      <c r="D180" s="130"/>
      <c r="E180" s="129"/>
      <c r="F180" s="130"/>
      <c r="G180" s="129"/>
      <c r="H180" s="130"/>
      <c r="I180" s="129"/>
      <c r="J180" s="130"/>
      <c r="K180" s="129"/>
      <c r="L180" s="131"/>
    </row>
    <row r="181" spans="1:12">
      <c r="A181" s="129"/>
      <c r="B181" s="130"/>
      <c r="C181" s="129"/>
      <c r="D181" s="130"/>
      <c r="E181" s="129"/>
      <c r="F181" s="130"/>
      <c r="G181" s="129"/>
      <c r="H181" s="130"/>
      <c r="I181" s="129"/>
      <c r="J181" s="130"/>
      <c r="K181" s="129"/>
      <c r="L181" s="131"/>
    </row>
    <row r="182" spans="1:12" ht="13.5" thickBot="1">
      <c r="A182" s="138"/>
      <c r="B182" s="139"/>
      <c r="C182" s="138"/>
      <c r="D182" s="139"/>
      <c r="E182" s="138"/>
      <c r="F182" s="139"/>
      <c r="G182" s="138"/>
      <c r="H182" s="139"/>
      <c r="I182" s="138"/>
      <c r="J182" s="139"/>
      <c r="K182" s="138"/>
      <c r="L182" s="140"/>
    </row>
    <row r="199" spans="1:17" ht="13.5" thickBot="1"/>
    <row r="200" spans="1:17" ht="16.5" thickBot="1">
      <c r="A200" s="209" t="s">
        <v>1</v>
      </c>
      <c r="B200" s="210"/>
      <c r="C200" s="211" t="s">
        <v>0</v>
      </c>
      <c r="D200" s="212"/>
      <c r="E200" s="213" t="s">
        <v>2</v>
      </c>
      <c r="F200" s="214"/>
      <c r="G200" s="215" t="s">
        <v>3</v>
      </c>
      <c r="H200" s="216"/>
      <c r="I200" s="217" t="s">
        <v>4</v>
      </c>
      <c r="J200" s="218"/>
      <c r="K200" s="207" t="s">
        <v>5</v>
      </c>
      <c r="L200" s="208"/>
    </row>
    <row r="201" spans="1:17" ht="21.75" thickTop="1" thickBot="1">
      <c r="A201" s="1">
        <v>10</v>
      </c>
      <c r="B201" s="5">
        <v>9</v>
      </c>
      <c r="C201" s="1"/>
      <c r="D201" s="5"/>
      <c r="E201" s="1"/>
      <c r="F201" s="5"/>
      <c r="G201" s="1"/>
      <c r="H201" s="5"/>
      <c r="I201" s="1"/>
      <c r="J201" s="5"/>
      <c r="K201" s="1"/>
      <c r="L201" s="2"/>
      <c r="M201" s="81">
        <v>12</v>
      </c>
    </row>
    <row r="202" spans="1:17" ht="14.25" thickTop="1" thickBot="1">
      <c r="A202" s="1">
        <v>5</v>
      </c>
      <c r="B202" s="5">
        <v>1</v>
      </c>
      <c r="C202" s="1"/>
      <c r="D202" s="5"/>
      <c r="E202" s="1"/>
      <c r="F202" s="5"/>
      <c r="G202" s="1"/>
      <c r="H202" s="5"/>
      <c r="I202" s="1"/>
      <c r="J202" s="5"/>
      <c r="K202" s="1"/>
      <c r="L202" s="2"/>
      <c r="N202" s="132"/>
      <c r="O202" s="132"/>
      <c r="P202" s="132"/>
      <c r="Q202" s="132"/>
    </row>
    <row r="203" spans="1:17" ht="16.5" thickTop="1" thickBot="1">
      <c r="A203" s="1">
        <v>3</v>
      </c>
      <c r="B203" s="5">
        <v>6</v>
      </c>
      <c r="C203" s="1"/>
      <c r="D203" s="5"/>
      <c r="E203" s="1"/>
      <c r="F203" s="5"/>
      <c r="G203" s="1"/>
      <c r="H203" s="5"/>
      <c r="I203" s="1"/>
      <c r="J203" s="5"/>
      <c r="K203" s="1"/>
      <c r="L203" s="2"/>
      <c r="N203" s="147" t="s">
        <v>21</v>
      </c>
      <c r="O203" s="148"/>
      <c r="P203" s="149"/>
      <c r="Q203" s="150" t="s">
        <v>17</v>
      </c>
    </row>
    <row r="204" spans="1:17" ht="13.5" thickTop="1">
      <c r="A204" s="1">
        <v>12</v>
      </c>
      <c r="B204" s="5">
        <v>7</v>
      </c>
      <c r="C204" s="1"/>
      <c r="D204" s="5"/>
      <c r="E204" s="1"/>
      <c r="F204" s="5"/>
      <c r="G204" s="1"/>
      <c r="H204" s="5"/>
      <c r="I204" s="1"/>
      <c r="J204" s="5"/>
      <c r="K204" s="1"/>
      <c r="L204" s="2"/>
    </row>
    <row r="205" spans="1:17">
      <c r="A205" s="1">
        <v>8</v>
      </c>
      <c r="B205" s="5">
        <v>11</v>
      </c>
      <c r="C205" s="1"/>
      <c r="D205" s="5"/>
      <c r="E205" s="1"/>
      <c r="F205" s="5"/>
      <c r="G205" s="1"/>
      <c r="H205" s="5"/>
      <c r="I205" s="1"/>
      <c r="J205" s="5"/>
      <c r="K205" s="1"/>
      <c r="L205" s="2"/>
    </row>
    <row r="206" spans="1:17" ht="13.5" thickBot="1">
      <c r="A206" s="3">
        <v>4</v>
      </c>
      <c r="B206" s="6">
        <v>2</v>
      </c>
      <c r="C206" s="3"/>
      <c r="D206" s="6"/>
      <c r="E206" s="3"/>
      <c r="F206" s="6"/>
      <c r="G206" s="3"/>
      <c r="H206" s="6"/>
      <c r="I206" s="3"/>
      <c r="J206" s="6"/>
      <c r="K206" s="3"/>
      <c r="L206" s="4"/>
    </row>
    <row r="207" spans="1:17" ht="13.5" thickBot="1">
      <c r="A207" s="3"/>
      <c r="B207" s="6"/>
      <c r="C207" s="3"/>
      <c r="D207" s="6"/>
      <c r="E207" s="3"/>
      <c r="F207" s="6"/>
      <c r="G207" s="3"/>
      <c r="H207" s="6"/>
      <c r="I207" s="3"/>
      <c r="J207" s="6"/>
      <c r="K207" s="3"/>
      <c r="L207" s="4"/>
    </row>
    <row r="208" spans="1:17" ht="13.5" thickBot="1">
      <c r="A208" s="138"/>
      <c r="B208" s="139"/>
      <c r="C208" s="138"/>
      <c r="D208" s="139"/>
      <c r="E208" s="138"/>
      <c r="F208" s="139"/>
      <c r="G208" s="138"/>
      <c r="H208" s="139"/>
      <c r="I208" s="138"/>
      <c r="J208" s="139"/>
      <c r="K208" s="138"/>
      <c r="L208" s="140"/>
    </row>
    <row r="209" spans="1:12">
      <c r="A209" s="129"/>
      <c r="B209" s="130"/>
      <c r="C209" s="129"/>
      <c r="D209" s="130"/>
      <c r="E209" s="129"/>
      <c r="F209" s="130"/>
      <c r="G209" s="129"/>
      <c r="H209" s="130"/>
      <c r="I209" s="129"/>
      <c r="J209" s="130"/>
      <c r="K209" s="129"/>
      <c r="L209" s="131"/>
    </row>
    <row r="210" spans="1:12">
      <c r="A210" s="129"/>
      <c r="B210" s="130"/>
      <c r="C210" s="129"/>
      <c r="D210" s="130"/>
      <c r="E210" s="129"/>
      <c r="F210" s="130"/>
      <c r="G210" s="129"/>
      <c r="H210" s="130"/>
      <c r="I210" s="129"/>
      <c r="J210" s="130"/>
      <c r="K210" s="129"/>
      <c r="L210" s="131"/>
    </row>
    <row r="211" spans="1:12">
      <c r="A211" s="129"/>
      <c r="B211" s="130"/>
      <c r="C211" s="129"/>
      <c r="D211" s="130"/>
      <c r="E211" s="129"/>
      <c r="F211" s="130"/>
      <c r="G211" s="129"/>
      <c r="H211" s="130"/>
      <c r="I211" s="129"/>
      <c r="J211" s="130"/>
      <c r="K211" s="129"/>
      <c r="L211" s="131"/>
    </row>
    <row r="212" spans="1:12" ht="13.5" thickBot="1">
      <c r="A212" s="138"/>
      <c r="B212" s="139"/>
      <c r="C212" s="138"/>
      <c r="D212" s="139"/>
      <c r="E212" s="138"/>
      <c r="F212" s="139"/>
      <c r="G212" s="138"/>
      <c r="H212" s="139"/>
      <c r="I212" s="138"/>
      <c r="J212" s="139"/>
      <c r="K212" s="138"/>
      <c r="L212" s="140"/>
    </row>
    <row r="213" spans="1:12">
      <c r="A213" s="129"/>
      <c r="B213" s="130"/>
      <c r="C213" s="129"/>
      <c r="D213" s="130"/>
      <c r="E213" s="129"/>
      <c r="F213" s="130"/>
      <c r="G213" s="129"/>
      <c r="H213" s="130"/>
      <c r="I213" s="129"/>
      <c r="J213" s="130"/>
      <c r="K213" s="129"/>
      <c r="L213" s="131"/>
    </row>
    <row r="214" spans="1:12">
      <c r="A214" s="129"/>
      <c r="B214" s="130"/>
      <c r="C214" s="129"/>
      <c r="D214" s="130"/>
      <c r="E214" s="129"/>
      <c r="F214" s="130"/>
      <c r="G214" s="129"/>
      <c r="H214" s="130"/>
      <c r="I214" s="129"/>
      <c r="J214" s="130"/>
      <c r="K214" s="129"/>
      <c r="L214" s="131"/>
    </row>
    <row r="215" spans="1:12">
      <c r="A215" s="129"/>
      <c r="B215" s="130"/>
      <c r="C215" s="129"/>
      <c r="D215" s="130"/>
      <c r="E215" s="129"/>
      <c r="F215" s="130"/>
      <c r="G215" s="129"/>
      <c r="H215" s="130"/>
      <c r="I215" s="129"/>
      <c r="J215" s="130"/>
      <c r="K215" s="129"/>
      <c r="L215" s="131"/>
    </row>
    <row r="216" spans="1:12" ht="13.5" thickBot="1">
      <c r="A216" s="138"/>
      <c r="B216" s="139"/>
      <c r="C216" s="138"/>
      <c r="D216" s="139"/>
      <c r="E216" s="138"/>
      <c r="F216" s="139"/>
      <c r="G216" s="138"/>
      <c r="H216" s="139"/>
      <c r="I216" s="138"/>
      <c r="J216" s="139"/>
      <c r="K216" s="138"/>
      <c r="L216" s="140"/>
    </row>
    <row r="217" spans="1:12">
      <c r="A217" s="129"/>
      <c r="B217" s="130"/>
      <c r="C217" s="129"/>
      <c r="D217" s="130"/>
      <c r="E217" s="129"/>
      <c r="F217" s="130"/>
      <c r="G217" s="129"/>
      <c r="H217" s="130"/>
      <c r="I217" s="129"/>
      <c r="J217" s="130"/>
      <c r="K217" s="129"/>
      <c r="L217" s="131"/>
    </row>
    <row r="218" spans="1:12">
      <c r="A218" s="129"/>
      <c r="B218" s="130"/>
      <c r="C218" s="129"/>
      <c r="D218" s="130"/>
      <c r="E218" s="129"/>
      <c r="F218" s="130"/>
      <c r="G218" s="129"/>
      <c r="H218" s="130"/>
      <c r="I218" s="129"/>
      <c r="J218" s="130"/>
      <c r="K218" s="129"/>
      <c r="L218" s="131"/>
    </row>
    <row r="219" spans="1:12">
      <c r="A219" s="129"/>
      <c r="B219" s="130"/>
      <c r="C219" s="129"/>
      <c r="D219" s="130"/>
      <c r="E219" s="129"/>
      <c r="F219" s="130"/>
      <c r="G219" s="129"/>
      <c r="H219" s="130"/>
      <c r="I219" s="129"/>
      <c r="J219" s="130"/>
      <c r="K219" s="129"/>
      <c r="L219" s="131"/>
    </row>
    <row r="220" spans="1:12">
      <c r="A220" s="129"/>
      <c r="B220" s="130"/>
      <c r="C220" s="129"/>
      <c r="D220" s="130"/>
      <c r="E220" s="129"/>
      <c r="F220" s="130"/>
      <c r="G220" s="129"/>
      <c r="H220" s="130"/>
      <c r="I220" s="129"/>
      <c r="J220" s="130"/>
      <c r="K220" s="129"/>
      <c r="L220" s="131"/>
    </row>
    <row r="221" spans="1:12">
      <c r="A221" s="129"/>
      <c r="B221" s="130"/>
      <c r="C221" s="129"/>
      <c r="D221" s="130"/>
      <c r="E221" s="129"/>
      <c r="F221" s="130"/>
      <c r="G221" s="129"/>
      <c r="H221" s="130"/>
      <c r="I221" s="129"/>
      <c r="J221" s="130"/>
      <c r="K221" s="129"/>
      <c r="L221" s="131"/>
    </row>
    <row r="222" spans="1:12">
      <c r="A222" s="129"/>
      <c r="B222" s="130"/>
      <c r="C222" s="129"/>
      <c r="D222" s="130"/>
      <c r="E222" s="129"/>
      <c r="F222" s="130"/>
      <c r="G222" s="129"/>
      <c r="H222" s="130"/>
      <c r="I222" s="129"/>
      <c r="J222" s="130"/>
      <c r="K222" s="129"/>
      <c r="L222" s="131"/>
    </row>
    <row r="223" spans="1:12">
      <c r="A223" s="129"/>
      <c r="B223" s="130"/>
      <c r="C223" s="129"/>
      <c r="D223" s="130"/>
      <c r="E223" s="129"/>
      <c r="F223" s="130"/>
      <c r="G223" s="129"/>
      <c r="H223" s="130"/>
      <c r="I223" s="129"/>
      <c r="J223" s="130"/>
      <c r="K223" s="129"/>
      <c r="L223" s="131"/>
    </row>
    <row r="224" spans="1:12">
      <c r="A224" s="129"/>
      <c r="B224" s="130"/>
      <c r="C224" s="129"/>
      <c r="D224" s="130"/>
      <c r="E224" s="129"/>
      <c r="F224" s="130"/>
      <c r="G224" s="129"/>
      <c r="H224" s="130"/>
      <c r="I224" s="129"/>
      <c r="J224" s="130"/>
      <c r="K224" s="129"/>
      <c r="L224" s="131"/>
    </row>
    <row r="225" spans="1:12">
      <c r="A225" s="129"/>
      <c r="B225" s="130"/>
      <c r="C225" s="129"/>
      <c r="D225" s="130"/>
      <c r="E225" s="129"/>
      <c r="F225" s="130"/>
      <c r="G225" s="129"/>
      <c r="H225" s="130"/>
      <c r="I225" s="129"/>
      <c r="J225" s="130"/>
      <c r="K225" s="129"/>
      <c r="L225" s="131"/>
    </row>
    <row r="226" spans="1:12" ht="13.5" thickBot="1">
      <c r="A226" s="138"/>
      <c r="B226" s="139"/>
      <c r="C226" s="138"/>
      <c r="D226" s="139"/>
      <c r="E226" s="138"/>
      <c r="F226" s="139"/>
      <c r="G226" s="138"/>
      <c r="H226" s="139"/>
      <c r="I226" s="138"/>
      <c r="J226" s="139"/>
      <c r="K226" s="138"/>
      <c r="L226" s="140"/>
    </row>
    <row r="249" spans="1:17" ht="13.5" thickBot="1"/>
    <row r="250" spans="1:17" ht="16.5" thickBot="1">
      <c r="A250" s="209" t="s">
        <v>1</v>
      </c>
      <c r="B250" s="210"/>
      <c r="C250" s="211" t="s">
        <v>0</v>
      </c>
      <c r="D250" s="212"/>
      <c r="E250" s="213" t="s">
        <v>2</v>
      </c>
      <c r="F250" s="214"/>
      <c r="G250" s="215" t="s">
        <v>3</v>
      </c>
      <c r="H250" s="216"/>
      <c r="I250" s="217" t="s">
        <v>4</v>
      </c>
      <c r="J250" s="218"/>
      <c r="K250" s="207" t="s">
        <v>5</v>
      </c>
      <c r="L250" s="208"/>
    </row>
    <row r="251" spans="1:17" ht="21.75" thickTop="1" thickBot="1">
      <c r="A251" s="1">
        <v>22</v>
      </c>
      <c r="B251" s="5">
        <v>4</v>
      </c>
      <c r="C251" s="1"/>
      <c r="D251" s="5"/>
      <c r="E251" s="1"/>
      <c r="F251" s="5"/>
      <c r="G251" s="1"/>
      <c r="H251" s="5"/>
      <c r="I251" s="1"/>
      <c r="J251" s="5"/>
      <c r="K251" s="1"/>
      <c r="L251" s="2"/>
      <c r="M251" s="81">
        <v>24</v>
      </c>
    </row>
    <row r="252" spans="1:17" ht="14.25" thickTop="1" thickBot="1">
      <c r="A252" s="1">
        <v>5</v>
      </c>
      <c r="B252" s="5">
        <v>23</v>
      </c>
      <c r="C252" s="1"/>
      <c r="D252" s="5"/>
      <c r="E252" s="1"/>
      <c r="F252" s="5"/>
      <c r="G252" s="1"/>
      <c r="H252" s="5"/>
      <c r="I252" s="1"/>
      <c r="J252" s="5"/>
      <c r="K252" s="1"/>
      <c r="L252" s="2"/>
    </row>
    <row r="253" spans="1:17" ht="16.5" thickTop="1" thickBot="1">
      <c r="A253" s="1">
        <v>9</v>
      </c>
      <c r="B253" s="5">
        <v>24</v>
      </c>
      <c r="C253" s="1"/>
      <c r="D253" s="5"/>
      <c r="E253" s="1"/>
      <c r="F253" s="5"/>
      <c r="G253" s="1"/>
      <c r="H253" s="5"/>
      <c r="I253" s="1"/>
      <c r="J253" s="5"/>
      <c r="K253" s="1"/>
      <c r="L253" s="2"/>
      <c r="N253" s="147" t="s">
        <v>22</v>
      </c>
      <c r="O253" s="148"/>
      <c r="P253" s="149"/>
      <c r="Q253" s="150" t="s">
        <v>17</v>
      </c>
    </row>
    <row r="254" spans="1:17" ht="13.5" thickTop="1">
      <c r="A254" s="1">
        <v>10</v>
      </c>
      <c r="B254" s="5">
        <v>14</v>
      </c>
      <c r="C254" s="1"/>
      <c r="D254" s="5"/>
      <c r="E254" s="1"/>
      <c r="F254" s="5"/>
      <c r="G254" s="1"/>
      <c r="H254" s="5"/>
      <c r="I254" s="1"/>
      <c r="J254" s="5"/>
      <c r="K254" s="1"/>
      <c r="L254" s="2"/>
    </row>
    <row r="255" spans="1:17">
      <c r="A255" s="1">
        <v>15</v>
      </c>
      <c r="B255" s="5">
        <v>2</v>
      </c>
      <c r="C255" s="1"/>
      <c r="D255" s="5"/>
      <c r="E255" s="1"/>
      <c r="F255" s="5"/>
      <c r="G255" s="1"/>
      <c r="H255" s="5"/>
      <c r="I255" s="1"/>
      <c r="J255" s="5"/>
      <c r="K255" s="1"/>
      <c r="L255" s="2"/>
    </row>
    <row r="256" spans="1:17">
      <c r="A256" s="1">
        <v>8</v>
      </c>
      <c r="B256" s="5">
        <v>13</v>
      </c>
      <c r="C256" s="1"/>
      <c r="D256" s="5"/>
      <c r="E256" s="1"/>
      <c r="F256" s="5"/>
      <c r="G256" s="1"/>
      <c r="H256" s="5"/>
      <c r="I256" s="1"/>
      <c r="J256" s="5"/>
      <c r="K256" s="1"/>
      <c r="L256" s="2"/>
    </row>
    <row r="257" spans="1:12">
      <c r="A257" s="1">
        <v>18</v>
      </c>
      <c r="B257" s="5">
        <v>7</v>
      </c>
      <c r="C257" s="1"/>
      <c r="D257" s="5"/>
      <c r="E257" s="1"/>
      <c r="F257" s="5"/>
      <c r="G257" s="1"/>
      <c r="H257" s="5"/>
      <c r="I257" s="1"/>
      <c r="J257" s="5"/>
      <c r="K257" s="1"/>
      <c r="L257" s="2"/>
    </row>
    <row r="258" spans="1:12">
      <c r="A258" s="1">
        <v>17</v>
      </c>
      <c r="B258" s="5">
        <v>6</v>
      </c>
      <c r="C258" s="1"/>
      <c r="D258" s="5"/>
      <c r="E258" s="1"/>
      <c r="F258" s="5"/>
      <c r="G258" s="1"/>
      <c r="H258" s="5"/>
      <c r="I258" s="1"/>
      <c r="J258" s="5"/>
      <c r="K258" s="1"/>
      <c r="L258" s="2"/>
    </row>
    <row r="259" spans="1:12">
      <c r="A259" s="1">
        <v>3</v>
      </c>
      <c r="B259" s="5">
        <v>19</v>
      </c>
      <c r="C259" s="1"/>
      <c r="D259" s="5"/>
      <c r="E259" s="1"/>
      <c r="F259" s="5"/>
      <c r="G259" s="1"/>
      <c r="H259" s="5"/>
      <c r="I259" s="1"/>
      <c r="J259" s="5"/>
      <c r="K259" s="1"/>
      <c r="L259" s="2"/>
    </row>
    <row r="260" spans="1:12">
      <c r="A260" s="1">
        <v>1</v>
      </c>
      <c r="B260" s="5">
        <v>12</v>
      </c>
      <c r="C260" s="1"/>
      <c r="D260" s="5"/>
      <c r="E260" s="1"/>
      <c r="F260" s="5"/>
      <c r="G260" s="1"/>
      <c r="H260" s="5"/>
      <c r="I260" s="1"/>
      <c r="J260" s="5"/>
      <c r="K260" s="1"/>
      <c r="L260" s="2"/>
    </row>
    <row r="261" spans="1:12">
      <c r="A261" s="1">
        <v>11</v>
      </c>
      <c r="B261" s="5">
        <v>16</v>
      </c>
      <c r="C261" s="1"/>
      <c r="D261" s="5"/>
      <c r="E261" s="1"/>
      <c r="F261" s="5"/>
      <c r="G261" s="1"/>
      <c r="H261" s="5"/>
      <c r="I261" s="1"/>
      <c r="J261" s="5"/>
      <c r="K261" s="1"/>
      <c r="L261" s="2"/>
    </row>
    <row r="262" spans="1:12" ht="13.5" thickBot="1">
      <c r="A262" s="3">
        <v>21</v>
      </c>
      <c r="B262" s="6">
        <v>20</v>
      </c>
      <c r="C262" s="3"/>
      <c r="D262" s="6"/>
      <c r="E262" s="3"/>
      <c r="F262" s="6"/>
      <c r="G262" s="3"/>
      <c r="H262" s="6"/>
      <c r="I262" s="3"/>
      <c r="J262" s="6"/>
      <c r="K262" s="3"/>
      <c r="L262" s="4"/>
    </row>
    <row r="263" spans="1:12" ht="13.5" thickBot="1">
      <c r="A263" s="3"/>
      <c r="B263" s="6"/>
      <c r="C263" s="3"/>
      <c r="D263" s="6"/>
      <c r="E263" s="3"/>
      <c r="F263" s="6"/>
      <c r="G263" s="3"/>
      <c r="H263" s="6"/>
      <c r="I263" s="3"/>
      <c r="J263" s="6"/>
      <c r="K263" s="3"/>
      <c r="L263" s="4"/>
    </row>
    <row r="264" spans="1:12">
      <c r="A264" s="129"/>
      <c r="B264" s="130"/>
      <c r="C264" s="129"/>
      <c r="D264" s="130"/>
      <c r="E264" s="129"/>
      <c r="F264" s="130"/>
      <c r="G264" s="129"/>
      <c r="H264" s="130"/>
      <c r="I264" s="129"/>
      <c r="J264" s="130"/>
      <c r="K264" s="129"/>
      <c r="L264" s="131"/>
    </row>
    <row r="265" spans="1:12">
      <c r="A265" s="129"/>
      <c r="B265" s="130"/>
      <c r="C265" s="129"/>
      <c r="D265" s="130"/>
      <c r="E265" s="129"/>
      <c r="F265" s="130"/>
      <c r="G265" s="129"/>
      <c r="H265" s="130"/>
      <c r="I265" s="129"/>
      <c r="J265" s="130"/>
      <c r="K265" s="129"/>
      <c r="L265" s="131"/>
    </row>
    <row r="266" spans="1:12" ht="13.5" thickBot="1">
      <c r="A266" s="138"/>
      <c r="B266" s="139"/>
      <c r="C266" s="138"/>
      <c r="D266" s="139"/>
      <c r="E266" s="138"/>
      <c r="F266" s="139"/>
      <c r="G266" s="138"/>
      <c r="H266" s="139"/>
      <c r="I266" s="138"/>
      <c r="J266" s="139"/>
      <c r="K266" s="138"/>
      <c r="L266" s="140"/>
    </row>
    <row r="267" spans="1:12">
      <c r="A267" s="129"/>
      <c r="B267" s="130"/>
      <c r="C267" s="129"/>
      <c r="D267" s="130"/>
      <c r="E267" s="129"/>
      <c r="F267" s="130"/>
      <c r="G267" s="129"/>
      <c r="H267" s="130"/>
      <c r="I267" s="129"/>
      <c r="J267" s="130"/>
      <c r="K267" s="129"/>
      <c r="L267" s="131"/>
    </row>
    <row r="268" spans="1:12">
      <c r="A268" s="129"/>
      <c r="B268" s="130"/>
      <c r="C268" s="129"/>
      <c r="D268" s="130"/>
      <c r="E268" s="129"/>
      <c r="F268" s="130"/>
      <c r="G268" s="129"/>
      <c r="H268" s="130"/>
      <c r="I268" s="129"/>
      <c r="J268" s="130"/>
      <c r="K268" s="129"/>
      <c r="L268" s="131"/>
    </row>
    <row r="269" spans="1:12">
      <c r="A269" s="129"/>
      <c r="B269" s="130"/>
      <c r="C269" s="129"/>
      <c r="D269" s="130"/>
      <c r="E269" s="129"/>
      <c r="F269" s="130"/>
      <c r="G269" s="129"/>
      <c r="H269" s="130"/>
      <c r="I269" s="129"/>
      <c r="J269" s="130"/>
      <c r="K269" s="129"/>
      <c r="L269" s="131"/>
    </row>
    <row r="270" spans="1:12">
      <c r="A270" s="129"/>
      <c r="B270" s="130"/>
      <c r="C270" s="129"/>
      <c r="D270" s="130"/>
      <c r="E270" s="129"/>
      <c r="F270" s="130"/>
      <c r="G270" s="129"/>
      <c r="H270" s="130"/>
      <c r="I270" s="129"/>
      <c r="J270" s="130"/>
      <c r="K270" s="129"/>
      <c r="L270" s="131"/>
    </row>
    <row r="271" spans="1:12">
      <c r="A271" s="129"/>
      <c r="B271" s="130"/>
      <c r="C271" s="129"/>
      <c r="D271" s="130"/>
      <c r="E271" s="129"/>
      <c r="F271" s="130"/>
      <c r="G271" s="129"/>
      <c r="H271" s="130"/>
      <c r="I271" s="129"/>
      <c r="J271" s="130"/>
      <c r="K271" s="129"/>
      <c r="L271" s="131"/>
    </row>
    <row r="272" spans="1:12">
      <c r="A272" s="129"/>
      <c r="B272" s="130"/>
      <c r="C272" s="129"/>
      <c r="D272" s="130"/>
      <c r="E272" s="129"/>
      <c r="F272" s="130"/>
      <c r="G272" s="129"/>
      <c r="H272" s="130"/>
      <c r="I272" s="129"/>
      <c r="J272" s="130"/>
      <c r="K272" s="129"/>
      <c r="L272" s="131"/>
    </row>
    <row r="273" spans="1:12">
      <c r="A273" s="129"/>
      <c r="B273" s="130"/>
      <c r="C273" s="129"/>
      <c r="D273" s="130"/>
      <c r="E273" s="129"/>
      <c r="F273" s="130"/>
      <c r="G273" s="129"/>
      <c r="H273" s="130"/>
      <c r="I273" s="129"/>
      <c r="J273" s="130"/>
      <c r="K273" s="129"/>
      <c r="L273" s="131"/>
    </row>
    <row r="274" spans="1:12" ht="13.5" thickBot="1">
      <c r="A274" s="138"/>
      <c r="B274" s="139"/>
      <c r="C274" s="138"/>
      <c r="D274" s="139"/>
      <c r="E274" s="138"/>
      <c r="F274" s="139"/>
      <c r="G274" s="138"/>
      <c r="H274" s="139"/>
      <c r="I274" s="138"/>
      <c r="J274" s="139"/>
      <c r="K274" s="138"/>
      <c r="L274" s="140"/>
    </row>
    <row r="275" spans="1:12">
      <c r="A275" s="129"/>
      <c r="B275" s="130"/>
      <c r="C275" s="129"/>
      <c r="D275" s="130"/>
      <c r="E275" s="129"/>
      <c r="F275" s="130"/>
      <c r="G275" s="129"/>
      <c r="H275" s="130"/>
      <c r="I275" s="129"/>
      <c r="J275" s="130"/>
      <c r="K275" s="129"/>
      <c r="L275" s="131"/>
    </row>
    <row r="276" spans="1:12">
      <c r="A276" s="129"/>
      <c r="B276" s="130"/>
      <c r="C276" s="129"/>
      <c r="D276" s="130"/>
      <c r="E276" s="129"/>
      <c r="F276" s="130"/>
      <c r="G276" s="129"/>
      <c r="H276" s="130"/>
      <c r="I276" s="129"/>
      <c r="J276" s="130"/>
      <c r="K276" s="129"/>
      <c r="L276" s="131"/>
    </row>
    <row r="277" spans="1:12">
      <c r="A277" s="129"/>
      <c r="B277" s="130"/>
      <c r="C277" s="129"/>
      <c r="D277" s="130"/>
      <c r="E277" s="129"/>
      <c r="F277" s="130"/>
      <c r="G277" s="129"/>
      <c r="H277" s="130"/>
      <c r="I277" s="129"/>
      <c r="J277" s="130"/>
      <c r="K277" s="129"/>
      <c r="L277" s="131"/>
    </row>
    <row r="278" spans="1:12">
      <c r="A278" s="129"/>
      <c r="B278" s="130"/>
      <c r="C278" s="129"/>
      <c r="D278" s="130"/>
      <c r="E278" s="129"/>
      <c r="F278" s="130"/>
      <c r="G278" s="129"/>
      <c r="H278" s="130"/>
      <c r="I278" s="129"/>
      <c r="J278" s="130"/>
      <c r="K278" s="129"/>
      <c r="L278" s="131"/>
    </row>
    <row r="279" spans="1:12">
      <c r="A279" s="129"/>
      <c r="B279" s="130"/>
      <c r="C279" s="129"/>
      <c r="D279" s="130"/>
      <c r="E279" s="129"/>
      <c r="F279" s="130"/>
      <c r="G279" s="129"/>
      <c r="H279" s="130"/>
      <c r="I279" s="129"/>
      <c r="J279" s="130"/>
      <c r="K279" s="129"/>
      <c r="L279" s="131"/>
    </row>
    <row r="280" spans="1:12">
      <c r="A280" s="129"/>
      <c r="B280" s="130"/>
      <c r="C280" s="129"/>
      <c r="D280" s="130"/>
      <c r="E280" s="129"/>
      <c r="F280" s="130"/>
      <c r="G280" s="129"/>
      <c r="H280" s="130"/>
      <c r="I280" s="129"/>
      <c r="J280" s="130"/>
      <c r="K280" s="129"/>
      <c r="L280" s="131"/>
    </row>
    <row r="281" spans="1:12">
      <c r="A281" s="129"/>
      <c r="B281" s="130"/>
      <c r="C281" s="129"/>
      <c r="D281" s="130"/>
      <c r="E281" s="129"/>
      <c r="F281" s="130"/>
      <c r="G281" s="129"/>
      <c r="H281" s="130"/>
      <c r="I281" s="129"/>
      <c r="J281" s="130"/>
      <c r="K281" s="129"/>
      <c r="L281" s="131"/>
    </row>
    <row r="282" spans="1:12" ht="13.5" thickBot="1">
      <c r="A282" s="138"/>
      <c r="B282" s="139"/>
      <c r="C282" s="138"/>
      <c r="D282" s="139"/>
      <c r="E282" s="138"/>
      <c r="F282" s="139"/>
      <c r="G282" s="138"/>
      <c r="H282" s="139"/>
      <c r="I282" s="138"/>
      <c r="J282" s="139"/>
      <c r="K282" s="138"/>
      <c r="L282" s="140"/>
    </row>
    <row r="299" spans="1:17" ht="13.5" thickBot="1"/>
    <row r="300" spans="1:17" ht="16.5" thickBot="1">
      <c r="A300" s="209" t="s">
        <v>1</v>
      </c>
      <c r="B300" s="210"/>
      <c r="C300" s="211" t="s">
        <v>0</v>
      </c>
      <c r="D300" s="212"/>
      <c r="E300" s="213" t="s">
        <v>2</v>
      </c>
      <c r="F300" s="214"/>
      <c r="G300" s="215" t="s">
        <v>3</v>
      </c>
      <c r="H300" s="216"/>
      <c r="I300" s="217" t="s">
        <v>4</v>
      </c>
      <c r="J300" s="218"/>
      <c r="K300" s="207" t="s">
        <v>5</v>
      </c>
      <c r="L300" s="208"/>
    </row>
    <row r="301" spans="1:17" ht="21.75" thickTop="1" thickBot="1">
      <c r="A301" s="1">
        <v>6</v>
      </c>
      <c r="B301" s="5">
        <v>2</v>
      </c>
      <c r="C301" s="1"/>
      <c r="D301" s="5"/>
      <c r="E301" s="1"/>
      <c r="F301" s="5"/>
      <c r="G301" s="1"/>
      <c r="H301" s="5"/>
      <c r="I301" s="1"/>
      <c r="J301" s="5"/>
      <c r="K301" s="1"/>
      <c r="L301" s="2"/>
      <c r="M301" s="81">
        <v>12</v>
      </c>
    </row>
    <row r="302" spans="1:17" ht="14.25" thickTop="1" thickBot="1">
      <c r="A302" s="1">
        <v>10</v>
      </c>
      <c r="B302" s="5">
        <v>12</v>
      </c>
      <c r="C302" s="1"/>
      <c r="D302" s="5"/>
      <c r="E302" s="1"/>
      <c r="F302" s="5"/>
      <c r="G302" s="1"/>
      <c r="H302" s="5"/>
      <c r="I302" s="1"/>
      <c r="J302" s="5"/>
      <c r="K302" s="1"/>
      <c r="L302" s="2"/>
    </row>
    <row r="303" spans="1:17" ht="16.5" thickTop="1" thickBot="1">
      <c r="A303" s="1">
        <v>3</v>
      </c>
      <c r="B303" s="5">
        <v>5</v>
      </c>
      <c r="C303" s="1"/>
      <c r="D303" s="5"/>
      <c r="E303" s="1"/>
      <c r="F303" s="5"/>
      <c r="G303" s="1"/>
      <c r="H303" s="5"/>
      <c r="I303" s="1"/>
      <c r="J303" s="5"/>
      <c r="K303" s="1"/>
      <c r="L303" s="2"/>
      <c r="N303" s="147" t="s">
        <v>20</v>
      </c>
      <c r="O303" s="148"/>
      <c r="P303" s="149"/>
      <c r="Q303" s="150" t="s">
        <v>17</v>
      </c>
    </row>
    <row r="304" spans="1:17" ht="13.5" thickTop="1">
      <c r="A304" s="1">
        <v>11</v>
      </c>
      <c r="B304" s="5">
        <v>7</v>
      </c>
      <c r="C304" s="1"/>
      <c r="D304" s="5"/>
      <c r="E304" s="1"/>
      <c r="F304" s="5"/>
      <c r="G304" s="1"/>
      <c r="H304" s="5"/>
      <c r="I304" s="1"/>
      <c r="J304" s="5"/>
      <c r="K304" s="1"/>
      <c r="L304" s="2"/>
    </row>
    <row r="305" spans="1:12">
      <c r="A305" s="1">
        <v>4</v>
      </c>
      <c r="B305" s="5">
        <v>8</v>
      </c>
      <c r="C305" s="1"/>
      <c r="D305" s="5"/>
      <c r="E305" s="1"/>
      <c r="F305" s="5"/>
      <c r="G305" s="1"/>
      <c r="H305" s="5"/>
      <c r="I305" s="1"/>
      <c r="J305" s="5"/>
      <c r="K305" s="1"/>
      <c r="L305" s="2"/>
    </row>
    <row r="306" spans="1:12" ht="13.5" thickBot="1">
      <c r="A306" s="3">
        <v>9</v>
      </c>
      <c r="B306" s="6">
        <v>1</v>
      </c>
      <c r="C306" s="3"/>
      <c r="D306" s="6"/>
      <c r="E306" s="3"/>
      <c r="F306" s="6"/>
      <c r="G306" s="3"/>
      <c r="H306" s="6"/>
      <c r="I306" s="3"/>
      <c r="J306" s="6"/>
      <c r="K306" s="3"/>
      <c r="L306" s="4"/>
    </row>
    <row r="307" spans="1:12">
      <c r="A307" s="129"/>
      <c r="B307" s="130"/>
      <c r="C307" s="129"/>
      <c r="D307" s="130"/>
      <c r="E307" s="129"/>
      <c r="F307" s="130"/>
      <c r="G307" s="129"/>
      <c r="H307" s="130"/>
      <c r="I307" s="129"/>
      <c r="J307" s="130"/>
      <c r="K307" s="129"/>
      <c r="L307" s="131"/>
    </row>
    <row r="308" spans="1:12" ht="13.5" thickBot="1">
      <c r="A308" s="138"/>
      <c r="B308" s="139"/>
      <c r="C308" s="138"/>
      <c r="D308" s="139"/>
      <c r="E308" s="138"/>
      <c r="F308" s="139"/>
      <c r="G308" s="138"/>
      <c r="H308" s="139"/>
      <c r="I308" s="138"/>
      <c r="J308" s="139"/>
      <c r="K308" s="138"/>
      <c r="L308" s="140"/>
    </row>
    <row r="309" spans="1:12">
      <c r="A309" s="129"/>
      <c r="B309" s="130"/>
      <c r="C309" s="129"/>
      <c r="D309" s="130"/>
      <c r="E309" s="129"/>
      <c r="F309" s="130"/>
      <c r="G309" s="129"/>
      <c r="H309" s="130"/>
      <c r="I309" s="129"/>
      <c r="J309" s="130"/>
      <c r="K309" s="129"/>
      <c r="L309" s="131"/>
    </row>
    <row r="310" spans="1:12">
      <c r="A310" s="129"/>
      <c r="B310" s="130"/>
      <c r="C310" s="129"/>
      <c r="D310" s="130"/>
      <c r="E310" s="129"/>
      <c r="F310" s="130"/>
      <c r="G310" s="129"/>
      <c r="H310" s="130"/>
      <c r="I310" s="129"/>
      <c r="J310" s="130"/>
      <c r="K310" s="129"/>
      <c r="L310" s="131"/>
    </row>
    <row r="311" spans="1:12">
      <c r="A311" s="129"/>
      <c r="B311" s="130"/>
      <c r="C311" s="129"/>
      <c r="D311" s="130"/>
      <c r="E311" s="129"/>
      <c r="F311" s="130"/>
      <c r="G311" s="129"/>
      <c r="H311" s="130"/>
      <c r="I311" s="129"/>
      <c r="J311" s="130"/>
      <c r="K311" s="129"/>
      <c r="L311" s="131"/>
    </row>
    <row r="312" spans="1:12" ht="13.5" thickBot="1">
      <c r="A312" s="138"/>
      <c r="B312" s="139"/>
      <c r="C312" s="138"/>
      <c r="D312" s="139"/>
      <c r="E312" s="138"/>
      <c r="F312" s="139"/>
      <c r="G312" s="138"/>
      <c r="H312" s="139"/>
      <c r="I312" s="138"/>
      <c r="J312" s="139"/>
      <c r="K312" s="138"/>
      <c r="L312" s="140"/>
    </row>
    <row r="313" spans="1:12">
      <c r="A313" s="129"/>
      <c r="B313" s="130"/>
      <c r="C313" s="129"/>
      <c r="D313" s="130"/>
      <c r="E313" s="129"/>
      <c r="F313" s="130"/>
      <c r="G313" s="129"/>
      <c r="H313" s="130"/>
      <c r="I313" s="129"/>
      <c r="J313" s="130"/>
      <c r="K313" s="129"/>
      <c r="L313" s="131"/>
    </row>
    <row r="314" spans="1:12">
      <c r="A314" s="129"/>
      <c r="B314" s="130"/>
      <c r="C314" s="129"/>
      <c r="D314" s="130"/>
      <c r="E314" s="129"/>
      <c r="F314" s="130"/>
      <c r="G314" s="129"/>
      <c r="H314" s="130"/>
      <c r="I314" s="129"/>
      <c r="J314" s="130"/>
      <c r="K314" s="129"/>
      <c r="L314" s="131"/>
    </row>
    <row r="315" spans="1:12">
      <c r="A315" s="129"/>
      <c r="B315" s="130"/>
      <c r="C315" s="129"/>
      <c r="D315" s="130"/>
      <c r="E315" s="129"/>
      <c r="F315" s="130"/>
      <c r="G315" s="129"/>
      <c r="H315" s="130"/>
      <c r="I315" s="129"/>
      <c r="J315" s="130"/>
      <c r="K315" s="129"/>
      <c r="L315" s="131"/>
    </row>
    <row r="316" spans="1:12" ht="13.5" thickBot="1">
      <c r="A316" s="138"/>
      <c r="B316" s="139"/>
      <c r="C316" s="138"/>
      <c r="D316" s="139"/>
      <c r="E316" s="138"/>
      <c r="F316" s="139"/>
      <c r="G316" s="138"/>
      <c r="H316" s="139"/>
      <c r="I316" s="138"/>
      <c r="J316" s="139"/>
      <c r="K316" s="138"/>
      <c r="L316" s="140"/>
    </row>
    <row r="317" spans="1:12">
      <c r="A317" s="129"/>
      <c r="B317" s="130"/>
      <c r="C317" s="129"/>
      <c r="D317" s="130"/>
      <c r="E317" s="129"/>
      <c r="F317" s="130"/>
      <c r="G317" s="129"/>
      <c r="H317" s="130"/>
      <c r="I317" s="129"/>
      <c r="J317" s="130"/>
      <c r="K317" s="129"/>
      <c r="L317" s="131"/>
    </row>
    <row r="318" spans="1:12" ht="13.5" thickBot="1">
      <c r="A318" s="138"/>
      <c r="B318" s="139"/>
      <c r="C318" s="138"/>
      <c r="D318" s="139"/>
      <c r="E318" s="138"/>
      <c r="F318" s="139"/>
      <c r="G318" s="138"/>
      <c r="H318" s="139"/>
      <c r="I318" s="138"/>
      <c r="J318" s="139"/>
      <c r="K318" s="138"/>
      <c r="L318" s="140"/>
    </row>
    <row r="319" spans="1:12">
      <c r="A319" s="129"/>
      <c r="B319" s="130"/>
      <c r="C319" s="129"/>
      <c r="D319" s="130"/>
      <c r="E319" s="129"/>
      <c r="F319" s="130"/>
      <c r="G319" s="129"/>
      <c r="H319" s="130"/>
      <c r="I319" s="129"/>
      <c r="J319" s="130"/>
      <c r="K319" s="129"/>
      <c r="L319" s="131"/>
    </row>
    <row r="320" spans="1:12">
      <c r="A320" s="129"/>
      <c r="B320" s="130"/>
      <c r="C320" s="129"/>
      <c r="D320" s="130"/>
      <c r="E320" s="129"/>
      <c r="F320" s="130"/>
      <c r="G320" s="129"/>
      <c r="H320" s="130"/>
      <c r="I320" s="129"/>
      <c r="J320" s="130"/>
      <c r="K320" s="129"/>
      <c r="L320" s="131"/>
    </row>
    <row r="321" spans="1:12">
      <c r="A321" s="129"/>
      <c r="B321" s="130"/>
      <c r="C321" s="129"/>
      <c r="D321" s="130"/>
      <c r="E321" s="129"/>
      <c r="F321" s="130"/>
      <c r="G321" s="129"/>
      <c r="H321" s="130"/>
      <c r="I321" s="129"/>
      <c r="J321" s="130"/>
      <c r="K321" s="129"/>
      <c r="L321" s="131"/>
    </row>
    <row r="322" spans="1:12">
      <c r="A322" s="129"/>
      <c r="B322" s="130"/>
      <c r="C322" s="129"/>
      <c r="D322" s="130"/>
      <c r="E322" s="129"/>
      <c r="F322" s="130"/>
      <c r="G322" s="129"/>
      <c r="H322" s="130"/>
      <c r="I322" s="129"/>
      <c r="J322" s="130"/>
      <c r="K322" s="129"/>
      <c r="L322" s="131"/>
    </row>
    <row r="323" spans="1:12" ht="13.5" thickBot="1">
      <c r="A323" s="138"/>
      <c r="B323" s="139"/>
      <c r="C323" s="138"/>
      <c r="D323" s="139"/>
      <c r="E323" s="138"/>
      <c r="F323" s="139"/>
      <c r="G323" s="138"/>
      <c r="H323" s="139"/>
      <c r="I323" s="138"/>
      <c r="J323" s="139"/>
      <c r="K323" s="138"/>
      <c r="L323" s="140"/>
    </row>
    <row r="349" spans="1:13" ht="13.5" thickBot="1"/>
    <row r="350" spans="1:13" ht="16.5" thickBot="1">
      <c r="A350" s="209" t="s">
        <v>1</v>
      </c>
      <c r="B350" s="210"/>
      <c r="C350" s="211" t="s">
        <v>0</v>
      </c>
      <c r="D350" s="212"/>
      <c r="E350" s="213" t="s">
        <v>2</v>
      </c>
      <c r="F350" s="214"/>
      <c r="G350" s="215" t="s">
        <v>3</v>
      </c>
      <c r="H350" s="216"/>
      <c r="I350" s="217" t="s">
        <v>4</v>
      </c>
      <c r="J350" s="218"/>
      <c r="K350" s="207" t="s">
        <v>5</v>
      </c>
      <c r="L350" s="208"/>
    </row>
    <row r="351" spans="1:13" ht="21.75" thickTop="1" thickBot="1">
      <c r="A351" s="1">
        <v>3</v>
      </c>
      <c r="B351" s="5">
        <v>1</v>
      </c>
      <c r="C351" s="1"/>
      <c r="D351" s="5"/>
      <c r="E351" s="1"/>
      <c r="F351" s="5"/>
      <c r="G351" s="1"/>
      <c r="H351" s="5"/>
      <c r="I351" s="1"/>
      <c r="J351" s="5"/>
      <c r="K351" s="1"/>
      <c r="L351" s="2"/>
      <c r="M351" s="81">
        <v>6</v>
      </c>
    </row>
    <row r="352" spans="1:13" ht="14.25" thickTop="1" thickBot="1">
      <c r="A352" s="1">
        <v>5</v>
      </c>
      <c r="B352" s="5">
        <v>4</v>
      </c>
      <c r="C352" s="1"/>
      <c r="D352" s="5"/>
      <c r="E352" s="1"/>
      <c r="F352" s="5"/>
      <c r="G352" s="1"/>
      <c r="H352" s="5"/>
      <c r="I352" s="1"/>
      <c r="J352" s="5"/>
      <c r="K352" s="1"/>
      <c r="L352" s="2"/>
    </row>
    <row r="353" spans="1:17" ht="16.5" thickTop="1" thickBot="1">
      <c r="A353" s="3">
        <v>2</v>
      </c>
      <c r="B353" s="6">
        <v>6</v>
      </c>
      <c r="C353" s="3"/>
      <c r="D353" s="6"/>
      <c r="E353" s="3"/>
      <c r="F353" s="6"/>
      <c r="G353" s="3"/>
      <c r="H353" s="6"/>
      <c r="I353" s="3"/>
      <c r="J353" s="6"/>
      <c r="K353" s="3"/>
      <c r="L353" s="4"/>
      <c r="N353" s="133" t="s">
        <v>23</v>
      </c>
      <c r="O353" s="134"/>
      <c r="P353" s="135"/>
      <c r="Q353" s="136" t="s">
        <v>17</v>
      </c>
    </row>
    <row r="354" spans="1:17" ht="13.5" thickBot="1">
      <c r="A354" s="3"/>
      <c r="B354" s="6"/>
      <c r="C354" s="3"/>
      <c r="D354" s="6"/>
      <c r="E354" s="3"/>
      <c r="F354" s="6"/>
      <c r="G354" s="3"/>
      <c r="H354" s="6"/>
      <c r="I354" s="3"/>
      <c r="J354" s="6"/>
      <c r="K354" s="3"/>
      <c r="L354" s="4"/>
    </row>
    <row r="355" spans="1:17">
      <c r="A355" s="1"/>
      <c r="B355" s="5"/>
      <c r="C355" s="1"/>
      <c r="D355" s="5"/>
      <c r="E355" s="1"/>
      <c r="F355" s="5"/>
      <c r="G355" s="1"/>
      <c r="H355" s="5"/>
      <c r="I355" s="1"/>
      <c r="J355" s="5"/>
      <c r="K355" s="1"/>
      <c r="L355" s="2"/>
    </row>
    <row r="356" spans="1:17">
      <c r="A356" s="1"/>
      <c r="B356" s="5"/>
      <c r="C356" s="1"/>
      <c r="D356" s="5"/>
      <c r="E356" s="1"/>
      <c r="F356" s="5"/>
      <c r="G356" s="1"/>
      <c r="H356" s="5"/>
      <c r="I356" s="1"/>
      <c r="J356" s="5"/>
      <c r="K356" s="1"/>
      <c r="L356" s="2"/>
    </row>
    <row r="357" spans="1:17">
      <c r="A357" s="1"/>
      <c r="B357" s="5"/>
      <c r="C357" s="1"/>
      <c r="D357" s="5"/>
      <c r="E357" s="1"/>
      <c r="F357" s="5"/>
      <c r="G357" s="1"/>
      <c r="H357" s="5"/>
      <c r="I357" s="1"/>
      <c r="J357" s="5"/>
      <c r="K357" s="1"/>
      <c r="L357" s="2"/>
    </row>
    <row r="358" spans="1:17">
      <c r="A358" s="1"/>
      <c r="B358" s="5"/>
      <c r="C358" s="1"/>
      <c r="D358" s="5"/>
      <c r="E358" s="1"/>
      <c r="F358" s="5"/>
      <c r="G358" s="1"/>
      <c r="H358" s="5"/>
      <c r="I358" s="1"/>
      <c r="J358" s="5"/>
      <c r="K358" s="1"/>
      <c r="L358" s="2"/>
    </row>
    <row r="359" spans="1:17">
      <c r="A359" s="1"/>
      <c r="B359" s="5"/>
      <c r="C359" s="1"/>
      <c r="D359" s="5"/>
      <c r="E359" s="1"/>
      <c r="F359" s="5"/>
      <c r="G359" s="1"/>
      <c r="H359" s="5"/>
      <c r="I359" s="1"/>
      <c r="J359" s="5"/>
      <c r="K359" s="1"/>
      <c r="L359" s="2"/>
    </row>
    <row r="360" spans="1:17">
      <c r="A360" s="1"/>
      <c r="B360" s="5"/>
      <c r="C360" s="1"/>
      <c r="D360" s="5"/>
      <c r="E360" s="1"/>
      <c r="F360" s="5"/>
      <c r="G360" s="1"/>
      <c r="H360" s="5"/>
      <c r="I360" s="1"/>
      <c r="J360" s="5"/>
      <c r="K360" s="1"/>
      <c r="L360" s="2"/>
    </row>
    <row r="361" spans="1:17">
      <c r="A361" s="1"/>
      <c r="B361" s="5"/>
      <c r="C361" s="1"/>
      <c r="D361" s="5"/>
      <c r="E361" s="1"/>
      <c r="F361" s="5"/>
      <c r="G361" s="1"/>
      <c r="H361" s="5"/>
      <c r="I361" s="1"/>
      <c r="J361" s="5"/>
      <c r="K361" s="1"/>
      <c r="L361" s="2"/>
    </row>
    <row r="362" spans="1:17">
      <c r="A362" s="1"/>
      <c r="B362" s="5"/>
      <c r="C362" s="1"/>
      <c r="D362" s="5"/>
      <c r="E362" s="1"/>
      <c r="F362" s="5"/>
      <c r="G362" s="1"/>
      <c r="H362" s="5"/>
      <c r="I362" s="1"/>
      <c r="J362" s="5"/>
      <c r="K362" s="1"/>
      <c r="L362" s="2"/>
    </row>
    <row r="363" spans="1:17" ht="13.5" thickBot="1">
      <c r="A363" s="3"/>
      <c r="B363" s="6"/>
      <c r="C363" s="3"/>
      <c r="D363" s="6"/>
      <c r="E363" s="3"/>
      <c r="F363" s="6"/>
      <c r="G363" s="3"/>
      <c r="H363" s="6"/>
      <c r="I363" s="3"/>
      <c r="J363" s="6"/>
      <c r="K363" s="3"/>
      <c r="L363" s="4"/>
    </row>
    <row r="364" spans="1:17">
      <c r="A364" s="129"/>
      <c r="B364" s="130"/>
      <c r="C364" s="129"/>
      <c r="D364" s="130"/>
      <c r="E364" s="129"/>
      <c r="F364" s="130"/>
      <c r="G364" s="129"/>
      <c r="H364" s="130"/>
      <c r="I364" s="129"/>
      <c r="J364" s="130"/>
      <c r="K364" s="129"/>
      <c r="L364" s="131"/>
    </row>
    <row r="365" spans="1:17">
      <c r="A365" s="129"/>
      <c r="B365" s="130"/>
      <c r="C365" s="129"/>
      <c r="D365" s="130"/>
      <c r="E365" s="129"/>
      <c r="F365" s="130"/>
      <c r="G365" s="129"/>
      <c r="H365" s="130"/>
      <c r="I365" s="129"/>
      <c r="J365" s="130"/>
      <c r="K365" s="129"/>
      <c r="L365" s="131"/>
    </row>
    <row r="366" spans="1:17" ht="13.5" thickBot="1">
      <c r="A366" s="138"/>
      <c r="B366" s="139"/>
      <c r="C366" s="138"/>
      <c r="D366" s="139"/>
      <c r="E366" s="138"/>
      <c r="F366" s="139"/>
      <c r="G366" s="138"/>
      <c r="H366" s="139"/>
      <c r="I366" s="138"/>
      <c r="J366" s="139"/>
      <c r="K366" s="138"/>
      <c r="L366" s="140"/>
    </row>
    <row r="367" spans="1:17">
      <c r="A367" s="129"/>
      <c r="B367" s="130"/>
      <c r="C367" s="129"/>
      <c r="D367" s="130"/>
      <c r="E367" s="129"/>
      <c r="F367" s="130"/>
      <c r="G367" s="129"/>
      <c r="H367" s="130"/>
      <c r="I367" s="129"/>
      <c r="J367" s="130"/>
      <c r="K367" s="129"/>
      <c r="L367" s="131"/>
    </row>
    <row r="368" spans="1:17">
      <c r="A368" s="129"/>
      <c r="B368" s="130"/>
      <c r="C368" s="129"/>
      <c r="D368" s="130"/>
      <c r="E368" s="129"/>
      <c r="F368" s="130"/>
      <c r="G368" s="129"/>
      <c r="H368" s="130"/>
      <c r="I368" s="129"/>
      <c r="J368" s="130"/>
      <c r="K368" s="129"/>
      <c r="L368" s="131"/>
    </row>
    <row r="369" spans="1:12">
      <c r="A369" s="129"/>
      <c r="B369" s="130"/>
      <c r="C369" s="129"/>
      <c r="D369" s="130"/>
      <c r="E369" s="129"/>
      <c r="F369" s="130"/>
      <c r="G369" s="129"/>
      <c r="H369" s="130"/>
      <c r="I369" s="129"/>
      <c r="J369" s="130"/>
      <c r="K369" s="129"/>
      <c r="L369" s="131"/>
    </row>
    <row r="370" spans="1:12">
      <c r="A370" s="129"/>
      <c r="B370" s="130"/>
      <c r="C370" s="129"/>
      <c r="D370" s="130"/>
      <c r="E370" s="129"/>
      <c r="F370" s="130"/>
      <c r="G370" s="129"/>
      <c r="H370" s="130"/>
      <c r="I370" s="129"/>
      <c r="J370" s="130"/>
      <c r="K370" s="129"/>
      <c r="L370" s="131"/>
    </row>
    <row r="371" spans="1:12">
      <c r="A371" s="129"/>
      <c r="B371" s="130"/>
      <c r="C371" s="129"/>
      <c r="D371" s="130"/>
      <c r="E371" s="129"/>
      <c r="F371" s="130"/>
      <c r="G371" s="129"/>
      <c r="H371" s="130"/>
      <c r="I371" s="129"/>
      <c r="J371" s="130"/>
      <c r="K371" s="129"/>
      <c r="L371" s="131"/>
    </row>
    <row r="372" spans="1:12">
      <c r="A372" s="129"/>
      <c r="B372" s="130"/>
      <c r="C372" s="129"/>
      <c r="D372" s="130"/>
      <c r="E372" s="129"/>
      <c r="F372" s="130"/>
      <c r="G372" s="129"/>
      <c r="H372" s="130"/>
      <c r="I372" s="129"/>
      <c r="J372" s="130"/>
      <c r="K372" s="129"/>
      <c r="L372" s="131"/>
    </row>
    <row r="373" spans="1:12">
      <c r="A373" s="129"/>
      <c r="B373" s="130"/>
      <c r="C373" s="129"/>
      <c r="D373" s="130"/>
      <c r="E373" s="129"/>
      <c r="F373" s="130"/>
      <c r="G373" s="129"/>
      <c r="H373" s="130"/>
      <c r="I373" s="129"/>
      <c r="J373" s="130"/>
      <c r="K373" s="129"/>
      <c r="L373" s="131"/>
    </row>
    <row r="374" spans="1:12">
      <c r="A374" s="129"/>
      <c r="B374" s="130"/>
      <c r="C374" s="129"/>
      <c r="D374" s="130"/>
      <c r="E374" s="129"/>
      <c r="F374" s="130"/>
      <c r="G374" s="129"/>
      <c r="H374" s="130"/>
      <c r="I374" s="129"/>
      <c r="J374" s="130"/>
      <c r="K374" s="129"/>
      <c r="L374" s="131"/>
    </row>
    <row r="375" spans="1:12">
      <c r="A375" s="129"/>
      <c r="B375" s="130"/>
      <c r="C375" s="129"/>
      <c r="D375" s="130"/>
      <c r="E375" s="129"/>
      <c r="F375" s="130"/>
      <c r="G375" s="129"/>
      <c r="H375" s="130"/>
      <c r="I375" s="129"/>
      <c r="J375" s="130"/>
      <c r="K375" s="129"/>
      <c r="L375" s="131"/>
    </row>
    <row r="376" spans="1:12" ht="13.5" thickBot="1">
      <c r="A376" s="138"/>
      <c r="B376" s="139"/>
      <c r="C376" s="138"/>
      <c r="D376" s="139"/>
      <c r="E376" s="138"/>
      <c r="F376" s="139"/>
      <c r="G376" s="138"/>
      <c r="H376" s="139"/>
      <c r="I376" s="138"/>
      <c r="J376" s="139"/>
      <c r="K376" s="138"/>
      <c r="L376" s="140"/>
    </row>
    <row r="399" spans="1:12" ht="13.5" thickBot="1"/>
    <row r="400" spans="1:12" ht="16.5" thickBot="1">
      <c r="A400" s="209" t="s">
        <v>1</v>
      </c>
      <c r="B400" s="210"/>
      <c r="C400" s="211" t="s">
        <v>0</v>
      </c>
      <c r="D400" s="212"/>
      <c r="E400" s="213" t="s">
        <v>2</v>
      </c>
      <c r="F400" s="214"/>
      <c r="G400" s="215" t="s">
        <v>3</v>
      </c>
      <c r="H400" s="216"/>
      <c r="I400" s="217" t="s">
        <v>4</v>
      </c>
      <c r="J400" s="218"/>
      <c r="K400" s="207" t="s">
        <v>5</v>
      </c>
      <c r="L400" s="208"/>
    </row>
    <row r="401" spans="1:17" ht="21.75" thickTop="1" thickBot="1">
      <c r="A401" s="1">
        <v>6</v>
      </c>
      <c r="B401" s="5">
        <v>18</v>
      </c>
      <c r="C401" s="1"/>
      <c r="D401" s="5"/>
      <c r="E401" s="1"/>
      <c r="F401" s="5"/>
      <c r="G401" s="1"/>
      <c r="H401" s="5"/>
      <c r="I401" s="1"/>
      <c r="J401" s="5"/>
      <c r="K401" s="1"/>
      <c r="L401" s="2"/>
      <c r="M401" s="81">
        <v>18</v>
      </c>
    </row>
    <row r="402" spans="1:17" ht="14.25" thickTop="1" thickBot="1">
      <c r="A402" s="1">
        <v>8</v>
      </c>
      <c r="B402" s="5">
        <v>14</v>
      </c>
      <c r="C402" s="1"/>
      <c r="D402" s="5"/>
      <c r="E402" s="1"/>
      <c r="F402" s="5"/>
      <c r="G402" s="1"/>
      <c r="H402" s="5"/>
      <c r="I402" s="1"/>
      <c r="J402" s="5"/>
      <c r="K402" s="1"/>
      <c r="L402" s="2"/>
    </row>
    <row r="403" spans="1:17" ht="16.5" thickTop="1" thickBot="1">
      <c r="A403" s="1">
        <v>2</v>
      </c>
      <c r="B403" s="5">
        <v>12</v>
      </c>
      <c r="C403" s="1"/>
      <c r="D403" s="5"/>
      <c r="E403" s="1"/>
      <c r="F403" s="5"/>
      <c r="G403" s="1"/>
      <c r="H403" s="5"/>
      <c r="I403" s="1"/>
      <c r="J403" s="5"/>
      <c r="K403" s="1"/>
      <c r="L403" s="2"/>
      <c r="N403" s="133" t="s">
        <v>24</v>
      </c>
      <c r="O403" s="134"/>
      <c r="P403" s="135"/>
      <c r="Q403" s="136" t="s">
        <v>17</v>
      </c>
    </row>
    <row r="404" spans="1:17" ht="13.5" thickTop="1">
      <c r="A404" s="1">
        <v>5</v>
      </c>
      <c r="B404" s="5">
        <v>15</v>
      </c>
      <c r="C404" s="1"/>
      <c r="D404" s="5"/>
      <c r="E404" s="1"/>
      <c r="F404" s="5"/>
      <c r="G404" s="1"/>
      <c r="H404" s="5"/>
      <c r="I404" s="1"/>
      <c r="J404" s="5"/>
      <c r="K404" s="1"/>
      <c r="L404" s="2"/>
    </row>
    <row r="405" spans="1:17">
      <c r="A405" s="1">
        <v>4</v>
      </c>
      <c r="B405" s="5">
        <v>16</v>
      </c>
      <c r="C405" s="1"/>
      <c r="D405" s="5"/>
      <c r="E405" s="1"/>
      <c r="F405" s="5"/>
      <c r="G405" s="1"/>
      <c r="H405" s="5"/>
      <c r="I405" s="1"/>
      <c r="J405" s="5"/>
      <c r="K405" s="1"/>
      <c r="L405" s="2"/>
    </row>
    <row r="406" spans="1:17">
      <c r="A406" s="1">
        <v>9</v>
      </c>
      <c r="B406" s="5">
        <v>3</v>
      </c>
      <c r="C406" s="1"/>
      <c r="D406" s="5"/>
      <c r="E406" s="1"/>
      <c r="F406" s="5"/>
      <c r="G406" s="1"/>
      <c r="H406" s="5"/>
      <c r="I406" s="1"/>
      <c r="J406" s="5"/>
      <c r="K406" s="1"/>
      <c r="L406" s="2"/>
    </row>
    <row r="407" spans="1:17">
      <c r="A407" s="1">
        <v>13</v>
      </c>
      <c r="B407" s="5">
        <v>17</v>
      </c>
      <c r="C407" s="1"/>
      <c r="D407" s="5"/>
      <c r="E407" s="1"/>
      <c r="F407" s="5"/>
      <c r="G407" s="1"/>
      <c r="H407" s="5"/>
      <c r="I407" s="1"/>
      <c r="J407" s="5"/>
      <c r="K407" s="1"/>
      <c r="L407" s="2"/>
    </row>
    <row r="408" spans="1:17">
      <c r="A408" s="1">
        <v>10</v>
      </c>
      <c r="B408" s="5">
        <v>11</v>
      </c>
      <c r="C408" s="1"/>
      <c r="D408" s="5"/>
      <c r="E408" s="1"/>
      <c r="F408" s="5"/>
      <c r="G408" s="1"/>
      <c r="H408" s="5"/>
      <c r="I408" s="1"/>
      <c r="J408" s="5"/>
      <c r="K408" s="1"/>
      <c r="L408" s="2"/>
    </row>
    <row r="409" spans="1:17" ht="13.5" thickBot="1">
      <c r="A409" s="3">
        <v>7</v>
      </c>
      <c r="B409" s="6">
        <v>1</v>
      </c>
      <c r="C409" s="3"/>
      <c r="D409" s="6"/>
      <c r="E409" s="3"/>
      <c r="F409" s="6"/>
      <c r="G409" s="3"/>
      <c r="H409" s="6"/>
      <c r="I409" s="3"/>
      <c r="J409" s="6"/>
      <c r="K409" s="3"/>
      <c r="L409" s="4"/>
    </row>
    <row r="410" spans="1:17">
      <c r="A410" s="1"/>
      <c r="B410" s="5"/>
      <c r="C410" s="1"/>
      <c r="D410" s="5"/>
      <c r="E410" s="1"/>
      <c r="F410" s="5"/>
      <c r="G410" s="1"/>
      <c r="H410" s="5"/>
      <c r="I410" s="1"/>
      <c r="J410" s="5"/>
      <c r="K410" s="1"/>
      <c r="L410" s="2"/>
    </row>
    <row r="411" spans="1:17">
      <c r="A411" s="1"/>
      <c r="B411" s="5"/>
      <c r="C411" s="1"/>
      <c r="D411" s="5"/>
      <c r="E411" s="1"/>
      <c r="F411" s="5"/>
      <c r="G411" s="1"/>
      <c r="H411" s="5"/>
      <c r="I411" s="1"/>
      <c r="J411" s="5"/>
      <c r="K411" s="1"/>
      <c r="L411" s="2"/>
    </row>
    <row r="412" spans="1:17">
      <c r="A412" s="1"/>
      <c r="B412" s="5"/>
      <c r="C412" s="1"/>
      <c r="D412" s="5"/>
      <c r="E412" s="1"/>
      <c r="F412" s="5"/>
      <c r="G412" s="1"/>
      <c r="H412" s="5"/>
      <c r="I412" s="1"/>
      <c r="J412" s="5"/>
      <c r="K412" s="1"/>
      <c r="L412" s="2"/>
    </row>
    <row r="413" spans="1:17" ht="13.5" thickBot="1">
      <c r="A413" s="3"/>
      <c r="B413" s="6"/>
      <c r="C413" s="3"/>
      <c r="D413" s="6"/>
      <c r="E413" s="3"/>
      <c r="F413" s="6"/>
      <c r="G413" s="3"/>
      <c r="H413" s="6"/>
      <c r="I413" s="3"/>
      <c r="J413" s="6"/>
      <c r="K413" s="3"/>
      <c r="L413" s="4"/>
    </row>
    <row r="414" spans="1:17">
      <c r="A414" s="129"/>
      <c r="B414" s="130"/>
      <c r="C414" s="129"/>
      <c r="D414" s="130"/>
      <c r="E414" s="129"/>
      <c r="F414" s="130"/>
      <c r="G414" s="129"/>
      <c r="H414" s="130"/>
      <c r="I414" s="129"/>
      <c r="J414" s="130"/>
      <c r="K414" s="129"/>
      <c r="L414" s="131"/>
    </row>
    <row r="415" spans="1:17">
      <c r="A415" s="129"/>
      <c r="B415" s="130"/>
      <c r="C415" s="129"/>
      <c r="D415" s="130"/>
      <c r="E415" s="129"/>
      <c r="F415" s="130"/>
      <c r="G415" s="129"/>
      <c r="H415" s="130"/>
      <c r="I415" s="129"/>
      <c r="J415" s="130"/>
      <c r="K415" s="129"/>
      <c r="L415" s="131"/>
    </row>
    <row r="416" spans="1:17" ht="13.5" thickBot="1">
      <c r="A416" s="138"/>
      <c r="B416" s="139"/>
      <c r="C416" s="138"/>
      <c r="D416" s="139"/>
      <c r="E416" s="138"/>
      <c r="F416" s="139"/>
      <c r="G416" s="138"/>
      <c r="H416" s="139"/>
      <c r="I416" s="138"/>
      <c r="J416" s="139"/>
      <c r="K416" s="138"/>
      <c r="L416" s="140"/>
    </row>
    <row r="417" spans="1:12">
      <c r="A417" s="129"/>
      <c r="B417" s="130"/>
      <c r="C417" s="129"/>
      <c r="D417" s="130"/>
      <c r="E417" s="129"/>
      <c r="F417" s="130"/>
      <c r="G417" s="129"/>
      <c r="H417" s="130"/>
      <c r="I417" s="129"/>
      <c r="J417" s="130"/>
      <c r="K417" s="129"/>
      <c r="L417" s="131"/>
    </row>
    <row r="418" spans="1:12">
      <c r="A418" s="129"/>
      <c r="B418" s="130"/>
      <c r="C418" s="129"/>
      <c r="D418" s="130"/>
      <c r="E418" s="129"/>
      <c r="F418" s="130"/>
      <c r="G418" s="129"/>
      <c r="H418" s="130"/>
      <c r="I418" s="129"/>
      <c r="J418" s="130"/>
      <c r="K418" s="129"/>
      <c r="L418" s="131"/>
    </row>
    <row r="419" spans="1:12">
      <c r="A419" s="129"/>
      <c r="B419" s="130"/>
      <c r="C419" s="129"/>
      <c r="D419" s="130"/>
      <c r="E419" s="129"/>
      <c r="F419" s="130"/>
      <c r="G419" s="129"/>
      <c r="H419" s="130"/>
      <c r="I419" s="129"/>
      <c r="J419" s="130"/>
      <c r="K419" s="129"/>
      <c r="L419" s="131"/>
    </row>
    <row r="420" spans="1:12">
      <c r="A420" s="129"/>
      <c r="B420" s="130"/>
      <c r="C420" s="129"/>
      <c r="D420" s="130"/>
      <c r="E420" s="129"/>
      <c r="F420" s="130"/>
      <c r="G420" s="129"/>
      <c r="H420" s="130"/>
      <c r="I420" s="129"/>
      <c r="J420" s="130"/>
      <c r="K420" s="129"/>
      <c r="L420" s="131"/>
    </row>
    <row r="421" spans="1:12">
      <c r="A421" s="129"/>
      <c r="B421" s="130"/>
      <c r="C421" s="129"/>
      <c r="D421" s="130"/>
      <c r="E421" s="129"/>
      <c r="F421" s="130"/>
      <c r="G421" s="129"/>
      <c r="H421" s="130"/>
      <c r="I421" s="129"/>
      <c r="J421" s="130"/>
      <c r="K421" s="129"/>
      <c r="L421" s="131"/>
    </row>
    <row r="422" spans="1:12">
      <c r="A422" s="129"/>
      <c r="B422" s="130"/>
      <c r="C422" s="129"/>
      <c r="D422" s="130"/>
      <c r="E422" s="129"/>
      <c r="F422" s="130"/>
      <c r="G422" s="129"/>
      <c r="H422" s="130"/>
      <c r="I422" s="129"/>
      <c r="J422" s="130"/>
      <c r="K422" s="129"/>
      <c r="L422" s="131"/>
    </row>
    <row r="423" spans="1:12">
      <c r="A423" s="129"/>
      <c r="B423" s="130"/>
      <c r="C423" s="129"/>
      <c r="D423" s="130"/>
      <c r="E423" s="129"/>
      <c r="F423" s="130"/>
      <c r="G423" s="129"/>
      <c r="H423" s="130"/>
      <c r="I423" s="129"/>
      <c r="J423" s="130"/>
      <c r="K423" s="129"/>
      <c r="L423" s="131"/>
    </row>
    <row r="424" spans="1:12" ht="13.5" thickBot="1">
      <c r="A424" s="138"/>
      <c r="B424" s="139"/>
      <c r="C424" s="138"/>
      <c r="D424" s="139"/>
      <c r="E424" s="138"/>
      <c r="F424" s="139"/>
      <c r="G424" s="138"/>
      <c r="H424" s="139"/>
      <c r="I424" s="138"/>
      <c r="J424" s="139"/>
      <c r="K424" s="138"/>
      <c r="L424" s="140"/>
    </row>
    <row r="425" spans="1:12">
      <c r="A425" s="129"/>
      <c r="B425" s="130"/>
      <c r="C425" s="129"/>
      <c r="D425" s="130"/>
      <c r="E425" s="129"/>
      <c r="F425" s="130"/>
      <c r="G425" s="129"/>
      <c r="H425" s="130"/>
      <c r="I425" s="129"/>
      <c r="J425" s="130"/>
      <c r="K425" s="129"/>
      <c r="L425" s="131"/>
    </row>
    <row r="426" spans="1:12">
      <c r="A426" s="129"/>
      <c r="B426" s="130"/>
      <c r="C426" s="129"/>
      <c r="D426" s="130"/>
      <c r="E426" s="129"/>
      <c r="F426" s="130"/>
      <c r="G426" s="129"/>
      <c r="H426" s="130"/>
      <c r="I426" s="129"/>
      <c r="J426" s="130"/>
      <c r="K426" s="129"/>
      <c r="L426" s="131"/>
    </row>
    <row r="427" spans="1:12">
      <c r="A427" s="129"/>
      <c r="B427" s="130"/>
      <c r="C427" s="129"/>
      <c r="D427" s="130"/>
      <c r="E427" s="129"/>
      <c r="F427" s="130"/>
      <c r="G427" s="129"/>
      <c r="H427" s="130"/>
      <c r="I427" s="129"/>
      <c r="J427" s="130"/>
      <c r="K427" s="129"/>
      <c r="L427" s="131"/>
    </row>
    <row r="428" spans="1:12">
      <c r="A428" s="129"/>
      <c r="B428" s="130"/>
      <c r="C428" s="129"/>
      <c r="D428" s="130"/>
      <c r="E428" s="129"/>
      <c r="F428" s="130"/>
      <c r="G428" s="129"/>
      <c r="H428" s="130"/>
      <c r="I428" s="129"/>
      <c r="J428" s="130"/>
      <c r="K428" s="129"/>
      <c r="L428" s="131"/>
    </row>
    <row r="429" spans="1:12">
      <c r="A429" s="129"/>
      <c r="B429" s="130"/>
      <c r="C429" s="129"/>
      <c r="D429" s="130"/>
      <c r="E429" s="129"/>
      <c r="F429" s="130"/>
      <c r="G429" s="129"/>
      <c r="H429" s="130"/>
      <c r="I429" s="129"/>
      <c r="J429" s="130"/>
      <c r="K429" s="129"/>
      <c r="L429" s="131"/>
    </row>
    <row r="430" spans="1:12">
      <c r="A430" s="129"/>
      <c r="B430" s="130"/>
      <c r="C430" s="129"/>
      <c r="D430" s="130"/>
      <c r="E430" s="129"/>
      <c r="F430" s="130"/>
      <c r="G430" s="129"/>
      <c r="H430" s="130"/>
      <c r="I430" s="129"/>
      <c r="J430" s="130"/>
      <c r="K430" s="129"/>
      <c r="L430" s="131"/>
    </row>
    <row r="431" spans="1:12">
      <c r="A431" s="129"/>
      <c r="B431" s="130"/>
      <c r="C431" s="129"/>
      <c r="D431" s="130"/>
      <c r="E431" s="129"/>
      <c r="F431" s="130"/>
      <c r="G431" s="129"/>
      <c r="H431" s="130"/>
      <c r="I431" s="129"/>
      <c r="J431" s="130"/>
      <c r="K431" s="129"/>
      <c r="L431" s="131"/>
    </row>
    <row r="432" spans="1:12" ht="13.5" thickBot="1">
      <c r="A432" s="138"/>
      <c r="B432" s="139"/>
      <c r="C432" s="138"/>
      <c r="D432" s="139"/>
      <c r="E432" s="138"/>
      <c r="F432" s="139"/>
      <c r="G432" s="138"/>
      <c r="H432" s="139"/>
      <c r="I432" s="138"/>
      <c r="J432" s="139"/>
      <c r="K432" s="138"/>
      <c r="L432" s="140"/>
    </row>
    <row r="449" spans="1:17" ht="13.5" thickBot="1"/>
    <row r="450" spans="1:17" ht="16.5" thickBot="1">
      <c r="A450" s="209"/>
      <c r="B450" s="210"/>
      <c r="C450" s="211"/>
      <c r="D450" s="212"/>
      <c r="E450" s="213"/>
      <c r="F450" s="214"/>
      <c r="G450" s="215"/>
      <c r="H450" s="216"/>
      <c r="I450" s="217"/>
      <c r="J450" s="218"/>
      <c r="K450" s="207"/>
      <c r="L450" s="208"/>
    </row>
    <row r="451" spans="1:17" ht="21.75" thickTop="1" thickBot="1">
      <c r="A451" s="1">
        <v>13</v>
      </c>
      <c r="B451" s="5">
        <v>3</v>
      </c>
      <c r="C451" s="1"/>
      <c r="D451" s="5"/>
      <c r="E451" s="1"/>
      <c r="F451" s="5"/>
      <c r="G451" s="1"/>
      <c r="H451" s="5"/>
      <c r="I451" s="1"/>
      <c r="J451" s="5"/>
      <c r="K451" s="1"/>
      <c r="L451" s="2"/>
      <c r="M451" s="81">
        <v>18</v>
      </c>
    </row>
    <row r="452" spans="1:17" ht="14.25" thickTop="1" thickBot="1">
      <c r="A452" s="1">
        <v>12</v>
      </c>
      <c r="B452" s="5">
        <v>8</v>
      </c>
      <c r="C452" s="1"/>
      <c r="D452" s="5"/>
      <c r="E452" s="1"/>
      <c r="F452" s="5"/>
      <c r="G452" s="1"/>
      <c r="H452" s="5"/>
      <c r="I452" s="1"/>
      <c r="J452" s="5"/>
      <c r="K452" s="1"/>
      <c r="L452" s="2"/>
    </row>
    <row r="453" spans="1:17" ht="16.5" thickTop="1" thickBot="1">
      <c r="A453" s="1">
        <v>18</v>
      </c>
      <c r="B453" s="5">
        <v>1</v>
      </c>
      <c r="C453" s="1"/>
      <c r="D453" s="5"/>
      <c r="E453" s="1"/>
      <c r="F453" s="5"/>
      <c r="G453" s="1"/>
      <c r="H453" s="5"/>
      <c r="I453" s="1"/>
      <c r="J453" s="5"/>
      <c r="K453" s="1"/>
      <c r="L453" s="2"/>
      <c r="N453" s="133" t="s">
        <v>39</v>
      </c>
      <c r="O453" s="134"/>
      <c r="P453" s="135"/>
      <c r="Q453" s="136" t="s">
        <v>17</v>
      </c>
    </row>
    <row r="454" spans="1:17" ht="13.5" thickTop="1">
      <c r="A454" s="1">
        <v>9</v>
      </c>
      <c r="B454" s="5">
        <v>10</v>
      </c>
      <c r="C454" s="1"/>
      <c r="D454" s="5"/>
      <c r="E454" s="1"/>
      <c r="F454" s="5"/>
      <c r="G454" s="1"/>
      <c r="H454" s="5"/>
      <c r="I454" s="1"/>
      <c r="J454" s="5"/>
      <c r="K454" s="1"/>
      <c r="L454" s="2"/>
    </row>
    <row r="455" spans="1:17">
      <c r="A455" s="1">
        <v>4</v>
      </c>
      <c r="B455" s="5">
        <v>5</v>
      </c>
      <c r="C455" s="1"/>
      <c r="D455" s="5"/>
      <c r="E455" s="1"/>
      <c r="F455" s="5"/>
      <c r="G455" s="1"/>
      <c r="H455" s="5"/>
      <c r="I455" s="1"/>
      <c r="J455" s="5"/>
      <c r="K455" s="1"/>
      <c r="L455" s="2"/>
    </row>
    <row r="456" spans="1:17">
      <c r="A456" s="1">
        <v>2</v>
      </c>
      <c r="B456" s="5">
        <v>7</v>
      </c>
      <c r="C456" s="1"/>
      <c r="D456" s="5"/>
      <c r="E456" s="1"/>
      <c r="F456" s="5"/>
      <c r="G456" s="1"/>
      <c r="H456" s="5"/>
      <c r="I456" s="1"/>
      <c r="J456" s="5"/>
      <c r="K456" s="1"/>
      <c r="L456" s="2"/>
    </row>
    <row r="457" spans="1:17">
      <c r="A457" s="1">
        <v>6</v>
      </c>
      <c r="B457" s="5">
        <v>16</v>
      </c>
      <c r="C457" s="1"/>
      <c r="D457" s="5"/>
      <c r="E457" s="1"/>
      <c r="F457" s="5"/>
      <c r="G457" s="1"/>
      <c r="H457" s="5"/>
      <c r="I457" s="1"/>
      <c r="J457" s="5"/>
      <c r="K457" s="1"/>
      <c r="L457" s="2"/>
    </row>
    <row r="458" spans="1:17">
      <c r="A458" s="1">
        <v>17</v>
      </c>
      <c r="B458" s="5">
        <v>11</v>
      </c>
      <c r="C458" s="1"/>
      <c r="D458" s="5"/>
      <c r="E458" s="1"/>
      <c r="F458" s="5"/>
      <c r="G458" s="1"/>
      <c r="H458" s="5"/>
      <c r="I458" s="1"/>
      <c r="J458" s="5"/>
      <c r="K458" s="1"/>
      <c r="L458" s="2"/>
    </row>
    <row r="459" spans="1:17" ht="13.5" thickBot="1">
      <c r="A459" s="3">
        <v>14</v>
      </c>
      <c r="B459" s="6">
        <v>15</v>
      </c>
      <c r="C459" s="3"/>
      <c r="D459" s="6"/>
      <c r="E459" s="3"/>
      <c r="F459" s="6"/>
      <c r="G459" s="3"/>
      <c r="H459" s="6"/>
      <c r="I459" s="3"/>
      <c r="J459" s="6"/>
      <c r="K459" s="3"/>
      <c r="L459" s="4"/>
    </row>
    <row r="460" spans="1:17">
      <c r="A460" s="129"/>
      <c r="B460" s="130"/>
      <c r="C460" s="129"/>
      <c r="D460" s="130"/>
      <c r="E460" s="129"/>
      <c r="F460" s="130"/>
      <c r="G460" s="129"/>
      <c r="H460" s="130"/>
      <c r="I460" s="129"/>
      <c r="J460" s="130"/>
      <c r="K460" s="129"/>
      <c r="L460" s="131"/>
    </row>
    <row r="461" spans="1:17">
      <c r="A461" s="129"/>
      <c r="B461" s="130"/>
      <c r="C461" s="129"/>
      <c r="D461" s="130"/>
      <c r="E461" s="129"/>
      <c r="F461" s="130"/>
      <c r="G461" s="129"/>
      <c r="H461" s="130"/>
      <c r="I461" s="129"/>
      <c r="J461" s="130"/>
      <c r="K461" s="129"/>
      <c r="L461" s="131"/>
    </row>
    <row r="462" spans="1:17" ht="13.5" thickBot="1">
      <c r="A462" s="138"/>
      <c r="B462" s="139"/>
      <c r="C462" s="138"/>
      <c r="D462" s="139"/>
      <c r="E462" s="138"/>
      <c r="F462" s="139"/>
      <c r="G462" s="138"/>
      <c r="H462" s="139"/>
      <c r="I462" s="138"/>
      <c r="J462" s="139"/>
      <c r="K462" s="138"/>
      <c r="L462" s="140"/>
    </row>
    <row r="463" spans="1:17">
      <c r="A463" s="129"/>
      <c r="B463" s="130"/>
      <c r="C463" s="129"/>
      <c r="D463" s="130"/>
      <c r="E463" s="129"/>
      <c r="F463" s="130"/>
      <c r="G463" s="129"/>
      <c r="H463" s="130"/>
      <c r="I463" s="129"/>
      <c r="J463" s="130"/>
      <c r="K463" s="129"/>
      <c r="L463" s="131"/>
    </row>
    <row r="464" spans="1:17">
      <c r="A464" s="129"/>
      <c r="B464" s="130"/>
      <c r="C464" s="129"/>
      <c r="D464" s="130"/>
      <c r="E464" s="129"/>
      <c r="F464" s="130"/>
      <c r="G464" s="129"/>
      <c r="H464" s="130"/>
      <c r="I464" s="129"/>
      <c r="J464" s="130"/>
      <c r="K464" s="129"/>
      <c r="L464" s="131"/>
    </row>
    <row r="465" spans="1:12">
      <c r="A465" s="129"/>
      <c r="B465" s="130"/>
      <c r="C465" s="129"/>
      <c r="D465" s="130"/>
      <c r="E465" s="129"/>
      <c r="F465" s="130"/>
      <c r="G465" s="129"/>
      <c r="H465" s="130"/>
      <c r="I465" s="129"/>
      <c r="J465" s="130"/>
      <c r="K465" s="129"/>
      <c r="L465" s="131"/>
    </row>
    <row r="466" spans="1:12" ht="13.5" thickBot="1">
      <c r="A466" s="138"/>
      <c r="B466" s="139"/>
      <c r="C466" s="138"/>
      <c r="D466" s="139"/>
      <c r="E466" s="138"/>
      <c r="F466" s="139"/>
      <c r="G466" s="138"/>
      <c r="H466" s="139"/>
      <c r="I466" s="138"/>
      <c r="J466" s="139"/>
      <c r="K466" s="138"/>
      <c r="L466" s="140"/>
    </row>
    <row r="467" spans="1:12">
      <c r="A467" s="129"/>
      <c r="B467" s="130"/>
      <c r="C467" s="129"/>
      <c r="D467" s="130"/>
      <c r="E467" s="129"/>
      <c r="F467" s="130"/>
      <c r="G467" s="129"/>
      <c r="H467" s="130"/>
      <c r="I467" s="129"/>
      <c r="J467" s="130"/>
      <c r="K467" s="129"/>
      <c r="L467" s="131"/>
    </row>
    <row r="468" spans="1:12" ht="13.5" thickBot="1">
      <c r="A468" s="138"/>
      <c r="B468" s="139"/>
      <c r="C468" s="138"/>
      <c r="D468" s="139"/>
      <c r="E468" s="138"/>
      <c r="F468" s="139"/>
      <c r="G468" s="138"/>
      <c r="H468" s="139"/>
      <c r="I468" s="138"/>
      <c r="J468" s="139"/>
      <c r="K468" s="138"/>
      <c r="L468" s="140"/>
    </row>
    <row r="469" spans="1:12">
      <c r="A469" s="129"/>
      <c r="B469" s="130"/>
      <c r="C469" s="129"/>
      <c r="D469" s="130"/>
      <c r="E469" s="129"/>
      <c r="F469" s="130"/>
      <c r="G469" s="129"/>
      <c r="H469" s="130"/>
      <c r="I469" s="129"/>
      <c r="J469" s="130"/>
      <c r="K469" s="129"/>
      <c r="L469" s="131"/>
    </row>
    <row r="470" spans="1:12">
      <c r="A470" s="129"/>
      <c r="B470" s="130"/>
      <c r="C470" s="129"/>
      <c r="D470" s="130"/>
      <c r="E470" s="129"/>
      <c r="F470" s="130"/>
      <c r="G470" s="129"/>
      <c r="H470" s="130"/>
      <c r="I470" s="129"/>
      <c r="J470" s="130"/>
      <c r="K470" s="129"/>
      <c r="L470" s="131"/>
    </row>
    <row r="471" spans="1:12">
      <c r="A471" s="129"/>
      <c r="B471" s="130"/>
      <c r="C471" s="129"/>
      <c r="D471" s="130"/>
      <c r="E471" s="129"/>
      <c r="F471" s="130"/>
      <c r="G471" s="129"/>
      <c r="H471" s="130"/>
      <c r="I471" s="129"/>
      <c r="J471" s="130"/>
      <c r="K471" s="129"/>
      <c r="L471" s="131"/>
    </row>
    <row r="472" spans="1:12">
      <c r="A472" s="129"/>
      <c r="B472" s="130"/>
      <c r="C472" s="129"/>
      <c r="D472" s="130"/>
      <c r="E472" s="129"/>
      <c r="F472" s="130"/>
      <c r="G472" s="129"/>
      <c r="H472" s="130"/>
      <c r="I472" s="129"/>
      <c r="J472" s="130"/>
      <c r="K472" s="129"/>
      <c r="L472" s="131"/>
    </row>
    <row r="473" spans="1:12" ht="13.5" thickBot="1">
      <c r="A473" s="138"/>
      <c r="B473" s="139"/>
      <c r="C473" s="138"/>
      <c r="D473" s="139"/>
      <c r="E473" s="138"/>
      <c r="F473" s="139"/>
      <c r="G473" s="138"/>
      <c r="H473" s="139"/>
      <c r="I473" s="138"/>
      <c r="J473" s="139"/>
      <c r="K473" s="138"/>
      <c r="L473" s="140"/>
    </row>
    <row r="499" spans="1:17" ht="13.5" thickBot="1"/>
    <row r="500" spans="1:17" ht="16.5" thickBot="1">
      <c r="A500" s="209" t="s">
        <v>1</v>
      </c>
      <c r="B500" s="210"/>
      <c r="C500" s="211" t="s">
        <v>0</v>
      </c>
      <c r="D500" s="212"/>
      <c r="E500" s="213" t="s">
        <v>2</v>
      </c>
      <c r="F500" s="214"/>
      <c r="G500" s="215" t="s">
        <v>3</v>
      </c>
      <c r="H500" s="216"/>
      <c r="I500" s="217" t="s">
        <v>4</v>
      </c>
      <c r="J500" s="218"/>
      <c r="K500" s="207" t="s">
        <v>5</v>
      </c>
      <c r="L500" s="208"/>
    </row>
    <row r="501" spans="1:17" ht="21.75" thickTop="1" thickBot="1">
      <c r="A501" s="1">
        <v>5</v>
      </c>
      <c r="B501" s="5">
        <v>2</v>
      </c>
      <c r="C501" s="1"/>
      <c r="D501" s="5"/>
      <c r="E501" s="1"/>
      <c r="F501" s="5"/>
      <c r="G501" s="1"/>
      <c r="H501" s="5"/>
      <c r="I501" s="1"/>
      <c r="J501" s="5"/>
      <c r="K501" s="1"/>
      <c r="L501" s="2"/>
      <c r="M501" s="81">
        <v>6</v>
      </c>
    </row>
    <row r="502" spans="1:17" ht="14.25" thickTop="1" thickBot="1">
      <c r="A502" s="1">
        <v>3</v>
      </c>
      <c r="B502" s="5">
        <v>6</v>
      </c>
      <c r="C502" s="1"/>
      <c r="D502" s="5"/>
      <c r="E502" s="1"/>
      <c r="F502" s="5"/>
      <c r="G502" s="1"/>
      <c r="H502" s="5"/>
      <c r="I502" s="1"/>
      <c r="J502" s="5"/>
      <c r="K502" s="1"/>
      <c r="L502" s="2"/>
    </row>
    <row r="503" spans="1:17" ht="16.5" thickTop="1" thickBot="1">
      <c r="A503" s="3">
        <v>1</v>
      </c>
      <c r="B503" s="6">
        <v>4</v>
      </c>
      <c r="C503" s="3"/>
      <c r="D503" s="6"/>
      <c r="E503" s="3"/>
      <c r="F503" s="6"/>
      <c r="G503" s="3"/>
      <c r="H503" s="6"/>
      <c r="I503" s="3"/>
      <c r="J503" s="6"/>
      <c r="K503" s="3"/>
      <c r="L503" s="4"/>
      <c r="N503" s="133" t="s">
        <v>43</v>
      </c>
      <c r="O503" s="134"/>
      <c r="P503" s="135"/>
      <c r="Q503" s="136" t="s">
        <v>17</v>
      </c>
    </row>
    <row r="504" spans="1:17" ht="13.5" thickBot="1">
      <c r="A504" s="3"/>
      <c r="B504" s="6"/>
      <c r="C504" s="3"/>
      <c r="D504" s="6"/>
      <c r="E504" s="3"/>
      <c r="F504" s="6"/>
      <c r="G504" s="3"/>
      <c r="H504" s="6"/>
      <c r="I504" s="3"/>
      <c r="J504" s="6"/>
      <c r="K504" s="3"/>
      <c r="L504" s="4"/>
    </row>
    <row r="505" spans="1:17">
      <c r="A505" s="129"/>
      <c r="B505" s="130"/>
      <c r="C505" s="129"/>
      <c r="D505" s="130"/>
      <c r="E505" s="129"/>
      <c r="F505" s="130"/>
      <c r="G505" s="129"/>
      <c r="H505" s="130"/>
      <c r="I505" s="129"/>
      <c r="J505" s="130"/>
      <c r="K505" s="129"/>
      <c r="L505" s="131"/>
    </row>
    <row r="506" spans="1:17" ht="13.5" thickBot="1">
      <c r="A506" s="138"/>
      <c r="B506" s="139"/>
      <c r="C506" s="138"/>
      <c r="D506" s="139"/>
      <c r="E506" s="138"/>
      <c r="F506" s="139"/>
      <c r="G506" s="138"/>
      <c r="H506" s="139"/>
      <c r="I506" s="138"/>
      <c r="J506" s="139"/>
      <c r="K506" s="138"/>
      <c r="L506" s="140"/>
    </row>
    <row r="507" spans="1:17">
      <c r="A507" s="129"/>
      <c r="B507" s="130"/>
      <c r="C507" s="129"/>
      <c r="D507" s="130"/>
      <c r="E507" s="129"/>
      <c r="F507" s="130"/>
      <c r="G507" s="129"/>
      <c r="H507" s="130"/>
      <c r="I507" s="129"/>
      <c r="J507" s="130"/>
      <c r="K507" s="129"/>
      <c r="L507" s="131"/>
    </row>
    <row r="508" spans="1:17">
      <c r="A508" s="151"/>
      <c r="B508" s="152"/>
      <c r="C508" s="151"/>
      <c r="D508" s="152"/>
      <c r="E508" s="151"/>
      <c r="F508" s="152"/>
      <c r="G508" s="151"/>
      <c r="H508" s="152"/>
      <c r="I508" s="151"/>
      <c r="J508" s="152"/>
      <c r="K508" s="151"/>
      <c r="L508" s="153"/>
    </row>
    <row r="509" spans="1:17">
      <c r="A509" s="154"/>
      <c r="B509" s="154"/>
      <c r="C509" s="154"/>
      <c r="D509" s="154"/>
      <c r="E509" s="154"/>
      <c r="F509" s="154"/>
      <c r="G509" s="154"/>
      <c r="H509" s="154"/>
      <c r="I509" s="154"/>
      <c r="J509" s="154"/>
      <c r="K509" s="154"/>
      <c r="L509" s="154"/>
    </row>
    <row r="510" spans="1:17">
      <c r="A510" s="154"/>
      <c r="B510" s="154"/>
      <c r="C510" s="154"/>
      <c r="D510" s="154"/>
      <c r="E510" s="154"/>
      <c r="F510" s="154"/>
      <c r="G510" s="154"/>
      <c r="H510" s="154"/>
      <c r="I510" s="154"/>
      <c r="J510" s="154"/>
      <c r="K510" s="154"/>
      <c r="L510" s="154"/>
    </row>
    <row r="511" spans="1:17" ht="15.75">
      <c r="A511" s="219"/>
      <c r="B511" s="219"/>
      <c r="C511" s="219"/>
      <c r="D511" s="219"/>
      <c r="E511" s="219"/>
      <c r="F511" s="219"/>
      <c r="G511" s="219"/>
      <c r="H511" s="219"/>
      <c r="I511" s="219"/>
      <c r="J511" s="219"/>
      <c r="K511" s="219"/>
      <c r="L511" s="219"/>
    </row>
    <row r="512" spans="1:17">
      <c r="A512" s="155"/>
      <c r="B512" s="155"/>
      <c r="C512" s="155"/>
      <c r="D512" s="155"/>
      <c r="E512" s="155"/>
      <c r="F512" s="155"/>
      <c r="G512" s="155"/>
      <c r="H512" s="155"/>
      <c r="I512" s="155"/>
      <c r="J512" s="155"/>
      <c r="K512" s="155"/>
      <c r="L512" s="155"/>
    </row>
    <row r="513" spans="1:12">
      <c r="A513" s="155"/>
      <c r="B513" s="155"/>
      <c r="C513" s="155"/>
      <c r="D513" s="155"/>
      <c r="E513" s="155"/>
      <c r="F513" s="155"/>
      <c r="G513" s="155"/>
      <c r="H513" s="155"/>
      <c r="I513" s="155"/>
      <c r="J513" s="155"/>
      <c r="K513" s="155"/>
      <c r="L513" s="155"/>
    </row>
    <row r="514" spans="1:12">
      <c r="A514" s="155"/>
      <c r="B514" s="155"/>
      <c r="C514" s="155"/>
      <c r="D514" s="155"/>
      <c r="E514" s="155"/>
      <c r="F514" s="155"/>
      <c r="G514" s="155"/>
      <c r="H514" s="155"/>
      <c r="I514" s="155"/>
      <c r="J514" s="155"/>
      <c r="K514" s="155"/>
      <c r="L514" s="155"/>
    </row>
    <row r="515" spans="1:12">
      <c r="A515" s="155"/>
      <c r="B515" s="155"/>
      <c r="C515" s="155"/>
      <c r="D515" s="155"/>
      <c r="E515" s="155"/>
      <c r="F515" s="155"/>
      <c r="G515" s="155"/>
      <c r="H515" s="155"/>
      <c r="I515" s="155"/>
      <c r="J515" s="155"/>
      <c r="K515" s="155"/>
      <c r="L515" s="155"/>
    </row>
    <row r="516" spans="1:12">
      <c r="A516" s="155"/>
      <c r="B516" s="155"/>
      <c r="C516" s="155"/>
      <c r="D516" s="155"/>
      <c r="E516" s="155"/>
      <c r="F516" s="155"/>
      <c r="G516" s="155"/>
      <c r="H516" s="155"/>
      <c r="I516" s="155"/>
      <c r="J516" s="155"/>
      <c r="K516" s="155"/>
      <c r="L516" s="155"/>
    </row>
    <row r="517" spans="1:12">
      <c r="A517" s="155"/>
      <c r="B517" s="155"/>
      <c r="C517" s="155"/>
      <c r="D517" s="155"/>
      <c r="E517" s="155"/>
      <c r="F517" s="155"/>
      <c r="G517" s="155"/>
      <c r="H517" s="155"/>
      <c r="I517" s="155"/>
      <c r="J517" s="155"/>
      <c r="K517" s="155"/>
      <c r="L517" s="155"/>
    </row>
    <row r="518" spans="1:12">
      <c r="A518" s="155"/>
      <c r="B518" s="155"/>
      <c r="C518" s="155"/>
      <c r="D518" s="155"/>
      <c r="E518" s="155"/>
      <c r="F518" s="155"/>
      <c r="G518" s="155"/>
      <c r="H518" s="155"/>
      <c r="I518" s="155"/>
      <c r="J518" s="155"/>
      <c r="K518" s="155"/>
      <c r="L518" s="155"/>
    </row>
    <row r="519" spans="1:12">
      <c r="A519" s="154"/>
      <c r="B519" s="154"/>
      <c r="C519" s="154"/>
      <c r="D519" s="154"/>
      <c r="E519" s="154"/>
      <c r="F519" s="154"/>
      <c r="G519" s="154"/>
      <c r="H519" s="154"/>
      <c r="I519" s="154"/>
      <c r="J519" s="154"/>
      <c r="K519" s="154"/>
      <c r="L519" s="154"/>
    </row>
    <row r="520" spans="1:12">
      <c r="A520" s="154"/>
      <c r="B520" s="154"/>
      <c r="C520" s="154"/>
      <c r="D520" s="154"/>
      <c r="E520" s="154"/>
      <c r="F520" s="154"/>
      <c r="G520" s="154"/>
      <c r="H520" s="154"/>
      <c r="I520" s="154"/>
      <c r="J520" s="154"/>
      <c r="K520" s="154"/>
      <c r="L520" s="154"/>
    </row>
    <row r="521" spans="1:12">
      <c r="A521" s="154"/>
      <c r="B521" s="154"/>
      <c r="C521" s="154"/>
      <c r="D521" s="154"/>
      <c r="E521" s="154"/>
      <c r="F521" s="154"/>
      <c r="G521" s="154"/>
      <c r="H521" s="154"/>
      <c r="I521" s="154"/>
      <c r="J521" s="154"/>
      <c r="K521" s="154"/>
      <c r="L521" s="154"/>
    </row>
    <row r="522" spans="1:12">
      <c r="A522" s="154"/>
      <c r="B522" s="154"/>
      <c r="C522" s="154"/>
      <c r="D522" s="154"/>
      <c r="E522" s="154"/>
      <c r="F522" s="154"/>
      <c r="G522" s="154"/>
      <c r="H522" s="154"/>
      <c r="I522" s="154"/>
      <c r="J522" s="154"/>
      <c r="K522" s="154"/>
      <c r="L522" s="154"/>
    </row>
    <row r="523" spans="1:12">
      <c r="A523" s="154"/>
      <c r="B523" s="154"/>
      <c r="C523" s="154"/>
      <c r="D523" s="154"/>
      <c r="E523" s="154"/>
      <c r="F523" s="154"/>
      <c r="G523" s="154"/>
      <c r="H523" s="154"/>
      <c r="I523" s="154"/>
      <c r="J523" s="154"/>
      <c r="K523" s="154"/>
      <c r="L523" s="154"/>
    </row>
    <row r="549" spans="1:12" ht="13.5" thickBot="1"/>
    <row r="550" spans="1:12" ht="15.75">
      <c r="A550" s="209"/>
      <c r="B550" s="210"/>
      <c r="C550" s="211"/>
      <c r="D550" s="212"/>
      <c r="E550" s="213"/>
      <c r="F550" s="214"/>
      <c r="G550" s="215"/>
      <c r="H550" s="216"/>
      <c r="I550" s="217"/>
      <c r="J550" s="218"/>
      <c r="K550" s="207"/>
      <c r="L550" s="208"/>
    </row>
    <row r="551" spans="1:12">
      <c r="A551" s="129"/>
      <c r="B551" s="156"/>
      <c r="C551" s="129"/>
      <c r="D551" s="130"/>
      <c r="E551" s="129"/>
      <c r="F551" s="130"/>
      <c r="G551" s="129"/>
      <c r="H551" s="130"/>
      <c r="I551" s="129"/>
      <c r="J551" s="130"/>
      <c r="K551" s="129"/>
      <c r="L551" s="131"/>
    </row>
    <row r="552" spans="1:12">
      <c r="A552" s="129"/>
      <c r="B552" s="157"/>
      <c r="C552" s="129"/>
      <c r="D552" s="130"/>
      <c r="E552" s="129"/>
      <c r="F552" s="130"/>
      <c r="G552" s="129"/>
      <c r="H552" s="130"/>
      <c r="I552" s="129"/>
      <c r="J552" s="130"/>
      <c r="K552" s="129"/>
      <c r="L552" s="131"/>
    </row>
    <row r="553" spans="1:12" ht="14.25">
      <c r="A553" s="129"/>
      <c r="B553" s="158"/>
      <c r="C553" s="129"/>
      <c r="D553" s="130"/>
      <c r="E553" s="129"/>
      <c r="F553" s="130"/>
      <c r="G553" s="129"/>
      <c r="H553" s="130"/>
      <c r="I553" s="129"/>
      <c r="J553" s="130"/>
      <c r="K553" s="129"/>
      <c r="L553" s="131"/>
    </row>
  </sheetData>
  <mergeCells count="78">
    <mergeCell ref="K450:L450"/>
    <mergeCell ref="A450:B450"/>
    <mergeCell ref="C450:D450"/>
    <mergeCell ref="E450:F450"/>
    <mergeCell ref="G450:H450"/>
    <mergeCell ref="I450:J450"/>
    <mergeCell ref="A100:B100"/>
    <mergeCell ref="C100:D100"/>
    <mergeCell ref="E100:F100"/>
    <mergeCell ref="K90:L90"/>
    <mergeCell ref="A74:B74"/>
    <mergeCell ref="C74:D74"/>
    <mergeCell ref="E74:F74"/>
    <mergeCell ref="G74:H74"/>
    <mergeCell ref="I74:J74"/>
    <mergeCell ref="K74:L74"/>
    <mergeCell ref="A90:B90"/>
    <mergeCell ref="C90:D90"/>
    <mergeCell ref="E90:F90"/>
    <mergeCell ref="G90:H90"/>
    <mergeCell ref="I90:J90"/>
    <mergeCell ref="G100:H100"/>
    <mergeCell ref="A150:B150"/>
    <mergeCell ref="C150:D150"/>
    <mergeCell ref="E150:F150"/>
    <mergeCell ref="G150:H150"/>
    <mergeCell ref="I150:J150"/>
    <mergeCell ref="A200:B200"/>
    <mergeCell ref="C200:D200"/>
    <mergeCell ref="E200:F200"/>
    <mergeCell ref="G200:H200"/>
    <mergeCell ref="I200:J200"/>
    <mergeCell ref="I100:J100"/>
    <mergeCell ref="G350:H350"/>
    <mergeCell ref="I350:J350"/>
    <mergeCell ref="K250:L250"/>
    <mergeCell ref="K300:L300"/>
    <mergeCell ref="K350:L350"/>
    <mergeCell ref="K100:L100"/>
    <mergeCell ref="K200:L200"/>
    <mergeCell ref="K150:L150"/>
    <mergeCell ref="A300:B300"/>
    <mergeCell ref="C300:D300"/>
    <mergeCell ref="E300:F300"/>
    <mergeCell ref="G300:H300"/>
    <mergeCell ref="I300:J300"/>
    <mergeCell ref="A250:B250"/>
    <mergeCell ref="C250:D250"/>
    <mergeCell ref="E250:F250"/>
    <mergeCell ref="G250:H250"/>
    <mergeCell ref="I250:J250"/>
    <mergeCell ref="K550:L550"/>
    <mergeCell ref="A550:B550"/>
    <mergeCell ref="C550:D550"/>
    <mergeCell ref="E550:F550"/>
    <mergeCell ref="G550:H550"/>
    <mergeCell ref="I550:J550"/>
    <mergeCell ref="K500:L500"/>
    <mergeCell ref="A500:B500"/>
    <mergeCell ref="C500:D500"/>
    <mergeCell ref="E500:F500"/>
    <mergeCell ref="G500:H500"/>
    <mergeCell ref="I500:J500"/>
    <mergeCell ref="K511:L511"/>
    <mergeCell ref="A511:B511"/>
    <mergeCell ref="C511:D511"/>
    <mergeCell ref="E511:F511"/>
    <mergeCell ref="G511:H511"/>
    <mergeCell ref="I511:J511"/>
    <mergeCell ref="K400:L400"/>
    <mergeCell ref="A350:B350"/>
    <mergeCell ref="C350:D350"/>
    <mergeCell ref="E350:F350"/>
    <mergeCell ref="A400:B400"/>
    <mergeCell ref="C400:D400"/>
    <mergeCell ref="E400:F400"/>
    <mergeCell ref="G400:H400"/>
    <mergeCell ref="I400:J400"/>
  </mergeCells>
  <dataValidations count="1">
    <dataValidation type="custom" allowBlank="1" showInputMessage="1" showErrorMessage="1" sqref="A217:L250 M452:M498 M2:M100 M102:M150 M505:R550 A283:L300 M352:M400 A317:L350 A367:L400 M202:M250 M302:M350 A433:L450 M152:M200 A65:L100 M252:M300 A133:L150 A183:L200 M402:M450 A519:L550 N1:R498 A467:L500">
      <formula1>"zzzz,,,"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resultat</vt:lpstr>
      <vt:lpstr>tirage</vt:lpstr>
      <vt:lpstr>tirage_po</vt:lpstr>
      <vt:lpstr>resultat!Zone_d_impression</vt:lpstr>
    </vt:vector>
  </TitlesOfParts>
  <Company>LA POSTE - DSOI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CLENET</dc:creator>
  <cp:lastModifiedBy>brazeaupierre@gmail.com</cp:lastModifiedBy>
  <cp:lastPrinted>2019-08-22T14:47:13Z</cp:lastPrinted>
  <dcterms:created xsi:type="dcterms:W3CDTF">2008-05-19T11:41:12Z</dcterms:created>
  <dcterms:modified xsi:type="dcterms:W3CDTF">2019-08-22T23:07:23Z</dcterms:modified>
</cp:coreProperties>
</file>